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defaultThemeVersion="166925"/>
  <mc:AlternateContent xmlns:mc="http://schemas.openxmlformats.org/markup-compatibility/2006">
    <mc:Choice Requires="x15">
      <x15ac:absPath xmlns:x15ac="http://schemas.microsoft.com/office/spreadsheetml/2010/11/ac" url="C:\=jcba\"/>
    </mc:Choice>
  </mc:AlternateContent>
  <xr:revisionPtr revIDLastSave="0" documentId="8_{9BF285A2-8F19-4349-8C46-47CDA986D2E0}" xr6:coauthVersionLast="36" xr6:coauthVersionMax="36" xr10:uidLastSave="{00000000-0000-0000-0000-000000000000}"/>
  <bookViews>
    <workbookView xWindow="-120" yWindow="-120" windowWidth="20730" windowHeight="11160" firstSheet="6" activeTab="6" xr2:uid="{00000000-000D-0000-FFFF-FFFF00000000}"/>
  </bookViews>
  <sheets>
    <sheet name="OriginalBCACalculations" sheetId="8" state="hidden" r:id="rId1"/>
    <sheet name="OriginalBCACalculations 0%" sheetId="7" state="hidden" r:id="rId2"/>
    <sheet name=" OriginalBCACalculation 7%" sheetId="1" state="hidden" r:id="rId3"/>
    <sheet name="OriginalBCACalculations$2012" sheetId="9" r:id="rId4"/>
    <sheet name="OriginalBCACalculations$2012 0%" sheetId="10" r:id="rId5"/>
    <sheet name=" OriginalBCACalculation$2012 7%" sheetId="11" r:id="rId6"/>
    <sheet name="ExPostBCACalculations" sheetId="4" r:id="rId7"/>
    <sheet name="ExPostBCACalc-NoExcessBurden" sheetId="14" r:id="rId8"/>
    <sheet name="ExPostBCACalc-30%ExcessBurden" sheetId="15" r:id="rId9"/>
    <sheet name="Cost Distribution By Year" sheetId="2" r:id="rId10"/>
    <sheet name="CommAndSportFishingValues" sheetId="3" r:id="rId11"/>
    <sheet name="FishHarvestTimeTrends" sheetId="5" r:id="rId12"/>
    <sheet name="PowerRatesAndCosts" sheetId="6" r:id="rId13"/>
    <sheet name="OriginalNPVandBC" sheetId="12"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2" i="15" l="1"/>
  <c r="P112" i="15" s="1"/>
  <c r="H111" i="15"/>
  <c r="H110" i="15"/>
  <c r="P110" i="15" s="1"/>
  <c r="H109" i="15"/>
  <c r="P109" i="15" s="1"/>
  <c r="H108" i="15"/>
  <c r="P108" i="15" s="1"/>
  <c r="H107" i="15"/>
  <c r="P107" i="15" s="1"/>
  <c r="H106" i="15"/>
  <c r="P106" i="15" s="1"/>
  <c r="H105" i="15"/>
  <c r="P104" i="15"/>
  <c r="H104" i="15"/>
  <c r="H103" i="15"/>
  <c r="P102" i="15"/>
  <c r="H102" i="15"/>
  <c r="H101" i="15"/>
  <c r="P101" i="15" s="1"/>
  <c r="P100" i="15"/>
  <c r="H100" i="15"/>
  <c r="H99" i="15"/>
  <c r="P99" i="15" s="1"/>
  <c r="H98" i="15"/>
  <c r="P98" i="15" s="1"/>
  <c r="H97" i="15"/>
  <c r="H96" i="15"/>
  <c r="P96" i="15" s="1"/>
  <c r="H95" i="15"/>
  <c r="H94" i="15"/>
  <c r="P94" i="15" s="1"/>
  <c r="H93" i="15"/>
  <c r="P93" i="15" s="1"/>
  <c r="P92" i="15"/>
  <c r="H92" i="15"/>
  <c r="H91" i="15"/>
  <c r="P91" i="15" s="1"/>
  <c r="H90" i="15"/>
  <c r="P90" i="15" s="1"/>
  <c r="H89" i="15"/>
  <c r="P89" i="15" s="1"/>
  <c r="H88" i="15"/>
  <c r="P88" i="15" s="1"/>
  <c r="H87" i="15"/>
  <c r="H86" i="15"/>
  <c r="P86" i="15" s="1"/>
  <c r="H85" i="15"/>
  <c r="P85" i="15" s="1"/>
  <c r="H84" i="15"/>
  <c r="P84" i="15" s="1"/>
  <c r="H83" i="15"/>
  <c r="P83" i="15" s="1"/>
  <c r="H82" i="15"/>
  <c r="P82" i="15" s="1"/>
  <c r="H81" i="15"/>
  <c r="H80" i="15"/>
  <c r="P80" i="15" s="1"/>
  <c r="H79" i="15"/>
  <c r="H78" i="15"/>
  <c r="H77" i="15"/>
  <c r="P77" i="15" s="1"/>
  <c r="H76" i="15"/>
  <c r="P76" i="15" s="1"/>
  <c r="H75" i="15"/>
  <c r="P75" i="15" s="1"/>
  <c r="H74" i="15"/>
  <c r="P74" i="15" s="1"/>
  <c r="H73" i="15"/>
  <c r="P73" i="15" s="1"/>
  <c r="H72" i="15"/>
  <c r="P72" i="15" s="1"/>
  <c r="H71" i="15"/>
  <c r="P71" i="15" s="1"/>
  <c r="H70" i="15"/>
  <c r="P70" i="15" s="1"/>
  <c r="H69" i="15"/>
  <c r="P69" i="15" s="1"/>
  <c r="H68" i="15"/>
  <c r="P68" i="15" s="1"/>
  <c r="H67" i="15"/>
  <c r="P67" i="15" s="1"/>
  <c r="H66" i="15"/>
  <c r="H65" i="15"/>
  <c r="P65" i="15" s="1"/>
  <c r="H64" i="15"/>
  <c r="H63" i="15"/>
  <c r="P63" i="15" s="1"/>
  <c r="H62" i="15"/>
  <c r="H61" i="15"/>
  <c r="P61" i="15" s="1"/>
  <c r="P60" i="15"/>
  <c r="H60" i="15"/>
  <c r="P59" i="15"/>
  <c r="H59" i="15"/>
  <c r="H58" i="15"/>
  <c r="P58" i="15" s="1"/>
  <c r="H57" i="15"/>
  <c r="P57" i="15" s="1"/>
  <c r="H56" i="15"/>
  <c r="P56" i="15" s="1"/>
  <c r="H55" i="15"/>
  <c r="P55" i="15" s="1"/>
  <c r="H54" i="15"/>
  <c r="H53" i="15"/>
  <c r="P53" i="15" s="1"/>
  <c r="P52" i="15"/>
  <c r="H52" i="15"/>
  <c r="P51" i="15"/>
  <c r="H51" i="15"/>
  <c r="H50" i="15"/>
  <c r="P50" i="15" s="1"/>
  <c r="H49" i="15"/>
  <c r="P49" i="15" s="1"/>
  <c r="H48" i="15"/>
  <c r="P48" i="15" s="1"/>
  <c r="P47" i="15"/>
  <c r="H47" i="15"/>
  <c r="H46" i="15"/>
  <c r="P45" i="15"/>
  <c r="H45" i="15"/>
  <c r="H44" i="15"/>
  <c r="P44" i="15" s="1"/>
  <c r="P43" i="15"/>
  <c r="H43" i="15"/>
  <c r="H42" i="15"/>
  <c r="P42" i="15" s="1"/>
  <c r="P41" i="15"/>
  <c r="H41" i="15"/>
  <c r="H40" i="15"/>
  <c r="P40" i="15" s="1"/>
  <c r="H39" i="15"/>
  <c r="P39" i="15" s="1"/>
  <c r="H38" i="15"/>
  <c r="H37" i="15"/>
  <c r="P37" i="15" s="1"/>
  <c r="H36" i="15"/>
  <c r="P36" i="15" s="1"/>
  <c r="H35" i="15"/>
  <c r="P35" i="15" s="1"/>
  <c r="H34" i="15"/>
  <c r="P34" i="15" s="1"/>
  <c r="H33" i="15"/>
  <c r="P33" i="15" s="1"/>
  <c r="H32" i="15"/>
  <c r="P32" i="15" s="1"/>
  <c r="H31" i="15"/>
  <c r="P31" i="15" s="1"/>
  <c r="H30" i="15"/>
  <c r="P30" i="15" s="1"/>
  <c r="H29" i="15"/>
  <c r="P29" i="15" s="1"/>
  <c r="H28" i="15"/>
  <c r="P28" i="15" s="1"/>
  <c r="H27" i="15"/>
  <c r="P27" i="15" s="1"/>
  <c r="H26" i="15"/>
  <c r="P26" i="15" s="1"/>
  <c r="H25" i="15"/>
  <c r="P25" i="15" s="1"/>
  <c r="H24" i="15"/>
  <c r="P24" i="15" s="1"/>
  <c r="H23" i="15"/>
  <c r="P23" i="15" s="1"/>
  <c r="H22" i="15"/>
  <c r="P22" i="15" s="1"/>
  <c r="H21" i="15"/>
  <c r="P21" i="15" s="1"/>
  <c r="H20" i="15"/>
  <c r="P20" i="15" s="1"/>
  <c r="F20" i="15"/>
  <c r="N20" i="15" s="1"/>
  <c r="G13" i="15"/>
  <c r="C13" i="15"/>
  <c r="K13" i="15" s="1"/>
  <c r="H112" i="14"/>
  <c r="P112" i="14" s="1"/>
  <c r="H111" i="14"/>
  <c r="P111" i="14" s="1"/>
  <c r="P110" i="14"/>
  <c r="H110" i="14"/>
  <c r="H109" i="14"/>
  <c r="P109" i="14" s="1"/>
  <c r="P108" i="14"/>
  <c r="H108" i="14"/>
  <c r="H107" i="14"/>
  <c r="P107" i="14" s="1"/>
  <c r="P106" i="14"/>
  <c r="H106" i="14"/>
  <c r="P105" i="14"/>
  <c r="H105" i="14"/>
  <c r="H104" i="14"/>
  <c r="P104" i="14" s="1"/>
  <c r="H103" i="14"/>
  <c r="H102" i="14"/>
  <c r="P102" i="14" s="1"/>
  <c r="H101" i="14"/>
  <c r="P101" i="14" s="1"/>
  <c r="P100" i="14"/>
  <c r="H100" i="14"/>
  <c r="H99" i="14"/>
  <c r="P99" i="14" s="1"/>
  <c r="H98" i="14"/>
  <c r="P98" i="14" s="1"/>
  <c r="H97" i="14"/>
  <c r="P97" i="14" s="1"/>
  <c r="H96" i="14"/>
  <c r="P96" i="14" s="1"/>
  <c r="H95" i="14"/>
  <c r="P95" i="14" s="1"/>
  <c r="H94" i="14"/>
  <c r="P94" i="14" s="1"/>
  <c r="H93" i="14"/>
  <c r="H92" i="14"/>
  <c r="P92" i="14" s="1"/>
  <c r="H91" i="14"/>
  <c r="P91" i="14" s="1"/>
  <c r="P90" i="14"/>
  <c r="H90" i="14"/>
  <c r="H89" i="14"/>
  <c r="P89" i="14" s="1"/>
  <c r="H88" i="14"/>
  <c r="P88" i="14" s="1"/>
  <c r="H87" i="14"/>
  <c r="H86" i="14"/>
  <c r="P86" i="14" s="1"/>
  <c r="H85" i="14"/>
  <c r="P85" i="14" s="1"/>
  <c r="H84" i="14"/>
  <c r="P84" i="14" s="1"/>
  <c r="H83" i="14"/>
  <c r="H82" i="14"/>
  <c r="P82" i="14" s="1"/>
  <c r="P81" i="14"/>
  <c r="H81" i="14"/>
  <c r="H80" i="14"/>
  <c r="P80" i="14" s="1"/>
  <c r="H79" i="14"/>
  <c r="P79" i="14" s="1"/>
  <c r="H78" i="14"/>
  <c r="P77" i="14"/>
  <c r="H77" i="14"/>
  <c r="H76" i="14"/>
  <c r="P75" i="14"/>
  <c r="H75" i="14"/>
  <c r="H74" i="14"/>
  <c r="P74" i="14" s="1"/>
  <c r="P73" i="14"/>
  <c r="H73" i="14"/>
  <c r="H72" i="14"/>
  <c r="P72" i="14" s="1"/>
  <c r="P71" i="14"/>
  <c r="H71" i="14"/>
  <c r="H70" i="14"/>
  <c r="P69" i="14"/>
  <c r="H69" i="14"/>
  <c r="H68" i="14"/>
  <c r="P67" i="14"/>
  <c r="H67" i="14"/>
  <c r="H66" i="14"/>
  <c r="P66" i="14" s="1"/>
  <c r="P65" i="14"/>
  <c r="H65" i="14"/>
  <c r="H64" i="14"/>
  <c r="P64" i="14" s="1"/>
  <c r="P63" i="14"/>
  <c r="H63" i="14"/>
  <c r="H62" i="14"/>
  <c r="P61" i="14"/>
  <c r="H61" i="14"/>
  <c r="H60" i="14"/>
  <c r="P59" i="14"/>
  <c r="H59" i="14"/>
  <c r="H58" i="14"/>
  <c r="P58" i="14" s="1"/>
  <c r="H57" i="14"/>
  <c r="P57" i="14" s="1"/>
  <c r="H56" i="14"/>
  <c r="P56" i="14" s="1"/>
  <c r="H55" i="14"/>
  <c r="P55" i="14" s="1"/>
  <c r="P54" i="14"/>
  <c r="H54" i="14"/>
  <c r="H53" i="14"/>
  <c r="P53" i="14" s="1"/>
  <c r="H52" i="14"/>
  <c r="P52" i="14" s="1"/>
  <c r="P51" i="14"/>
  <c r="H51" i="14"/>
  <c r="H50" i="14"/>
  <c r="P50" i="14" s="1"/>
  <c r="P49" i="14"/>
  <c r="H49" i="14"/>
  <c r="P48" i="14"/>
  <c r="H48" i="14"/>
  <c r="H47" i="14"/>
  <c r="P46" i="14"/>
  <c r="H46" i="14"/>
  <c r="H45" i="14"/>
  <c r="P45" i="14" s="1"/>
  <c r="P44" i="14"/>
  <c r="H44" i="14"/>
  <c r="H43" i="14"/>
  <c r="P42" i="14"/>
  <c r="H42" i="14"/>
  <c r="H41" i="14"/>
  <c r="P40" i="14"/>
  <c r="H40" i="14"/>
  <c r="H39" i="14"/>
  <c r="P39" i="14" s="1"/>
  <c r="H38" i="14"/>
  <c r="P38" i="14" s="1"/>
  <c r="H37" i="14"/>
  <c r="P37" i="14" s="1"/>
  <c r="H36" i="14"/>
  <c r="P36" i="14" s="1"/>
  <c r="H35" i="14"/>
  <c r="H34" i="14"/>
  <c r="P34" i="14" s="1"/>
  <c r="H33" i="14"/>
  <c r="P33" i="14" s="1"/>
  <c r="P32" i="14"/>
  <c r="H32" i="14"/>
  <c r="H31" i="14"/>
  <c r="P31" i="14" s="1"/>
  <c r="P30" i="14"/>
  <c r="H30" i="14"/>
  <c r="H29" i="14"/>
  <c r="P29" i="14" s="1"/>
  <c r="P28" i="14"/>
  <c r="H28" i="14"/>
  <c r="H27" i="14"/>
  <c r="P27" i="14" s="1"/>
  <c r="P26" i="14"/>
  <c r="H26" i="14"/>
  <c r="H25" i="14"/>
  <c r="P25" i="14" s="1"/>
  <c r="P24" i="14"/>
  <c r="H24" i="14"/>
  <c r="H23" i="14"/>
  <c r="P23" i="14" s="1"/>
  <c r="P22" i="14"/>
  <c r="H22" i="14"/>
  <c r="H21" i="14"/>
  <c r="P21" i="14" s="1"/>
  <c r="P20" i="14"/>
  <c r="H20" i="14"/>
  <c r="F20" i="14"/>
  <c r="C14" i="14"/>
  <c r="K14" i="14" s="1"/>
  <c r="K13" i="14"/>
  <c r="G13" i="14"/>
  <c r="G14" i="14" s="1"/>
  <c r="O14" i="14" s="1"/>
  <c r="C13" i="14"/>
  <c r="O13" i="14" l="1"/>
  <c r="C14" i="15"/>
  <c r="C15" i="15" s="1"/>
  <c r="K15" i="15" s="1"/>
  <c r="C15" i="14"/>
  <c r="C16" i="14" s="1"/>
  <c r="O13" i="15"/>
  <c r="G14" i="15"/>
  <c r="G15" i="15" s="1"/>
  <c r="G16" i="15" s="1"/>
  <c r="O15" i="15"/>
  <c r="P62" i="15"/>
  <c r="P81" i="15"/>
  <c r="P87" i="15"/>
  <c r="P64" i="15"/>
  <c r="P79" i="15"/>
  <c r="C16" i="15"/>
  <c r="F21" i="15"/>
  <c r="K14" i="15"/>
  <c r="P66" i="15"/>
  <c r="P38" i="15"/>
  <c r="P46" i="15"/>
  <c r="P54" i="15"/>
  <c r="P97" i="15"/>
  <c r="P103" i="15"/>
  <c r="P78" i="15"/>
  <c r="P95" i="15"/>
  <c r="P105" i="15"/>
  <c r="P111" i="15"/>
  <c r="F21" i="14"/>
  <c r="N20" i="14"/>
  <c r="P87" i="14"/>
  <c r="K16" i="14"/>
  <c r="C17" i="14"/>
  <c r="K15" i="14"/>
  <c r="G15" i="14"/>
  <c r="P47" i="14"/>
  <c r="P41" i="14"/>
  <c r="P62" i="14"/>
  <c r="P35" i="14"/>
  <c r="P43" i="14"/>
  <c r="P93" i="14"/>
  <c r="P68" i="14"/>
  <c r="P78" i="14"/>
  <c r="P60" i="14"/>
  <c r="P70" i="14"/>
  <c r="P76" i="14"/>
  <c r="P83" i="14"/>
  <c r="P103" i="14"/>
  <c r="G18" i="12"/>
  <c r="F18" i="12"/>
  <c r="E18" i="12"/>
  <c r="D18" i="12"/>
  <c r="C18" i="12"/>
  <c r="B18" i="12"/>
  <c r="G17" i="12"/>
  <c r="F17" i="12"/>
  <c r="E17" i="12"/>
  <c r="D17" i="12"/>
  <c r="C17" i="12"/>
  <c r="B17" i="12"/>
  <c r="G16" i="12"/>
  <c r="F16" i="12"/>
  <c r="E16" i="12"/>
  <c r="D16" i="12"/>
  <c r="C16" i="12"/>
  <c r="B16" i="12"/>
  <c r="G13" i="12"/>
  <c r="G23" i="12" s="1"/>
  <c r="F13" i="12"/>
  <c r="F23" i="12" s="1"/>
  <c r="E13" i="12"/>
  <c r="E23" i="12" s="1"/>
  <c r="D13" i="12"/>
  <c r="D23" i="12" s="1"/>
  <c r="C13" i="12"/>
  <c r="C23" i="12" s="1"/>
  <c r="B13" i="12"/>
  <c r="B23" i="12" s="1"/>
  <c r="G12" i="12"/>
  <c r="G22" i="12" s="1"/>
  <c r="F12" i="12"/>
  <c r="F22" i="12" s="1"/>
  <c r="E12" i="12"/>
  <c r="E22" i="12" s="1"/>
  <c r="D12" i="12"/>
  <c r="D22" i="12" s="1"/>
  <c r="C12" i="12"/>
  <c r="C22" i="12" s="1"/>
  <c r="B12" i="12"/>
  <c r="B22" i="12" s="1"/>
  <c r="G11" i="12"/>
  <c r="G21" i="12" s="1"/>
  <c r="F11" i="12"/>
  <c r="F21" i="12" s="1"/>
  <c r="E11" i="12"/>
  <c r="E21" i="12" s="1"/>
  <c r="D11" i="12"/>
  <c r="D21" i="12" s="1"/>
  <c r="C11" i="12"/>
  <c r="C21" i="12" s="1"/>
  <c r="B11" i="12"/>
  <c r="B21" i="12" s="1"/>
  <c r="O14" i="15" l="1"/>
  <c r="P11" i="15"/>
  <c r="P11" i="14"/>
  <c r="F22" i="15"/>
  <c r="N21" i="15"/>
  <c r="G17" i="15"/>
  <c r="O16" i="15"/>
  <c r="C17" i="15"/>
  <c r="K16" i="15"/>
  <c r="O15" i="14"/>
  <c r="G16" i="14"/>
  <c r="K17" i="14"/>
  <c r="C18" i="14"/>
  <c r="F22" i="14"/>
  <c r="N21" i="14"/>
  <c r="F28" i="10"/>
  <c r="F29" i="10" s="1"/>
  <c r="F30" i="10" s="1"/>
  <c r="F31" i="10" s="1"/>
  <c r="F32" i="10" s="1"/>
  <c r="F33" i="10" s="1"/>
  <c r="F27" i="10"/>
  <c r="F26" i="10"/>
  <c r="F25" i="10"/>
  <c r="F24" i="10"/>
  <c r="F23" i="10"/>
  <c r="F22" i="10"/>
  <c r="F21" i="10"/>
  <c r="F20" i="10"/>
  <c r="F19" i="10"/>
  <c r="F28" i="9"/>
  <c r="F29" i="9" s="1"/>
  <c r="F30" i="9" s="1"/>
  <c r="F31" i="9" s="1"/>
  <c r="F32" i="9" s="1"/>
  <c r="F33" i="9" s="1"/>
  <c r="F27" i="9"/>
  <c r="F26" i="9"/>
  <c r="F25" i="9"/>
  <c r="F24" i="9"/>
  <c r="F23" i="9"/>
  <c r="F22" i="9"/>
  <c r="F21" i="9"/>
  <c r="F20" i="9"/>
  <c r="F19" i="9"/>
  <c r="F28" i="1"/>
  <c r="F29" i="1" s="1"/>
  <c r="F30" i="1" s="1"/>
  <c r="F31" i="1" s="1"/>
  <c r="F32" i="1" s="1"/>
  <c r="F33" i="1" s="1"/>
  <c r="F27" i="1"/>
  <c r="F26" i="1"/>
  <c r="F25" i="1"/>
  <c r="F24" i="1"/>
  <c r="F23" i="1"/>
  <c r="F22" i="1"/>
  <c r="F21" i="1"/>
  <c r="F20" i="1"/>
  <c r="F19" i="1"/>
  <c r="F28" i="7"/>
  <c r="F29" i="7" s="1"/>
  <c r="F30" i="7" s="1"/>
  <c r="F31" i="7" s="1"/>
  <c r="F32" i="7" s="1"/>
  <c r="F33" i="7" s="1"/>
  <c r="F27" i="7"/>
  <c r="F26" i="7"/>
  <c r="F25" i="7"/>
  <c r="F24" i="7"/>
  <c r="F23" i="7"/>
  <c r="F22" i="7"/>
  <c r="F21" i="7"/>
  <c r="F20" i="7"/>
  <c r="F19" i="7"/>
  <c r="F28" i="8"/>
  <c r="F29" i="8" s="1"/>
  <c r="F30" i="8" s="1"/>
  <c r="F31" i="8" s="1"/>
  <c r="F32" i="8" s="1"/>
  <c r="F33" i="8" s="1"/>
  <c r="F27" i="8"/>
  <c r="F26" i="8"/>
  <c r="F25" i="8"/>
  <c r="F24" i="8"/>
  <c r="F23" i="8"/>
  <c r="F22" i="8"/>
  <c r="F21" i="8"/>
  <c r="F20" i="8"/>
  <c r="F19" i="8"/>
  <c r="F28" i="11"/>
  <c r="F27" i="11"/>
  <c r="F26" i="11"/>
  <c r="F25" i="11"/>
  <c r="F24" i="11"/>
  <c r="F23" i="11"/>
  <c r="F22" i="11"/>
  <c r="F21" i="11"/>
  <c r="F20" i="11"/>
  <c r="F19" i="11"/>
  <c r="K17" i="15" l="1"/>
  <c r="C18" i="15"/>
  <c r="O17" i="15"/>
  <c r="G18" i="15"/>
  <c r="N22" i="15"/>
  <c r="F23" i="15"/>
  <c r="G17" i="14"/>
  <c r="O16" i="14"/>
  <c r="F23" i="14"/>
  <c r="N22" i="14"/>
  <c r="K18" i="14"/>
  <c r="C19" i="14"/>
  <c r="C3" i="11"/>
  <c r="C3" i="10"/>
  <c r="H112" i="11"/>
  <c r="P112" i="11" s="1"/>
  <c r="H111" i="11"/>
  <c r="P111" i="11" s="1"/>
  <c r="H110" i="11"/>
  <c r="P110" i="11" s="1"/>
  <c r="H109" i="11"/>
  <c r="P109" i="11" s="1"/>
  <c r="H108" i="11"/>
  <c r="P108" i="11" s="1"/>
  <c r="H107" i="11"/>
  <c r="P107" i="11" s="1"/>
  <c r="H106" i="11"/>
  <c r="P106" i="11" s="1"/>
  <c r="H105" i="11"/>
  <c r="P105" i="11" s="1"/>
  <c r="H104" i="11"/>
  <c r="P104" i="11" s="1"/>
  <c r="H103" i="11"/>
  <c r="P103" i="11" s="1"/>
  <c r="H102" i="11"/>
  <c r="P102" i="11" s="1"/>
  <c r="H101" i="11"/>
  <c r="P101" i="11" s="1"/>
  <c r="H100" i="11"/>
  <c r="P100" i="11" s="1"/>
  <c r="H99" i="11"/>
  <c r="P99" i="11" s="1"/>
  <c r="H98" i="11"/>
  <c r="P98" i="11" s="1"/>
  <c r="H97" i="11"/>
  <c r="P97" i="11" s="1"/>
  <c r="H96" i="11"/>
  <c r="P96" i="11" s="1"/>
  <c r="H95" i="11"/>
  <c r="P95" i="11" s="1"/>
  <c r="H94" i="11"/>
  <c r="P94" i="11" s="1"/>
  <c r="H93" i="11"/>
  <c r="P93" i="11" s="1"/>
  <c r="H92" i="11"/>
  <c r="P92" i="11" s="1"/>
  <c r="H91" i="11"/>
  <c r="P91" i="11" s="1"/>
  <c r="H90" i="11"/>
  <c r="P90" i="11" s="1"/>
  <c r="H89" i="11"/>
  <c r="P89" i="11" s="1"/>
  <c r="H88" i="11"/>
  <c r="P88" i="11" s="1"/>
  <c r="H87" i="11"/>
  <c r="P87" i="11" s="1"/>
  <c r="H86" i="11"/>
  <c r="P86" i="11" s="1"/>
  <c r="H85" i="11"/>
  <c r="P85" i="11" s="1"/>
  <c r="H84" i="11"/>
  <c r="P84" i="11" s="1"/>
  <c r="H83" i="11"/>
  <c r="P83" i="11" s="1"/>
  <c r="H82" i="11"/>
  <c r="P82" i="11" s="1"/>
  <c r="H81" i="11"/>
  <c r="P81" i="11" s="1"/>
  <c r="H80" i="11"/>
  <c r="P80" i="11" s="1"/>
  <c r="H79" i="11"/>
  <c r="P79" i="11" s="1"/>
  <c r="H78" i="11"/>
  <c r="P78" i="11" s="1"/>
  <c r="H77" i="11"/>
  <c r="P77" i="11" s="1"/>
  <c r="H76" i="11"/>
  <c r="P76" i="11" s="1"/>
  <c r="H75" i="11"/>
  <c r="P75" i="11" s="1"/>
  <c r="H74" i="11"/>
  <c r="P74" i="11" s="1"/>
  <c r="H73" i="11"/>
  <c r="P73" i="11" s="1"/>
  <c r="H72" i="11"/>
  <c r="P72" i="11" s="1"/>
  <c r="H71" i="11"/>
  <c r="P71" i="11" s="1"/>
  <c r="H70" i="11"/>
  <c r="P70" i="11" s="1"/>
  <c r="H69" i="11"/>
  <c r="P69" i="11" s="1"/>
  <c r="H68" i="11"/>
  <c r="P68" i="11" s="1"/>
  <c r="H67" i="11"/>
  <c r="P67" i="11" s="1"/>
  <c r="H66" i="11"/>
  <c r="P66" i="11" s="1"/>
  <c r="H65" i="11"/>
  <c r="P65" i="11" s="1"/>
  <c r="H64" i="11"/>
  <c r="P64" i="11" s="1"/>
  <c r="H63" i="11"/>
  <c r="P63" i="11" s="1"/>
  <c r="H62" i="11"/>
  <c r="P62" i="11" s="1"/>
  <c r="H61" i="11"/>
  <c r="P61" i="11" s="1"/>
  <c r="H60" i="11"/>
  <c r="P60" i="11" s="1"/>
  <c r="H59" i="11"/>
  <c r="P59" i="11" s="1"/>
  <c r="H58" i="11"/>
  <c r="P58" i="11" s="1"/>
  <c r="H57" i="11"/>
  <c r="P57" i="11" s="1"/>
  <c r="H56" i="11"/>
  <c r="P56" i="11" s="1"/>
  <c r="H55" i="11"/>
  <c r="P55" i="11" s="1"/>
  <c r="H54" i="11"/>
  <c r="P54" i="11" s="1"/>
  <c r="H53" i="11"/>
  <c r="P53" i="11" s="1"/>
  <c r="H52" i="11"/>
  <c r="P52" i="11" s="1"/>
  <c r="H51" i="11"/>
  <c r="P51" i="11" s="1"/>
  <c r="H50" i="11"/>
  <c r="P50" i="11" s="1"/>
  <c r="H49" i="11"/>
  <c r="P49" i="11" s="1"/>
  <c r="H48" i="11"/>
  <c r="P48" i="11" s="1"/>
  <c r="H47" i="11"/>
  <c r="P47" i="11" s="1"/>
  <c r="H46" i="11"/>
  <c r="P46" i="11" s="1"/>
  <c r="H45" i="11"/>
  <c r="P45" i="11" s="1"/>
  <c r="H44" i="11"/>
  <c r="P44" i="11" s="1"/>
  <c r="H43" i="11"/>
  <c r="P43" i="11" s="1"/>
  <c r="H42" i="11"/>
  <c r="P42" i="11" s="1"/>
  <c r="H41" i="11"/>
  <c r="P41" i="11" s="1"/>
  <c r="H40" i="11"/>
  <c r="P40" i="11" s="1"/>
  <c r="H39" i="11"/>
  <c r="P39" i="11" s="1"/>
  <c r="H38" i="11"/>
  <c r="P38" i="11" s="1"/>
  <c r="H37" i="11"/>
  <c r="P37" i="11" s="1"/>
  <c r="H36" i="11"/>
  <c r="P36" i="11" s="1"/>
  <c r="H35" i="11"/>
  <c r="P35" i="11" s="1"/>
  <c r="H34" i="11"/>
  <c r="P34" i="11" s="1"/>
  <c r="H33" i="11"/>
  <c r="P33" i="11" s="1"/>
  <c r="H32" i="11"/>
  <c r="P32" i="11" s="1"/>
  <c r="H31" i="11"/>
  <c r="P31" i="11" s="1"/>
  <c r="H30" i="11"/>
  <c r="P30" i="11" s="1"/>
  <c r="H29" i="11"/>
  <c r="P29" i="11" s="1"/>
  <c r="H28" i="11"/>
  <c r="P28" i="11" s="1"/>
  <c r="H27" i="11"/>
  <c r="P27" i="11" s="1"/>
  <c r="H26" i="11"/>
  <c r="P26" i="11" s="1"/>
  <c r="H25" i="11"/>
  <c r="P25" i="11" s="1"/>
  <c r="H24" i="11"/>
  <c r="P24" i="11" s="1"/>
  <c r="H23" i="11"/>
  <c r="P23" i="11" s="1"/>
  <c r="H22" i="11"/>
  <c r="P22" i="11" s="1"/>
  <c r="H21" i="11"/>
  <c r="P21" i="11" s="1"/>
  <c r="H20" i="11"/>
  <c r="P20" i="11" s="1"/>
  <c r="N20" i="11"/>
  <c r="O13" i="11"/>
  <c r="G13" i="11"/>
  <c r="G14" i="11" s="1"/>
  <c r="C13" i="11"/>
  <c r="K13" i="11" s="1"/>
  <c r="H112" i="10"/>
  <c r="P112" i="10" s="1"/>
  <c r="H111" i="10"/>
  <c r="P111" i="10" s="1"/>
  <c r="H110" i="10"/>
  <c r="P110" i="10" s="1"/>
  <c r="H109" i="10"/>
  <c r="P109" i="10" s="1"/>
  <c r="H108" i="10"/>
  <c r="P108" i="10" s="1"/>
  <c r="H107" i="10"/>
  <c r="P107" i="10" s="1"/>
  <c r="H106" i="10"/>
  <c r="P106" i="10" s="1"/>
  <c r="H105" i="10"/>
  <c r="P105" i="10" s="1"/>
  <c r="H104" i="10"/>
  <c r="P104" i="10" s="1"/>
  <c r="H103" i="10"/>
  <c r="P103" i="10" s="1"/>
  <c r="H102" i="10"/>
  <c r="P102" i="10" s="1"/>
  <c r="H101" i="10"/>
  <c r="P101" i="10" s="1"/>
  <c r="H100" i="10"/>
  <c r="P100" i="10" s="1"/>
  <c r="H99" i="10"/>
  <c r="P99" i="10" s="1"/>
  <c r="H98" i="10"/>
  <c r="P98" i="10" s="1"/>
  <c r="H97" i="10"/>
  <c r="P97" i="10" s="1"/>
  <c r="H96" i="10"/>
  <c r="P96" i="10" s="1"/>
  <c r="H95" i="10"/>
  <c r="P95" i="10" s="1"/>
  <c r="H94" i="10"/>
  <c r="P94" i="10" s="1"/>
  <c r="H93" i="10"/>
  <c r="P93" i="10" s="1"/>
  <c r="H92" i="10"/>
  <c r="P92" i="10" s="1"/>
  <c r="H91" i="10"/>
  <c r="P91" i="10" s="1"/>
  <c r="H90" i="10"/>
  <c r="P90" i="10" s="1"/>
  <c r="H89" i="10"/>
  <c r="P89" i="10" s="1"/>
  <c r="H88" i="10"/>
  <c r="P88" i="10" s="1"/>
  <c r="H87" i="10"/>
  <c r="P87" i="10" s="1"/>
  <c r="H86" i="10"/>
  <c r="P86" i="10" s="1"/>
  <c r="H85" i="10"/>
  <c r="P85" i="10" s="1"/>
  <c r="H84" i="10"/>
  <c r="P84" i="10" s="1"/>
  <c r="H83" i="10"/>
  <c r="P83" i="10" s="1"/>
  <c r="H82" i="10"/>
  <c r="P82" i="10" s="1"/>
  <c r="H81" i="10"/>
  <c r="P81" i="10" s="1"/>
  <c r="H80" i="10"/>
  <c r="P80" i="10" s="1"/>
  <c r="H79" i="10"/>
  <c r="P79" i="10" s="1"/>
  <c r="H78" i="10"/>
  <c r="P78" i="10" s="1"/>
  <c r="H77" i="10"/>
  <c r="P77" i="10" s="1"/>
  <c r="H76" i="10"/>
  <c r="P76" i="10" s="1"/>
  <c r="H75" i="10"/>
  <c r="P75" i="10" s="1"/>
  <c r="H74" i="10"/>
  <c r="P74" i="10" s="1"/>
  <c r="H73" i="10"/>
  <c r="P73" i="10" s="1"/>
  <c r="H72" i="10"/>
  <c r="P72" i="10" s="1"/>
  <c r="H71" i="10"/>
  <c r="P71" i="10" s="1"/>
  <c r="H70" i="10"/>
  <c r="P70" i="10" s="1"/>
  <c r="H69" i="10"/>
  <c r="P69" i="10" s="1"/>
  <c r="H68" i="10"/>
  <c r="P68" i="10" s="1"/>
  <c r="H67" i="10"/>
  <c r="P67" i="10" s="1"/>
  <c r="P66" i="10"/>
  <c r="H66" i="10"/>
  <c r="H65" i="10"/>
  <c r="P65" i="10" s="1"/>
  <c r="H64" i="10"/>
  <c r="P64" i="10" s="1"/>
  <c r="H63" i="10"/>
  <c r="P63" i="10" s="1"/>
  <c r="H62" i="10"/>
  <c r="P62" i="10" s="1"/>
  <c r="H61" i="10"/>
  <c r="P61" i="10" s="1"/>
  <c r="H60" i="10"/>
  <c r="P60" i="10" s="1"/>
  <c r="H59" i="10"/>
  <c r="P59" i="10" s="1"/>
  <c r="H58" i="10"/>
  <c r="P58" i="10" s="1"/>
  <c r="H57" i="10"/>
  <c r="P57" i="10" s="1"/>
  <c r="H56" i="10"/>
  <c r="P56" i="10" s="1"/>
  <c r="H55" i="10"/>
  <c r="P55" i="10" s="1"/>
  <c r="H54" i="10"/>
  <c r="P54" i="10" s="1"/>
  <c r="H53" i="10"/>
  <c r="P53" i="10" s="1"/>
  <c r="H52" i="10"/>
  <c r="P52" i="10" s="1"/>
  <c r="H51" i="10"/>
  <c r="P51" i="10" s="1"/>
  <c r="H50" i="10"/>
  <c r="P50" i="10" s="1"/>
  <c r="H49" i="10"/>
  <c r="P49" i="10" s="1"/>
  <c r="H48" i="10"/>
  <c r="P48" i="10" s="1"/>
  <c r="H47" i="10"/>
  <c r="P47" i="10" s="1"/>
  <c r="H46" i="10"/>
  <c r="P46" i="10" s="1"/>
  <c r="H45" i="10"/>
  <c r="P45" i="10" s="1"/>
  <c r="H44" i="10"/>
  <c r="P44" i="10" s="1"/>
  <c r="H43" i="10"/>
  <c r="P43" i="10" s="1"/>
  <c r="H42" i="10"/>
  <c r="P42" i="10" s="1"/>
  <c r="H41" i="10"/>
  <c r="P41" i="10" s="1"/>
  <c r="H40" i="10"/>
  <c r="P40" i="10" s="1"/>
  <c r="H39" i="10"/>
  <c r="P39" i="10" s="1"/>
  <c r="H38" i="10"/>
  <c r="P38" i="10" s="1"/>
  <c r="H37" i="10"/>
  <c r="P37" i="10" s="1"/>
  <c r="H36" i="10"/>
  <c r="P36" i="10" s="1"/>
  <c r="H35" i="10"/>
  <c r="P35" i="10" s="1"/>
  <c r="H34" i="10"/>
  <c r="P34" i="10" s="1"/>
  <c r="H33" i="10"/>
  <c r="P33" i="10" s="1"/>
  <c r="H32" i="10"/>
  <c r="P32" i="10" s="1"/>
  <c r="H31" i="10"/>
  <c r="P31" i="10" s="1"/>
  <c r="H30" i="10"/>
  <c r="P30" i="10" s="1"/>
  <c r="H29" i="10"/>
  <c r="P29" i="10" s="1"/>
  <c r="H28" i="10"/>
  <c r="P28" i="10" s="1"/>
  <c r="H27" i="10"/>
  <c r="P27" i="10" s="1"/>
  <c r="H26" i="10"/>
  <c r="P26" i="10" s="1"/>
  <c r="H25" i="10"/>
  <c r="P25" i="10" s="1"/>
  <c r="H24" i="10"/>
  <c r="P24" i="10" s="1"/>
  <c r="H23" i="10"/>
  <c r="P23" i="10" s="1"/>
  <c r="H22" i="10"/>
  <c r="P22" i="10" s="1"/>
  <c r="H21" i="10"/>
  <c r="P21" i="10" s="1"/>
  <c r="N20" i="10"/>
  <c r="H20" i="10"/>
  <c r="P20" i="10" s="1"/>
  <c r="O13" i="10"/>
  <c r="G13" i="10"/>
  <c r="G14" i="10" s="1"/>
  <c r="G15" i="10" s="1"/>
  <c r="O15" i="10" s="1"/>
  <c r="C13" i="10"/>
  <c r="K13" i="10" s="1"/>
  <c r="H112" i="9"/>
  <c r="P112" i="9" s="1"/>
  <c r="H111" i="9"/>
  <c r="P111" i="9" s="1"/>
  <c r="H110" i="9"/>
  <c r="P110" i="9" s="1"/>
  <c r="H109" i="9"/>
  <c r="P109" i="9" s="1"/>
  <c r="H108" i="9"/>
  <c r="P108" i="9" s="1"/>
  <c r="H107" i="9"/>
  <c r="P107" i="9" s="1"/>
  <c r="H106" i="9"/>
  <c r="P106" i="9" s="1"/>
  <c r="H105" i="9"/>
  <c r="P105" i="9" s="1"/>
  <c r="H104" i="9"/>
  <c r="P104" i="9" s="1"/>
  <c r="H103" i="9"/>
  <c r="P103" i="9" s="1"/>
  <c r="H102" i="9"/>
  <c r="P102" i="9" s="1"/>
  <c r="H101" i="9"/>
  <c r="P101" i="9" s="1"/>
  <c r="H100" i="9"/>
  <c r="P100" i="9" s="1"/>
  <c r="H99" i="9"/>
  <c r="P99" i="9" s="1"/>
  <c r="H98" i="9"/>
  <c r="P98" i="9" s="1"/>
  <c r="H97" i="9"/>
  <c r="P97" i="9" s="1"/>
  <c r="H96" i="9"/>
  <c r="P96" i="9" s="1"/>
  <c r="H95" i="9"/>
  <c r="P95" i="9" s="1"/>
  <c r="H94" i="9"/>
  <c r="P94" i="9" s="1"/>
  <c r="H93" i="9"/>
  <c r="P93" i="9" s="1"/>
  <c r="H92" i="9"/>
  <c r="P92" i="9" s="1"/>
  <c r="H91" i="9"/>
  <c r="P91" i="9" s="1"/>
  <c r="H90" i="9"/>
  <c r="P90" i="9" s="1"/>
  <c r="H89" i="9"/>
  <c r="P89" i="9" s="1"/>
  <c r="H88" i="9"/>
  <c r="P88" i="9" s="1"/>
  <c r="H87" i="9"/>
  <c r="P87" i="9" s="1"/>
  <c r="H86" i="9"/>
  <c r="P86" i="9" s="1"/>
  <c r="H85" i="9"/>
  <c r="P85" i="9" s="1"/>
  <c r="H84" i="9"/>
  <c r="P84" i="9" s="1"/>
  <c r="H83" i="9"/>
  <c r="P83" i="9" s="1"/>
  <c r="H82" i="9"/>
  <c r="P82" i="9" s="1"/>
  <c r="H81" i="9"/>
  <c r="P81" i="9" s="1"/>
  <c r="H80" i="9"/>
  <c r="P80" i="9" s="1"/>
  <c r="H79" i="9"/>
  <c r="P79" i="9" s="1"/>
  <c r="H78" i="9"/>
  <c r="P78" i="9" s="1"/>
  <c r="H77" i="9"/>
  <c r="P77" i="9" s="1"/>
  <c r="H76" i="9"/>
  <c r="P76" i="9" s="1"/>
  <c r="H75" i="9"/>
  <c r="P75" i="9" s="1"/>
  <c r="H74" i="9"/>
  <c r="P74" i="9" s="1"/>
  <c r="H73" i="9"/>
  <c r="P73" i="9" s="1"/>
  <c r="H72" i="9"/>
  <c r="P72" i="9" s="1"/>
  <c r="H71" i="9"/>
  <c r="P71" i="9" s="1"/>
  <c r="H70" i="9"/>
  <c r="P70" i="9" s="1"/>
  <c r="H69" i="9"/>
  <c r="P69" i="9" s="1"/>
  <c r="H68" i="9"/>
  <c r="P68" i="9" s="1"/>
  <c r="H67" i="9"/>
  <c r="P67" i="9" s="1"/>
  <c r="H66" i="9"/>
  <c r="P66" i="9" s="1"/>
  <c r="H65" i="9"/>
  <c r="P65" i="9" s="1"/>
  <c r="H64" i="9"/>
  <c r="P64" i="9" s="1"/>
  <c r="H63" i="9"/>
  <c r="P63" i="9" s="1"/>
  <c r="H62" i="9"/>
  <c r="P62" i="9" s="1"/>
  <c r="H61" i="9"/>
  <c r="P61" i="9" s="1"/>
  <c r="H60" i="9"/>
  <c r="P60" i="9" s="1"/>
  <c r="H59" i="9"/>
  <c r="P59" i="9" s="1"/>
  <c r="H58" i="9"/>
  <c r="P58" i="9" s="1"/>
  <c r="H57" i="9"/>
  <c r="P57" i="9" s="1"/>
  <c r="H56" i="9"/>
  <c r="P56" i="9" s="1"/>
  <c r="H55" i="9"/>
  <c r="P55" i="9" s="1"/>
  <c r="H54" i="9"/>
  <c r="P54" i="9" s="1"/>
  <c r="H53" i="9"/>
  <c r="P53" i="9" s="1"/>
  <c r="H52" i="9"/>
  <c r="P52" i="9" s="1"/>
  <c r="H51" i="9"/>
  <c r="P51" i="9" s="1"/>
  <c r="H50" i="9"/>
  <c r="P50" i="9" s="1"/>
  <c r="H49" i="9"/>
  <c r="P49" i="9" s="1"/>
  <c r="H48" i="9"/>
  <c r="P48" i="9" s="1"/>
  <c r="H47" i="9"/>
  <c r="P47" i="9" s="1"/>
  <c r="H46" i="9"/>
  <c r="P46" i="9" s="1"/>
  <c r="H45" i="9"/>
  <c r="P45" i="9" s="1"/>
  <c r="H44" i="9"/>
  <c r="P44" i="9" s="1"/>
  <c r="H43" i="9"/>
  <c r="P43" i="9" s="1"/>
  <c r="H42" i="9"/>
  <c r="P42" i="9" s="1"/>
  <c r="H41" i="9"/>
  <c r="P41" i="9" s="1"/>
  <c r="H40" i="9"/>
  <c r="P40" i="9" s="1"/>
  <c r="H39" i="9"/>
  <c r="P39" i="9" s="1"/>
  <c r="H38" i="9"/>
  <c r="P38" i="9" s="1"/>
  <c r="H37" i="9"/>
  <c r="P37" i="9" s="1"/>
  <c r="H36" i="9"/>
  <c r="P36" i="9" s="1"/>
  <c r="H35" i="9"/>
  <c r="P35" i="9" s="1"/>
  <c r="H34" i="9"/>
  <c r="P34" i="9" s="1"/>
  <c r="H33" i="9"/>
  <c r="P33" i="9" s="1"/>
  <c r="H32" i="9"/>
  <c r="P32" i="9" s="1"/>
  <c r="H31" i="9"/>
  <c r="P31" i="9" s="1"/>
  <c r="H30" i="9"/>
  <c r="P30" i="9" s="1"/>
  <c r="H29" i="9"/>
  <c r="P29" i="9" s="1"/>
  <c r="H28" i="9"/>
  <c r="P28" i="9" s="1"/>
  <c r="H27" i="9"/>
  <c r="P27" i="9" s="1"/>
  <c r="H26" i="9"/>
  <c r="P26" i="9" s="1"/>
  <c r="H25" i="9"/>
  <c r="P25" i="9" s="1"/>
  <c r="H24" i="9"/>
  <c r="P24" i="9" s="1"/>
  <c r="H23" i="9"/>
  <c r="P23" i="9" s="1"/>
  <c r="N22" i="9"/>
  <c r="H22" i="9"/>
  <c r="P22" i="9" s="1"/>
  <c r="N21" i="9"/>
  <c r="H21" i="9"/>
  <c r="P21" i="9" s="1"/>
  <c r="N20" i="9"/>
  <c r="H20" i="9"/>
  <c r="P20" i="9" s="1"/>
  <c r="O13" i="9"/>
  <c r="G13" i="9"/>
  <c r="G14" i="9" s="1"/>
  <c r="G15" i="9" s="1"/>
  <c r="G16" i="9" s="1"/>
  <c r="G17" i="9" s="1"/>
  <c r="G18" i="9" s="1"/>
  <c r="G19" i="9" s="1"/>
  <c r="G20" i="9" s="1"/>
  <c r="O20" i="9" s="1"/>
  <c r="C13" i="9"/>
  <c r="K13" i="9" s="1"/>
  <c r="C3" i="9"/>
  <c r="H112" i="8"/>
  <c r="P112" i="8" s="1"/>
  <c r="H111" i="8"/>
  <c r="P111" i="8" s="1"/>
  <c r="H110" i="8"/>
  <c r="P110" i="8" s="1"/>
  <c r="H109" i="8"/>
  <c r="P109" i="8" s="1"/>
  <c r="H108" i="8"/>
  <c r="P108" i="8" s="1"/>
  <c r="H107" i="8"/>
  <c r="P107" i="8" s="1"/>
  <c r="H106" i="8"/>
  <c r="P106" i="8" s="1"/>
  <c r="H105" i="8"/>
  <c r="P105" i="8" s="1"/>
  <c r="H104" i="8"/>
  <c r="P104" i="8" s="1"/>
  <c r="H103" i="8"/>
  <c r="P103" i="8" s="1"/>
  <c r="H102" i="8"/>
  <c r="P102" i="8" s="1"/>
  <c r="H101" i="8"/>
  <c r="P101" i="8" s="1"/>
  <c r="H100" i="8"/>
  <c r="P100" i="8" s="1"/>
  <c r="H99" i="8"/>
  <c r="P99" i="8" s="1"/>
  <c r="H98" i="8"/>
  <c r="P98" i="8" s="1"/>
  <c r="H97" i="8"/>
  <c r="P97" i="8" s="1"/>
  <c r="H96" i="8"/>
  <c r="P96" i="8" s="1"/>
  <c r="H95" i="8"/>
  <c r="P95" i="8" s="1"/>
  <c r="H94" i="8"/>
  <c r="P94" i="8" s="1"/>
  <c r="H93" i="8"/>
  <c r="P93" i="8" s="1"/>
  <c r="H92" i="8"/>
  <c r="P92" i="8" s="1"/>
  <c r="H91" i="8"/>
  <c r="P91" i="8" s="1"/>
  <c r="P90" i="8"/>
  <c r="H90" i="8"/>
  <c r="H89" i="8"/>
  <c r="P89" i="8" s="1"/>
  <c r="H88" i="8"/>
  <c r="P88" i="8" s="1"/>
  <c r="H87" i="8"/>
  <c r="P87" i="8" s="1"/>
  <c r="H86" i="8"/>
  <c r="P86" i="8" s="1"/>
  <c r="H85" i="8"/>
  <c r="P85" i="8" s="1"/>
  <c r="H84" i="8"/>
  <c r="P84" i="8" s="1"/>
  <c r="H83" i="8"/>
  <c r="P83" i="8" s="1"/>
  <c r="H82" i="8"/>
  <c r="P82" i="8" s="1"/>
  <c r="H81" i="8"/>
  <c r="P81" i="8" s="1"/>
  <c r="H80" i="8"/>
  <c r="P80" i="8" s="1"/>
  <c r="H79" i="8"/>
  <c r="P79" i="8" s="1"/>
  <c r="H78" i="8"/>
  <c r="P78" i="8" s="1"/>
  <c r="H77" i="8"/>
  <c r="P77" i="8" s="1"/>
  <c r="H76" i="8"/>
  <c r="P76" i="8" s="1"/>
  <c r="H75" i="8"/>
  <c r="P75" i="8" s="1"/>
  <c r="H74" i="8"/>
  <c r="P74" i="8" s="1"/>
  <c r="H73" i="8"/>
  <c r="P73" i="8" s="1"/>
  <c r="H72" i="8"/>
  <c r="P72" i="8" s="1"/>
  <c r="H71" i="8"/>
  <c r="P71" i="8" s="1"/>
  <c r="H70" i="8"/>
  <c r="P70" i="8" s="1"/>
  <c r="P69" i="8"/>
  <c r="H69" i="8"/>
  <c r="H68" i="8"/>
  <c r="P68" i="8" s="1"/>
  <c r="H67" i="8"/>
  <c r="P67" i="8" s="1"/>
  <c r="H66" i="8"/>
  <c r="P66" i="8" s="1"/>
  <c r="H65" i="8"/>
  <c r="P65" i="8" s="1"/>
  <c r="H64" i="8"/>
  <c r="P64" i="8" s="1"/>
  <c r="H63" i="8"/>
  <c r="P63" i="8" s="1"/>
  <c r="H62" i="8"/>
  <c r="P62" i="8" s="1"/>
  <c r="H61" i="8"/>
  <c r="P61" i="8" s="1"/>
  <c r="H60" i="8"/>
  <c r="P60" i="8" s="1"/>
  <c r="H59" i="8"/>
  <c r="P59" i="8" s="1"/>
  <c r="H58" i="8"/>
  <c r="P58" i="8" s="1"/>
  <c r="H57" i="8"/>
  <c r="P57" i="8" s="1"/>
  <c r="H56" i="8"/>
  <c r="P56" i="8" s="1"/>
  <c r="P55" i="8"/>
  <c r="H55" i="8"/>
  <c r="H54" i="8"/>
  <c r="P54" i="8" s="1"/>
  <c r="P53" i="8"/>
  <c r="H53" i="8"/>
  <c r="H52" i="8"/>
  <c r="P52" i="8" s="1"/>
  <c r="H51" i="8"/>
  <c r="P51" i="8" s="1"/>
  <c r="H50" i="8"/>
  <c r="P50" i="8" s="1"/>
  <c r="H49" i="8"/>
  <c r="P49" i="8" s="1"/>
  <c r="H48" i="8"/>
  <c r="P48" i="8" s="1"/>
  <c r="P47" i="8"/>
  <c r="H47" i="8"/>
  <c r="H46" i="8"/>
  <c r="P46" i="8" s="1"/>
  <c r="H45" i="8"/>
  <c r="P45" i="8" s="1"/>
  <c r="H44" i="8"/>
  <c r="P44" i="8" s="1"/>
  <c r="H43" i="8"/>
  <c r="P43" i="8" s="1"/>
  <c r="H42" i="8"/>
  <c r="P42" i="8" s="1"/>
  <c r="H41" i="8"/>
  <c r="P41" i="8" s="1"/>
  <c r="H40" i="8"/>
  <c r="P40" i="8" s="1"/>
  <c r="H39" i="8"/>
  <c r="P39" i="8" s="1"/>
  <c r="H38" i="8"/>
  <c r="P38" i="8" s="1"/>
  <c r="H37" i="8"/>
  <c r="P37" i="8" s="1"/>
  <c r="H36" i="8"/>
  <c r="P36" i="8" s="1"/>
  <c r="H35" i="8"/>
  <c r="P35" i="8" s="1"/>
  <c r="H34" i="8"/>
  <c r="P34" i="8" s="1"/>
  <c r="H33" i="8"/>
  <c r="P33" i="8" s="1"/>
  <c r="H32" i="8"/>
  <c r="P32" i="8" s="1"/>
  <c r="H31" i="8"/>
  <c r="P31" i="8" s="1"/>
  <c r="H30" i="8"/>
  <c r="P30" i="8" s="1"/>
  <c r="H29" i="8"/>
  <c r="P29" i="8" s="1"/>
  <c r="H28" i="8"/>
  <c r="P28" i="8" s="1"/>
  <c r="H27" i="8"/>
  <c r="P27" i="8" s="1"/>
  <c r="H26" i="8"/>
  <c r="P26" i="8" s="1"/>
  <c r="H25" i="8"/>
  <c r="P25" i="8" s="1"/>
  <c r="H24" i="8"/>
  <c r="P24" i="8" s="1"/>
  <c r="H23" i="8"/>
  <c r="P23" i="8" s="1"/>
  <c r="H22" i="8"/>
  <c r="P22" i="8" s="1"/>
  <c r="N22" i="8"/>
  <c r="H21" i="8"/>
  <c r="P21" i="8" s="1"/>
  <c r="N21" i="8"/>
  <c r="N20" i="8"/>
  <c r="H20" i="8"/>
  <c r="P20" i="8" s="1"/>
  <c r="O13" i="8"/>
  <c r="G13" i="8"/>
  <c r="C13" i="8"/>
  <c r="C14" i="8" s="1"/>
  <c r="K14" i="8" s="1"/>
  <c r="C3" i="8"/>
  <c r="H112" i="7"/>
  <c r="P112" i="7" s="1"/>
  <c r="H111" i="7"/>
  <c r="P111" i="7" s="1"/>
  <c r="P110" i="7"/>
  <c r="H110" i="7"/>
  <c r="H109" i="7"/>
  <c r="P109" i="7" s="1"/>
  <c r="H108" i="7"/>
  <c r="P108" i="7" s="1"/>
  <c r="H107" i="7"/>
  <c r="P107" i="7" s="1"/>
  <c r="P106" i="7"/>
  <c r="H106" i="7"/>
  <c r="H105" i="7"/>
  <c r="P105" i="7" s="1"/>
  <c r="H104" i="7"/>
  <c r="P104" i="7" s="1"/>
  <c r="H103" i="7"/>
  <c r="P103" i="7" s="1"/>
  <c r="P102" i="7"/>
  <c r="H102" i="7"/>
  <c r="H101" i="7"/>
  <c r="P101" i="7" s="1"/>
  <c r="H100" i="7"/>
  <c r="P100" i="7" s="1"/>
  <c r="H99" i="7"/>
  <c r="P99" i="7" s="1"/>
  <c r="P98" i="7"/>
  <c r="H98" i="7"/>
  <c r="H97" i="7"/>
  <c r="P97" i="7" s="1"/>
  <c r="H96" i="7"/>
  <c r="P96" i="7" s="1"/>
  <c r="H95" i="7"/>
  <c r="P95" i="7" s="1"/>
  <c r="P94" i="7"/>
  <c r="H94" i="7"/>
  <c r="H93" i="7"/>
  <c r="P93" i="7" s="1"/>
  <c r="H92" i="7"/>
  <c r="P92" i="7" s="1"/>
  <c r="H91" i="7"/>
  <c r="P91" i="7" s="1"/>
  <c r="H90" i="7"/>
  <c r="P90" i="7" s="1"/>
  <c r="H89" i="7"/>
  <c r="P89" i="7" s="1"/>
  <c r="H88" i="7"/>
  <c r="P88" i="7" s="1"/>
  <c r="H87" i="7"/>
  <c r="P87" i="7" s="1"/>
  <c r="P86" i="7"/>
  <c r="H86" i="7"/>
  <c r="H85" i="7"/>
  <c r="P85" i="7" s="1"/>
  <c r="H84" i="7"/>
  <c r="P84" i="7" s="1"/>
  <c r="H83" i="7"/>
  <c r="P83" i="7" s="1"/>
  <c r="H82" i="7"/>
  <c r="P82" i="7" s="1"/>
  <c r="H81" i="7"/>
  <c r="P81" i="7" s="1"/>
  <c r="H80" i="7"/>
  <c r="P80" i="7" s="1"/>
  <c r="H79" i="7"/>
  <c r="P79" i="7" s="1"/>
  <c r="H78" i="7"/>
  <c r="P78" i="7" s="1"/>
  <c r="H77" i="7"/>
  <c r="P77" i="7" s="1"/>
  <c r="H76" i="7"/>
  <c r="P76" i="7" s="1"/>
  <c r="P75" i="7"/>
  <c r="H75" i="7"/>
  <c r="P74" i="7"/>
  <c r="H74" i="7"/>
  <c r="H73" i="7"/>
  <c r="P73" i="7" s="1"/>
  <c r="H72" i="7"/>
  <c r="P72" i="7" s="1"/>
  <c r="P71" i="7"/>
  <c r="H71" i="7"/>
  <c r="P70" i="7"/>
  <c r="H70" i="7"/>
  <c r="H69" i="7"/>
  <c r="P69" i="7" s="1"/>
  <c r="H68" i="7"/>
  <c r="P68" i="7" s="1"/>
  <c r="P67" i="7"/>
  <c r="H67" i="7"/>
  <c r="P66" i="7"/>
  <c r="H66" i="7"/>
  <c r="H65" i="7"/>
  <c r="P65" i="7" s="1"/>
  <c r="H64" i="7"/>
  <c r="P64" i="7" s="1"/>
  <c r="H63" i="7"/>
  <c r="P63" i="7" s="1"/>
  <c r="H62" i="7"/>
  <c r="P62" i="7" s="1"/>
  <c r="H61" i="7"/>
  <c r="P61" i="7" s="1"/>
  <c r="H60" i="7"/>
  <c r="P60" i="7" s="1"/>
  <c r="H59" i="7"/>
  <c r="P59" i="7" s="1"/>
  <c r="H58" i="7"/>
  <c r="P58" i="7" s="1"/>
  <c r="H57" i="7"/>
  <c r="P57" i="7" s="1"/>
  <c r="H56" i="7"/>
  <c r="P56" i="7" s="1"/>
  <c r="H55" i="7"/>
  <c r="P55" i="7" s="1"/>
  <c r="H54" i="7"/>
  <c r="P54" i="7" s="1"/>
  <c r="H53" i="7"/>
  <c r="P53" i="7" s="1"/>
  <c r="H52" i="7"/>
  <c r="P52" i="7" s="1"/>
  <c r="H51" i="7"/>
  <c r="P51" i="7" s="1"/>
  <c r="H50" i="7"/>
  <c r="P50" i="7" s="1"/>
  <c r="H49" i="7"/>
  <c r="P49" i="7" s="1"/>
  <c r="H48" i="7"/>
  <c r="P48" i="7" s="1"/>
  <c r="H47" i="7"/>
  <c r="P47" i="7" s="1"/>
  <c r="H46" i="7"/>
  <c r="P46" i="7" s="1"/>
  <c r="H45" i="7"/>
  <c r="P45" i="7" s="1"/>
  <c r="H44" i="7"/>
  <c r="P44" i="7" s="1"/>
  <c r="H43" i="7"/>
  <c r="P43" i="7" s="1"/>
  <c r="H42" i="7"/>
  <c r="P42" i="7" s="1"/>
  <c r="H41" i="7"/>
  <c r="P41" i="7" s="1"/>
  <c r="H40" i="7"/>
  <c r="P40" i="7" s="1"/>
  <c r="H39" i="7"/>
  <c r="P39" i="7" s="1"/>
  <c r="H38" i="7"/>
  <c r="P38" i="7" s="1"/>
  <c r="H37" i="7"/>
  <c r="P37" i="7" s="1"/>
  <c r="H36" i="7"/>
  <c r="P36" i="7" s="1"/>
  <c r="H35" i="7"/>
  <c r="P35" i="7" s="1"/>
  <c r="H34" i="7"/>
  <c r="P34" i="7" s="1"/>
  <c r="H33" i="7"/>
  <c r="P33" i="7" s="1"/>
  <c r="H32" i="7"/>
  <c r="P32" i="7" s="1"/>
  <c r="H31" i="7"/>
  <c r="P31" i="7" s="1"/>
  <c r="H30" i="7"/>
  <c r="P30" i="7" s="1"/>
  <c r="H29" i="7"/>
  <c r="P29" i="7" s="1"/>
  <c r="H28" i="7"/>
  <c r="P28" i="7" s="1"/>
  <c r="H27" i="7"/>
  <c r="P27" i="7" s="1"/>
  <c r="H26" i="7"/>
  <c r="P26" i="7" s="1"/>
  <c r="P25" i="7"/>
  <c r="H25" i="7"/>
  <c r="H24" i="7"/>
  <c r="P24" i="7" s="1"/>
  <c r="H23" i="7"/>
  <c r="P23" i="7" s="1"/>
  <c r="H22" i="7"/>
  <c r="P22" i="7" s="1"/>
  <c r="P21" i="7"/>
  <c r="H21" i="7"/>
  <c r="N20" i="7"/>
  <c r="H20" i="7"/>
  <c r="P20" i="7" s="1"/>
  <c r="O13" i="7"/>
  <c r="G13" i="7"/>
  <c r="G14" i="7" s="1"/>
  <c r="C13" i="7"/>
  <c r="K13" i="7" s="1"/>
  <c r="C3" i="7"/>
  <c r="C14" i="10" l="1"/>
  <c r="K14" i="10" s="1"/>
  <c r="F24" i="15"/>
  <c r="N23" i="15"/>
  <c r="O18" i="15"/>
  <c r="G19" i="15"/>
  <c r="C19" i="15"/>
  <c r="K18" i="15"/>
  <c r="K19" i="14"/>
  <c r="C20" i="14"/>
  <c r="F24" i="14"/>
  <c r="N23" i="14"/>
  <c r="G18" i="14"/>
  <c r="O17" i="14"/>
  <c r="O17" i="9"/>
  <c r="P11" i="11"/>
  <c r="C14" i="11"/>
  <c r="C15" i="11" s="1"/>
  <c r="C16" i="11" s="1"/>
  <c r="P11" i="9"/>
  <c r="K15" i="11"/>
  <c r="C15" i="10"/>
  <c r="C16" i="10" s="1"/>
  <c r="K16" i="10" s="1"/>
  <c r="O14" i="11"/>
  <c r="G15" i="11"/>
  <c r="C17" i="11"/>
  <c r="K16" i="11"/>
  <c r="N22" i="10"/>
  <c r="P11" i="10"/>
  <c r="C17" i="10"/>
  <c r="K15" i="10"/>
  <c r="O14" i="10"/>
  <c r="G16" i="10"/>
  <c r="N21" i="10"/>
  <c r="O14" i="9"/>
  <c r="O18" i="9"/>
  <c r="G21" i="9"/>
  <c r="O16" i="9"/>
  <c r="C14" i="9"/>
  <c r="O15" i="9"/>
  <c r="O19" i="9"/>
  <c r="N23" i="9"/>
  <c r="P11" i="7"/>
  <c r="K13" i="8"/>
  <c r="G14" i="8"/>
  <c r="C15" i="8"/>
  <c r="P11" i="8"/>
  <c r="O14" i="7"/>
  <c r="G15" i="7"/>
  <c r="C14" i="7"/>
  <c r="N21" i="7"/>
  <c r="O13" i="1"/>
  <c r="C3" i="1"/>
  <c r="O19" i="15" l="1"/>
  <c r="G20" i="15"/>
  <c r="K19" i="15"/>
  <c r="C20" i="15"/>
  <c r="F25" i="15"/>
  <c r="N24" i="15"/>
  <c r="C21" i="14"/>
  <c r="K20" i="14"/>
  <c r="G19" i="14"/>
  <c r="O18" i="14"/>
  <c r="F25" i="14"/>
  <c r="N24" i="14"/>
  <c r="K14" i="11"/>
  <c r="N21" i="11"/>
  <c r="K17" i="11"/>
  <c r="C18" i="11"/>
  <c r="O15" i="11"/>
  <c r="G16" i="11"/>
  <c r="G17" i="10"/>
  <c r="O16" i="10"/>
  <c r="N23" i="10"/>
  <c r="C18" i="10"/>
  <c r="K17" i="10"/>
  <c r="K14" i="9"/>
  <c r="C15" i="9"/>
  <c r="O21" i="9"/>
  <c r="G22" i="9"/>
  <c r="N24" i="9"/>
  <c r="C16" i="8"/>
  <c r="K15" i="8"/>
  <c r="O14" i="8"/>
  <c r="G15" i="8"/>
  <c r="N23" i="8"/>
  <c r="G16" i="7"/>
  <c r="O15" i="7"/>
  <c r="C15" i="7"/>
  <c r="K14" i="7"/>
  <c r="N22" i="7"/>
  <c r="F26" i="15" l="1"/>
  <c r="N25" i="15"/>
  <c r="G21" i="15"/>
  <c r="O20" i="15"/>
  <c r="C21" i="15"/>
  <c r="K20" i="15"/>
  <c r="K21" i="14"/>
  <c r="C22" i="14"/>
  <c r="F26" i="14"/>
  <c r="N25" i="14"/>
  <c r="G20" i="14"/>
  <c r="O19" i="14"/>
  <c r="O16" i="11"/>
  <c r="G17" i="11"/>
  <c r="N22" i="11"/>
  <c r="C19" i="11"/>
  <c r="K18" i="11"/>
  <c r="K18" i="10"/>
  <c r="C19" i="10"/>
  <c r="N24" i="10"/>
  <c r="O17" i="10"/>
  <c r="G18" i="10"/>
  <c r="K15" i="9"/>
  <c r="C16" i="9"/>
  <c r="N25" i="9"/>
  <c r="O22" i="9"/>
  <c r="O11" i="9" s="1"/>
  <c r="K16" i="8"/>
  <c r="C17" i="8"/>
  <c r="N24" i="8"/>
  <c r="G16" i="8"/>
  <c r="O15" i="8"/>
  <c r="N23" i="7"/>
  <c r="G17" i="7"/>
  <c r="O16" i="7"/>
  <c r="K15" i="7"/>
  <c r="C16" i="7"/>
  <c r="F27" i="15" l="1"/>
  <c r="N26" i="15"/>
  <c r="C22" i="15"/>
  <c r="K21" i="15"/>
  <c r="O21" i="15"/>
  <c r="G22" i="15"/>
  <c r="F27" i="14"/>
  <c r="N26" i="14"/>
  <c r="G21" i="14"/>
  <c r="O20" i="14"/>
  <c r="K22" i="14"/>
  <c r="C23" i="14"/>
  <c r="O17" i="11"/>
  <c r="G18" i="11"/>
  <c r="N23" i="11"/>
  <c r="K19" i="11"/>
  <c r="C20" i="11"/>
  <c r="G19" i="10"/>
  <c r="O18" i="10"/>
  <c r="N25" i="10"/>
  <c r="C20" i="10"/>
  <c r="K19" i="10"/>
  <c r="N26" i="9"/>
  <c r="K16" i="9"/>
  <c r="C17" i="9"/>
  <c r="N25" i="8"/>
  <c r="O16" i="8"/>
  <c r="G17" i="8"/>
  <c r="C18" i="8"/>
  <c r="K17" i="8"/>
  <c r="G18" i="7"/>
  <c r="O17" i="7"/>
  <c r="N24" i="7"/>
  <c r="K16" i="7"/>
  <c r="C17" i="7"/>
  <c r="I14" i="3"/>
  <c r="I13" i="3"/>
  <c r="I12" i="3"/>
  <c r="I11" i="3"/>
  <c r="I10" i="3"/>
  <c r="Y3" i="5" s="1"/>
  <c r="I9" i="3"/>
  <c r="I8" i="3"/>
  <c r="G41" i="5"/>
  <c r="O20" i="5" s="1"/>
  <c r="F41" i="5"/>
  <c r="N20" i="5" s="1"/>
  <c r="E41" i="5"/>
  <c r="M20" i="5" s="1"/>
  <c r="D41" i="5"/>
  <c r="L20" i="5" s="1"/>
  <c r="C41" i="5"/>
  <c r="K20" i="5" s="1"/>
  <c r="B41" i="5"/>
  <c r="J20" i="5" s="1"/>
  <c r="G40" i="5"/>
  <c r="O19" i="5" s="1"/>
  <c r="F40" i="5"/>
  <c r="N19" i="5" s="1"/>
  <c r="E40" i="5"/>
  <c r="M19" i="5" s="1"/>
  <c r="D40" i="5"/>
  <c r="L19" i="5" s="1"/>
  <c r="C40" i="5"/>
  <c r="K19" i="5" s="1"/>
  <c r="B40" i="5"/>
  <c r="J19" i="5" s="1"/>
  <c r="G39" i="5"/>
  <c r="O18" i="5" s="1"/>
  <c r="F39" i="5"/>
  <c r="N18" i="5" s="1"/>
  <c r="E39" i="5"/>
  <c r="M18" i="5" s="1"/>
  <c r="D39" i="5"/>
  <c r="L18" i="5" s="1"/>
  <c r="C39" i="5"/>
  <c r="K18" i="5" s="1"/>
  <c r="B39" i="5"/>
  <c r="J18" i="5" s="1"/>
  <c r="G38" i="5"/>
  <c r="O17" i="5" s="1"/>
  <c r="F38" i="5"/>
  <c r="N17" i="5" s="1"/>
  <c r="E38" i="5"/>
  <c r="M17" i="5" s="1"/>
  <c r="D38" i="5"/>
  <c r="L17" i="5" s="1"/>
  <c r="C38" i="5"/>
  <c r="K17" i="5" s="1"/>
  <c r="B38" i="5"/>
  <c r="J17" i="5" s="1"/>
  <c r="G37" i="5"/>
  <c r="O16" i="5" s="1"/>
  <c r="F37" i="5"/>
  <c r="N16" i="5" s="1"/>
  <c r="E37" i="5"/>
  <c r="M16" i="5" s="1"/>
  <c r="D37" i="5"/>
  <c r="L16" i="5" s="1"/>
  <c r="C37" i="5"/>
  <c r="K16" i="5" s="1"/>
  <c r="B37" i="5"/>
  <c r="J16" i="5" s="1"/>
  <c r="G36" i="5"/>
  <c r="O15" i="5" s="1"/>
  <c r="F36" i="5"/>
  <c r="N15" i="5" s="1"/>
  <c r="E36" i="5"/>
  <c r="M15" i="5" s="1"/>
  <c r="D36" i="5"/>
  <c r="L15" i="5" s="1"/>
  <c r="C36" i="5"/>
  <c r="K15" i="5" s="1"/>
  <c r="B36" i="5"/>
  <c r="J15" i="5" s="1"/>
  <c r="G35" i="5"/>
  <c r="O14" i="5" s="1"/>
  <c r="F35" i="5"/>
  <c r="N14" i="5" s="1"/>
  <c r="E35" i="5"/>
  <c r="M14" i="5" s="1"/>
  <c r="D35" i="5"/>
  <c r="L14" i="5" s="1"/>
  <c r="C35" i="5"/>
  <c r="K14" i="5" s="1"/>
  <c r="B35" i="5"/>
  <c r="J14" i="5" s="1"/>
  <c r="G34" i="5"/>
  <c r="O13" i="5" s="1"/>
  <c r="F34" i="5"/>
  <c r="N13" i="5" s="1"/>
  <c r="E34" i="5"/>
  <c r="M13" i="5" s="1"/>
  <c r="D34" i="5"/>
  <c r="L13" i="5" s="1"/>
  <c r="C34" i="5"/>
  <c r="K13" i="5" s="1"/>
  <c r="B34" i="5"/>
  <c r="J13" i="5" s="1"/>
  <c r="G33" i="5"/>
  <c r="O12" i="5" s="1"/>
  <c r="F33" i="5"/>
  <c r="N12" i="5" s="1"/>
  <c r="E33" i="5"/>
  <c r="M12" i="5" s="1"/>
  <c r="D33" i="5"/>
  <c r="L12" i="5" s="1"/>
  <c r="C33" i="5"/>
  <c r="K12" i="5" s="1"/>
  <c r="B33" i="5"/>
  <c r="J12" i="5" s="1"/>
  <c r="G32" i="5"/>
  <c r="O11" i="5" s="1"/>
  <c r="F32" i="5"/>
  <c r="N11" i="5" s="1"/>
  <c r="E32" i="5"/>
  <c r="M11" i="5" s="1"/>
  <c r="D32" i="5"/>
  <c r="L11" i="5" s="1"/>
  <c r="C32" i="5"/>
  <c r="K11" i="5" s="1"/>
  <c r="B32" i="5"/>
  <c r="J11" i="5" s="1"/>
  <c r="G31" i="5"/>
  <c r="O10" i="5" s="1"/>
  <c r="F31" i="5"/>
  <c r="N10" i="5" s="1"/>
  <c r="E31" i="5"/>
  <c r="M10" i="5" s="1"/>
  <c r="D31" i="5"/>
  <c r="L10" i="5" s="1"/>
  <c r="C31" i="5"/>
  <c r="K10" i="5" s="1"/>
  <c r="B31" i="5"/>
  <c r="J10" i="5" s="1"/>
  <c r="G30" i="5"/>
  <c r="O9" i="5" s="1"/>
  <c r="F30" i="5"/>
  <c r="N9" i="5" s="1"/>
  <c r="E30" i="5"/>
  <c r="M9" i="5" s="1"/>
  <c r="D30" i="5"/>
  <c r="L9" i="5" s="1"/>
  <c r="C30" i="5"/>
  <c r="K9" i="5" s="1"/>
  <c r="B30" i="5"/>
  <c r="J9" i="5" s="1"/>
  <c r="G29" i="5"/>
  <c r="O8" i="5" s="1"/>
  <c r="F29" i="5"/>
  <c r="N8" i="5" s="1"/>
  <c r="E29" i="5"/>
  <c r="M8" i="5" s="1"/>
  <c r="D29" i="5"/>
  <c r="L8" i="5" s="1"/>
  <c r="C29" i="5"/>
  <c r="K8" i="5" s="1"/>
  <c r="B29" i="5"/>
  <c r="J8" i="5" s="1"/>
  <c r="G28" i="5"/>
  <c r="O7" i="5" s="1"/>
  <c r="F28" i="5"/>
  <c r="N7" i="5" s="1"/>
  <c r="E28" i="5"/>
  <c r="M7" i="5" s="1"/>
  <c r="D28" i="5"/>
  <c r="L7" i="5" s="1"/>
  <c r="C28" i="5"/>
  <c r="K7" i="5" s="1"/>
  <c r="B28" i="5"/>
  <c r="J7" i="5" s="1"/>
  <c r="G27" i="5"/>
  <c r="O6" i="5" s="1"/>
  <c r="F27" i="5"/>
  <c r="N6" i="5" s="1"/>
  <c r="E27" i="5"/>
  <c r="M6" i="5" s="1"/>
  <c r="D27" i="5"/>
  <c r="L6" i="5" s="1"/>
  <c r="C27" i="5"/>
  <c r="K6" i="5" s="1"/>
  <c r="B27" i="5"/>
  <c r="J6" i="5" s="1"/>
  <c r="G26" i="5"/>
  <c r="O5" i="5" s="1"/>
  <c r="F26" i="5"/>
  <c r="N5" i="5" s="1"/>
  <c r="E26" i="5"/>
  <c r="M5" i="5" s="1"/>
  <c r="D26" i="5"/>
  <c r="L5" i="5" s="1"/>
  <c r="C26" i="5"/>
  <c r="K5" i="5" s="1"/>
  <c r="B26" i="5"/>
  <c r="J5" i="5" s="1"/>
  <c r="G25" i="5"/>
  <c r="O4" i="5" s="1"/>
  <c r="F25" i="5"/>
  <c r="N4" i="5" s="1"/>
  <c r="E25" i="5"/>
  <c r="M4" i="5" s="1"/>
  <c r="D25" i="5"/>
  <c r="L4" i="5" s="1"/>
  <c r="C25" i="5"/>
  <c r="K4" i="5" s="1"/>
  <c r="B25" i="5"/>
  <c r="J4" i="5" s="1"/>
  <c r="I16" i="3"/>
  <c r="I15" i="3"/>
  <c r="V3" i="5" s="1"/>
  <c r="I7" i="3"/>
  <c r="U3" i="5" s="1"/>
  <c r="I6" i="3"/>
  <c r="I5" i="3"/>
  <c r="I4" i="3"/>
  <c r="S3" i="5" s="1"/>
  <c r="I3" i="3"/>
  <c r="I2" i="3"/>
  <c r="R3" i="5" s="1"/>
  <c r="I19" i="3" l="1"/>
  <c r="Z3" i="5"/>
  <c r="T3" i="5"/>
  <c r="AA3" i="5"/>
  <c r="W3" i="5"/>
  <c r="I18" i="3"/>
  <c r="O22" i="15"/>
  <c r="O11" i="15" s="1"/>
  <c r="C23" i="15"/>
  <c r="K22" i="15"/>
  <c r="F28" i="15"/>
  <c r="N27" i="15"/>
  <c r="F28" i="14"/>
  <c r="N27" i="14"/>
  <c r="O21" i="14"/>
  <c r="G22" i="14"/>
  <c r="K23" i="14"/>
  <c r="C24" i="14"/>
  <c r="C21" i="11"/>
  <c r="K20" i="11"/>
  <c r="N24" i="11"/>
  <c r="O18" i="11"/>
  <c r="G19" i="11"/>
  <c r="N26" i="10"/>
  <c r="C21" i="10"/>
  <c r="K20" i="10"/>
  <c r="G20" i="10"/>
  <c r="O19" i="10"/>
  <c r="K17" i="9"/>
  <c r="C18" i="9"/>
  <c r="N27" i="9"/>
  <c r="K18" i="8"/>
  <c r="C19" i="8"/>
  <c r="G18" i="8"/>
  <c r="O17" i="8"/>
  <c r="N26" i="8"/>
  <c r="K17" i="7"/>
  <c r="C18" i="7"/>
  <c r="G19" i="7"/>
  <c r="O18" i="7"/>
  <c r="N25" i="7"/>
  <c r="X3" i="5"/>
  <c r="I20" i="3" l="1"/>
  <c r="F29" i="15"/>
  <c r="N28" i="15"/>
  <c r="C24" i="15"/>
  <c r="K23" i="15"/>
  <c r="O22" i="14"/>
  <c r="O11" i="14" s="1"/>
  <c r="K24" i="14"/>
  <c r="C25" i="14"/>
  <c r="F29" i="14"/>
  <c r="N28" i="14"/>
  <c r="O19" i="11"/>
  <c r="G20" i="11"/>
  <c r="C22" i="11"/>
  <c r="K21" i="11"/>
  <c r="N25" i="11"/>
  <c r="G21" i="10"/>
  <c r="O20" i="10"/>
  <c r="N27" i="10"/>
  <c r="K21" i="10"/>
  <c r="C22" i="10"/>
  <c r="N28" i="9"/>
  <c r="K18" i="9"/>
  <c r="C19" i="9"/>
  <c r="O18" i="8"/>
  <c r="G19" i="8"/>
  <c r="C20" i="8"/>
  <c r="K19" i="8"/>
  <c r="N27" i="8"/>
  <c r="N26" i="7"/>
  <c r="C19" i="7"/>
  <c r="K18" i="7"/>
  <c r="O19" i="7"/>
  <c r="G20" i="7"/>
  <c r="K22" i="6"/>
  <c r="J22" i="6"/>
  <c r="K18" i="6"/>
  <c r="J18" i="6"/>
  <c r="K13" i="6"/>
  <c r="J13" i="6"/>
  <c r="K8" i="6"/>
  <c r="J8" i="6"/>
  <c r="K7" i="6"/>
  <c r="J7" i="6"/>
  <c r="K6" i="6"/>
  <c r="J6" i="6"/>
  <c r="K5" i="6"/>
  <c r="J5" i="6"/>
  <c r="K4" i="6"/>
  <c r="J4" i="6"/>
  <c r="C25" i="15" l="1"/>
  <c r="K24" i="15"/>
  <c r="F30" i="15"/>
  <c r="N29" i="15"/>
  <c r="F30" i="14"/>
  <c r="N29" i="14"/>
  <c r="C26" i="14"/>
  <c r="K25" i="14"/>
  <c r="C23" i="11"/>
  <c r="K22" i="11"/>
  <c r="G21" i="11"/>
  <c r="O20" i="11"/>
  <c r="N26" i="11"/>
  <c r="C23" i="10"/>
  <c r="K22" i="10"/>
  <c r="N28" i="10"/>
  <c r="O21" i="10"/>
  <c r="G22" i="10"/>
  <c r="K19" i="9"/>
  <c r="C20" i="9"/>
  <c r="N29" i="9"/>
  <c r="K20" i="8"/>
  <c r="C21" i="8"/>
  <c r="G20" i="8"/>
  <c r="O19" i="8"/>
  <c r="N28" i="8"/>
  <c r="N27" i="7"/>
  <c r="O20" i="7"/>
  <c r="G21" i="7"/>
  <c r="K19" i="7"/>
  <c r="C20" i="7"/>
  <c r="AA20" i="5"/>
  <c r="AA121" i="5" s="1"/>
  <c r="Z20" i="5"/>
  <c r="Z121" i="5" s="1"/>
  <c r="Y20" i="5"/>
  <c r="Y121" i="5" s="1"/>
  <c r="X20" i="5"/>
  <c r="X121" i="5" s="1"/>
  <c r="W20" i="5"/>
  <c r="W121" i="5" s="1"/>
  <c r="V20" i="5"/>
  <c r="U20" i="5"/>
  <c r="U121" i="5" s="1"/>
  <c r="T20" i="5"/>
  <c r="T121" i="5" s="1"/>
  <c r="S20" i="5"/>
  <c r="S121" i="5" s="1"/>
  <c r="R20" i="5"/>
  <c r="AA19" i="5"/>
  <c r="Z19" i="5"/>
  <c r="Y19" i="5"/>
  <c r="Y106" i="5" s="1"/>
  <c r="X19" i="5"/>
  <c r="X118" i="5" s="1"/>
  <c r="W19" i="5"/>
  <c r="V19" i="5"/>
  <c r="U19" i="5"/>
  <c r="T19" i="5"/>
  <c r="S19" i="5"/>
  <c r="R19" i="5"/>
  <c r="R104" i="5" s="1"/>
  <c r="AA18" i="5"/>
  <c r="Z18" i="5"/>
  <c r="Z61" i="5" s="1"/>
  <c r="Y18" i="5"/>
  <c r="Y61" i="5" s="1"/>
  <c r="X18" i="5"/>
  <c r="W18" i="5"/>
  <c r="V18" i="5"/>
  <c r="V61" i="5" s="1"/>
  <c r="U18" i="5"/>
  <c r="T18" i="5"/>
  <c r="S18" i="5"/>
  <c r="R18" i="5"/>
  <c r="AA17" i="5"/>
  <c r="Z17" i="5"/>
  <c r="Z55" i="5" s="1"/>
  <c r="Y17" i="5"/>
  <c r="X17" i="5"/>
  <c r="X55" i="5" s="1"/>
  <c r="W17" i="5"/>
  <c r="V17" i="5"/>
  <c r="U17" i="5"/>
  <c r="T17" i="5"/>
  <c r="T47" i="5" s="1"/>
  <c r="S17" i="5"/>
  <c r="R17" i="5"/>
  <c r="R51" i="5" s="1"/>
  <c r="AA16" i="5"/>
  <c r="AA46" i="5" s="1"/>
  <c r="Z16" i="5"/>
  <c r="Y16" i="5"/>
  <c r="Y46" i="5" s="1"/>
  <c r="X16" i="5"/>
  <c r="X46" i="5" s="1"/>
  <c r="W16" i="5"/>
  <c r="V16" i="5"/>
  <c r="U16" i="5"/>
  <c r="T16" i="5"/>
  <c r="T46" i="5" s="1"/>
  <c r="S16" i="5"/>
  <c r="R16" i="5"/>
  <c r="AA15" i="5"/>
  <c r="Z15" i="5"/>
  <c r="Z44" i="5" s="1"/>
  <c r="Y15" i="5"/>
  <c r="X15" i="5"/>
  <c r="W15" i="5"/>
  <c r="V15" i="5"/>
  <c r="U15" i="5"/>
  <c r="U45" i="5" s="1"/>
  <c r="T15" i="5"/>
  <c r="T43" i="5" s="1"/>
  <c r="S15" i="5"/>
  <c r="R15" i="5"/>
  <c r="R41" i="5" s="1"/>
  <c r="AA14" i="5"/>
  <c r="AA36" i="5" s="1"/>
  <c r="Z14" i="5"/>
  <c r="Z38" i="5" s="1"/>
  <c r="Y14" i="5"/>
  <c r="Y36" i="5" s="1"/>
  <c r="X14" i="5"/>
  <c r="X36" i="5" s="1"/>
  <c r="W14" i="5"/>
  <c r="W36" i="5" s="1"/>
  <c r="V14" i="5"/>
  <c r="U14" i="5"/>
  <c r="T14" i="5"/>
  <c r="T36" i="5" s="1"/>
  <c r="S14" i="5"/>
  <c r="S36" i="5" s="1"/>
  <c r="R14" i="5"/>
  <c r="AA13" i="5"/>
  <c r="Z13" i="5"/>
  <c r="Y13" i="5"/>
  <c r="Y35" i="5" s="1"/>
  <c r="X13" i="5"/>
  <c r="X34" i="5" s="1"/>
  <c r="W13" i="5"/>
  <c r="W31" i="5" s="1"/>
  <c r="V13" i="5"/>
  <c r="U13" i="5"/>
  <c r="T13" i="5"/>
  <c r="S13" i="5"/>
  <c r="R13" i="5"/>
  <c r="R35" i="5" s="1"/>
  <c r="AA12" i="5"/>
  <c r="AA30" i="5" s="1"/>
  <c r="Z12" i="5"/>
  <c r="Z30" i="5" s="1"/>
  <c r="Y12" i="5"/>
  <c r="Y30" i="5" s="1"/>
  <c r="X12" i="5"/>
  <c r="X30" i="5" s="1"/>
  <c r="W12" i="5"/>
  <c r="W30" i="5" s="1"/>
  <c r="V12" i="5"/>
  <c r="V30" i="5" s="1"/>
  <c r="U12" i="5"/>
  <c r="U30" i="5" s="1"/>
  <c r="T12" i="5"/>
  <c r="T30" i="5" s="1"/>
  <c r="S12" i="5"/>
  <c r="S30" i="5" s="1"/>
  <c r="R12" i="5"/>
  <c r="R30" i="5" s="1"/>
  <c r="AA11" i="5"/>
  <c r="AA29" i="5" s="1"/>
  <c r="Z11" i="5"/>
  <c r="Z29" i="5" s="1"/>
  <c r="Y11" i="5"/>
  <c r="Y29" i="5" s="1"/>
  <c r="X11" i="5"/>
  <c r="X29" i="5" s="1"/>
  <c r="W11" i="5"/>
  <c r="W29" i="5" s="1"/>
  <c r="V11" i="5"/>
  <c r="V29" i="5" s="1"/>
  <c r="U11" i="5"/>
  <c r="U29" i="5" s="1"/>
  <c r="T11" i="5"/>
  <c r="T29" i="5" s="1"/>
  <c r="S11" i="5"/>
  <c r="S29" i="5" s="1"/>
  <c r="R11" i="5"/>
  <c r="R29" i="5" s="1"/>
  <c r="AA10" i="5"/>
  <c r="AA28" i="5" s="1"/>
  <c r="Z10" i="5"/>
  <c r="Z28" i="5" s="1"/>
  <c r="Y10" i="5"/>
  <c r="Y28" i="5" s="1"/>
  <c r="X10" i="5"/>
  <c r="X28" i="5" s="1"/>
  <c r="W10" i="5"/>
  <c r="W28" i="5" s="1"/>
  <c r="V10" i="5"/>
  <c r="V28" i="5" s="1"/>
  <c r="U10" i="5"/>
  <c r="U28" i="5" s="1"/>
  <c r="T10" i="5"/>
  <c r="T28" i="5" s="1"/>
  <c r="S10" i="5"/>
  <c r="S28" i="5" s="1"/>
  <c r="R10" i="5"/>
  <c r="R28" i="5" s="1"/>
  <c r="AA9" i="5"/>
  <c r="AA27" i="5" s="1"/>
  <c r="Z9" i="5"/>
  <c r="Z27" i="5" s="1"/>
  <c r="Y9" i="5"/>
  <c r="Y27" i="5" s="1"/>
  <c r="X9" i="5"/>
  <c r="X27" i="5" s="1"/>
  <c r="W9" i="5"/>
  <c r="W27" i="5" s="1"/>
  <c r="V9" i="5"/>
  <c r="V27" i="5" s="1"/>
  <c r="U9" i="5"/>
  <c r="U27" i="5" s="1"/>
  <c r="T9" i="5"/>
  <c r="T27" i="5" s="1"/>
  <c r="S9" i="5"/>
  <c r="S27" i="5" s="1"/>
  <c r="R9" i="5"/>
  <c r="R27" i="5" s="1"/>
  <c r="AA8" i="5"/>
  <c r="AA26" i="5" s="1"/>
  <c r="Z8" i="5"/>
  <c r="Z26" i="5" s="1"/>
  <c r="Y8" i="5"/>
  <c r="Y26" i="5" s="1"/>
  <c r="X8" i="5"/>
  <c r="X26" i="5" s="1"/>
  <c r="W8" i="5"/>
  <c r="W26" i="5" s="1"/>
  <c r="V8" i="5"/>
  <c r="V26" i="5" s="1"/>
  <c r="U8" i="5"/>
  <c r="U26" i="5" s="1"/>
  <c r="T8" i="5"/>
  <c r="T26" i="5" s="1"/>
  <c r="S8" i="5"/>
  <c r="S26" i="5" s="1"/>
  <c r="R8" i="5"/>
  <c r="R26" i="5" s="1"/>
  <c r="AA7" i="5"/>
  <c r="AA25" i="5" s="1"/>
  <c r="Z7" i="5"/>
  <c r="Z25" i="5" s="1"/>
  <c r="Y7" i="5"/>
  <c r="Y25" i="5" s="1"/>
  <c r="X7" i="5"/>
  <c r="X25" i="5" s="1"/>
  <c r="W7" i="5"/>
  <c r="W25" i="5" s="1"/>
  <c r="V7" i="5"/>
  <c r="V25" i="5" s="1"/>
  <c r="U7" i="5"/>
  <c r="U25" i="5" s="1"/>
  <c r="T7" i="5"/>
  <c r="T25" i="5" s="1"/>
  <c r="S7" i="5"/>
  <c r="S25" i="5" s="1"/>
  <c r="R7" i="5"/>
  <c r="R25" i="5" s="1"/>
  <c r="AA6" i="5"/>
  <c r="AA24" i="5" s="1"/>
  <c r="Z6" i="5"/>
  <c r="Z24" i="5" s="1"/>
  <c r="Y6" i="5"/>
  <c r="Y24" i="5" s="1"/>
  <c r="X6" i="5"/>
  <c r="X24" i="5" s="1"/>
  <c r="W6" i="5"/>
  <c r="W24" i="5" s="1"/>
  <c r="V6" i="5"/>
  <c r="V24" i="5" s="1"/>
  <c r="U6" i="5"/>
  <c r="U24" i="5" s="1"/>
  <c r="T6" i="5"/>
  <c r="T24" i="5" s="1"/>
  <c r="S6" i="5"/>
  <c r="S24" i="5" s="1"/>
  <c r="R6" i="5"/>
  <c r="R24" i="5" s="1"/>
  <c r="AA5" i="5"/>
  <c r="AA23" i="5" s="1"/>
  <c r="Z5" i="5"/>
  <c r="Z23" i="5" s="1"/>
  <c r="Y5" i="5"/>
  <c r="Y23" i="5" s="1"/>
  <c r="X5" i="5"/>
  <c r="X23" i="5" s="1"/>
  <c r="W5" i="5"/>
  <c r="W23" i="5" s="1"/>
  <c r="V5" i="5"/>
  <c r="V23" i="5" s="1"/>
  <c r="U5" i="5"/>
  <c r="U23" i="5" s="1"/>
  <c r="T5" i="5"/>
  <c r="T23" i="5" s="1"/>
  <c r="S5" i="5"/>
  <c r="S23" i="5" s="1"/>
  <c r="R5" i="5"/>
  <c r="R23" i="5" s="1"/>
  <c r="AA4" i="5"/>
  <c r="AA22" i="5" s="1"/>
  <c r="Z4" i="5"/>
  <c r="Z22" i="5" s="1"/>
  <c r="Y4" i="5"/>
  <c r="Y22" i="5" s="1"/>
  <c r="X4" i="5"/>
  <c r="X22" i="5" s="1"/>
  <c r="W4" i="5"/>
  <c r="W22" i="5" s="1"/>
  <c r="V4" i="5"/>
  <c r="V22" i="5" s="1"/>
  <c r="U4" i="5"/>
  <c r="U22" i="5" s="1"/>
  <c r="T4" i="5"/>
  <c r="T22" i="5" s="1"/>
  <c r="S4" i="5"/>
  <c r="S22" i="5" s="1"/>
  <c r="R4" i="5"/>
  <c r="R22" i="5" s="1"/>
  <c r="V39" i="5" l="1"/>
  <c r="X42" i="5"/>
  <c r="R69" i="5"/>
  <c r="T114" i="5"/>
  <c r="Z120" i="5"/>
  <c r="R31" i="5"/>
  <c r="R117" i="5"/>
  <c r="Y59" i="5"/>
  <c r="Z36" i="5"/>
  <c r="R64" i="5"/>
  <c r="Z86" i="5"/>
  <c r="T93" i="5"/>
  <c r="T108" i="5"/>
  <c r="R120" i="5"/>
  <c r="Z39" i="5"/>
  <c r="R57" i="5"/>
  <c r="Z70" i="5"/>
  <c r="T88" i="5"/>
  <c r="Z96" i="5"/>
  <c r="R109" i="5"/>
  <c r="V36" i="5"/>
  <c r="Z58" i="5"/>
  <c r="R77" i="5"/>
  <c r="T92" i="5"/>
  <c r="R101" i="5"/>
  <c r="Z110" i="5"/>
  <c r="T77" i="5"/>
  <c r="R93" i="5"/>
  <c r="F31" i="15"/>
  <c r="N30" i="15"/>
  <c r="C26" i="15"/>
  <c r="K25" i="15"/>
  <c r="C27" i="14"/>
  <c r="K26" i="14"/>
  <c r="F31" i="14"/>
  <c r="N30" i="14"/>
  <c r="K23" i="11"/>
  <c r="C24" i="11"/>
  <c r="N27" i="11"/>
  <c r="G22" i="11"/>
  <c r="O21" i="11"/>
  <c r="O22" i="10"/>
  <c r="O11" i="10" s="1"/>
  <c r="K23" i="10"/>
  <c r="C24" i="10"/>
  <c r="N29" i="10"/>
  <c r="N30" i="9"/>
  <c r="K20" i="9"/>
  <c r="C21" i="9"/>
  <c r="G21" i="8"/>
  <c r="O20" i="8"/>
  <c r="N29" i="8"/>
  <c r="C22" i="8"/>
  <c r="K21" i="8"/>
  <c r="N28" i="7"/>
  <c r="O21" i="7"/>
  <c r="G22" i="7"/>
  <c r="K20" i="7"/>
  <c r="C21" i="7"/>
  <c r="U35" i="5"/>
  <c r="U33" i="5"/>
  <c r="Y44" i="5"/>
  <c r="Y43" i="5"/>
  <c r="W50" i="5"/>
  <c r="W46" i="5"/>
  <c r="U59" i="5"/>
  <c r="U56" i="5"/>
  <c r="U53" i="5"/>
  <c r="W66" i="5"/>
  <c r="W64" i="5"/>
  <c r="W62" i="5"/>
  <c r="U117" i="5"/>
  <c r="U120" i="5"/>
  <c r="U109" i="5"/>
  <c r="U91" i="5"/>
  <c r="U114" i="5"/>
  <c r="U111" i="5"/>
  <c r="U108" i="5"/>
  <c r="U102" i="5"/>
  <c r="U97" i="5"/>
  <c r="U78" i="5"/>
  <c r="U31" i="5"/>
  <c r="W39" i="5"/>
  <c r="W67" i="5"/>
  <c r="W74" i="5"/>
  <c r="W81" i="5"/>
  <c r="W69" i="5"/>
  <c r="U83" i="5"/>
  <c r="W99" i="5"/>
  <c r="W106" i="5"/>
  <c r="W109" i="5"/>
  <c r="U116" i="5"/>
  <c r="W33" i="5"/>
  <c r="W34" i="5"/>
  <c r="U40" i="5"/>
  <c r="U39" i="5"/>
  <c r="U37" i="5"/>
  <c r="U36" i="5"/>
  <c r="AD36" i="5" s="1"/>
  <c r="W41" i="5"/>
  <c r="W43" i="5"/>
  <c r="U48" i="5"/>
  <c r="W59" i="5"/>
  <c r="AA56" i="5"/>
  <c r="U67" i="5"/>
  <c r="U69" i="5"/>
  <c r="U61" i="5"/>
  <c r="W118" i="5"/>
  <c r="W108" i="5"/>
  <c r="W94" i="5"/>
  <c r="W78" i="5"/>
  <c r="W92" i="5"/>
  <c r="W90" i="5"/>
  <c r="Y37" i="5"/>
  <c r="U51" i="5"/>
  <c r="U64" i="5"/>
  <c r="W83" i="5"/>
  <c r="U89" i="5"/>
  <c r="W116" i="5"/>
  <c r="T32" i="5"/>
  <c r="T31" i="5"/>
  <c r="T44" i="5"/>
  <c r="T37" i="5"/>
  <c r="R50" i="5"/>
  <c r="R49" i="5"/>
  <c r="Z48" i="5"/>
  <c r="Z46" i="5"/>
  <c r="T57" i="5"/>
  <c r="T60" i="5"/>
  <c r="Z67" i="5"/>
  <c r="Z62" i="5"/>
  <c r="T115" i="5"/>
  <c r="T119" i="5"/>
  <c r="T103" i="5"/>
  <c r="T98" i="5"/>
  <c r="T76" i="5"/>
  <c r="T120" i="5"/>
  <c r="T109" i="5"/>
  <c r="T104" i="5"/>
  <c r="T87" i="5"/>
  <c r="T82" i="5"/>
  <c r="T71" i="5"/>
  <c r="Z93" i="5"/>
  <c r="Z83" i="5"/>
  <c r="Z74" i="5"/>
  <c r="Z35" i="5"/>
  <c r="Y38" i="5"/>
  <c r="U42" i="5"/>
  <c r="T55" i="5"/>
  <c r="Z66" i="5"/>
  <c r="T72" i="5"/>
  <c r="R80" i="5"/>
  <c r="W86" i="5"/>
  <c r="Z91" i="5"/>
  <c r="R96" i="5"/>
  <c r="Z103" i="5"/>
  <c r="Z108" i="5"/>
  <c r="Z113" i="5"/>
  <c r="U119" i="5"/>
  <c r="R33" i="5"/>
  <c r="Z32" i="5"/>
  <c r="T38" i="5"/>
  <c r="X38" i="5"/>
  <c r="R44" i="5"/>
  <c r="Z45" i="5"/>
  <c r="T50" i="5"/>
  <c r="R60" i="5"/>
  <c r="Z56" i="5"/>
  <c r="T67" i="5"/>
  <c r="R119" i="5"/>
  <c r="Z119" i="5"/>
  <c r="R42" i="5"/>
  <c r="R54" i="5"/>
  <c r="T66" i="5"/>
  <c r="R72" i="5"/>
  <c r="Z82" i="5"/>
  <c r="R85" i="5"/>
  <c r="R88" i="5"/>
  <c r="Z92" i="5"/>
  <c r="Z104" i="5"/>
  <c r="R112" i="5"/>
  <c r="Z114" i="5"/>
  <c r="AA33" i="5"/>
  <c r="AA34" i="5"/>
  <c r="AA32" i="5"/>
  <c r="AA44" i="5"/>
  <c r="AA41" i="5"/>
  <c r="AA43" i="5"/>
  <c r="AA42" i="5"/>
  <c r="AA60" i="5"/>
  <c r="AA54" i="5"/>
  <c r="AA52" i="5"/>
  <c r="AA57" i="5"/>
  <c r="AA55" i="5"/>
  <c r="AA51" i="5"/>
  <c r="AA59" i="5"/>
  <c r="AA53" i="5"/>
  <c r="AA49" i="5"/>
  <c r="AA115" i="5"/>
  <c r="AA106" i="5"/>
  <c r="AA101" i="5"/>
  <c r="AA95" i="5"/>
  <c r="AA89" i="5"/>
  <c r="AA84" i="5"/>
  <c r="AA81" i="5"/>
  <c r="AA79" i="5"/>
  <c r="AA77" i="5"/>
  <c r="AA116" i="5"/>
  <c r="AA114" i="5"/>
  <c r="AA113" i="5"/>
  <c r="AA111" i="5"/>
  <c r="AA109" i="5"/>
  <c r="AA98" i="5"/>
  <c r="AA96" i="5"/>
  <c r="AA94" i="5"/>
  <c r="AA87" i="5"/>
  <c r="AA83" i="5"/>
  <c r="AA82" i="5"/>
  <c r="AA78" i="5"/>
  <c r="AA75" i="5"/>
  <c r="AA73" i="5"/>
  <c r="AA71" i="5"/>
  <c r="AA120" i="5"/>
  <c r="AA118" i="5"/>
  <c r="AA108" i="5"/>
  <c r="AA105" i="5"/>
  <c r="AA102" i="5"/>
  <c r="AA100" i="5"/>
  <c r="AA90" i="5"/>
  <c r="AA88" i="5"/>
  <c r="AA85" i="5"/>
  <c r="AA80" i="5"/>
  <c r="AA74" i="5"/>
  <c r="AA72" i="5"/>
  <c r="AA67" i="5"/>
  <c r="AA119" i="5"/>
  <c r="AA117" i="5"/>
  <c r="AA112" i="5"/>
  <c r="AA110" i="5"/>
  <c r="AA107" i="5"/>
  <c r="AA104" i="5"/>
  <c r="AA103" i="5"/>
  <c r="AA99" i="5"/>
  <c r="AA97" i="5"/>
  <c r="AA93" i="5"/>
  <c r="AA92" i="5"/>
  <c r="AA91" i="5"/>
  <c r="AA86" i="5"/>
  <c r="AA76" i="5"/>
  <c r="AA70" i="5"/>
  <c r="AA65" i="5"/>
  <c r="AA40" i="5"/>
  <c r="AA45" i="5"/>
  <c r="AA31" i="5"/>
  <c r="AA39" i="5"/>
  <c r="AA50" i="5"/>
  <c r="AA66" i="5"/>
  <c r="AA35" i="5"/>
  <c r="AA37" i="5"/>
  <c r="AA58" i="5"/>
  <c r="AA47" i="5"/>
  <c r="AA62" i="5"/>
  <c r="AA68" i="5"/>
  <c r="AA69" i="5"/>
  <c r="AA38" i="5"/>
  <c r="AA48" i="5"/>
  <c r="AA61" i="5"/>
  <c r="AA63" i="5"/>
  <c r="AA64" i="5"/>
  <c r="Z31" i="5"/>
  <c r="Z34" i="5"/>
  <c r="Z37" i="5"/>
  <c r="Z41" i="5"/>
  <c r="Z42" i="5"/>
  <c r="Z47" i="5"/>
  <c r="Z50" i="5"/>
  <c r="Z51" i="5"/>
  <c r="Z54" i="5"/>
  <c r="Z60" i="5"/>
  <c r="Z65" i="5"/>
  <c r="Z68" i="5"/>
  <c r="Z73" i="5"/>
  <c r="Z76" i="5"/>
  <c r="Z77" i="5"/>
  <c r="Z78" i="5"/>
  <c r="Z81" i="5"/>
  <c r="Z85" i="5"/>
  <c r="Z90" i="5"/>
  <c r="Z95" i="5"/>
  <c r="Z99" i="5"/>
  <c r="Z102" i="5"/>
  <c r="Z106" i="5"/>
  <c r="Z117" i="5"/>
  <c r="Z33" i="5"/>
  <c r="Z40" i="5"/>
  <c r="Z43" i="5"/>
  <c r="Z49" i="5"/>
  <c r="Z53" i="5"/>
  <c r="Z57" i="5"/>
  <c r="Z59" i="5"/>
  <c r="Z63" i="5"/>
  <c r="Z69" i="5"/>
  <c r="Z75" i="5"/>
  <c r="Z80" i="5"/>
  <c r="Z84" i="5"/>
  <c r="Z89" i="5"/>
  <c r="Z98" i="5"/>
  <c r="Z101" i="5"/>
  <c r="Z105" i="5"/>
  <c r="Z109" i="5"/>
  <c r="Z112" i="5"/>
  <c r="Z115" i="5"/>
  <c r="Z116" i="5"/>
  <c r="Z52" i="5"/>
  <c r="Z64" i="5"/>
  <c r="Z71" i="5"/>
  <c r="Z72" i="5"/>
  <c r="Z79" i="5"/>
  <c r="Z87" i="5"/>
  <c r="Z88" i="5"/>
  <c r="Z94" i="5"/>
  <c r="Z97" i="5"/>
  <c r="Z100" i="5"/>
  <c r="Z107" i="5"/>
  <c r="Z111" i="5"/>
  <c r="Z118" i="5"/>
  <c r="X40" i="5"/>
  <c r="X47" i="5"/>
  <c r="X48" i="5"/>
  <c r="X54" i="5"/>
  <c r="X66" i="5"/>
  <c r="X80" i="5"/>
  <c r="X86" i="5"/>
  <c r="X91" i="5"/>
  <c r="X109" i="5"/>
  <c r="X116" i="5"/>
  <c r="X39" i="5"/>
  <c r="Y47" i="5"/>
  <c r="Y48" i="5"/>
  <c r="Y49" i="5"/>
  <c r="X50" i="5"/>
  <c r="X52" i="5"/>
  <c r="Y54" i="5"/>
  <c r="Y55" i="5"/>
  <c r="X56" i="5"/>
  <c r="X60" i="5"/>
  <c r="X63" i="5"/>
  <c r="Y80" i="5"/>
  <c r="Y81" i="5"/>
  <c r="X82" i="5"/>
  <c r="X84" i="5"/>
  <c r="Y86" i="5"/>
  <c r="Y87" i="5"/>
  <c r="X89" i="5"/>
  <c r="X92" i="5"/>
  <c r="X101" i="5"/>
  <c r="X108" i="5"/>
  <c r="X113" i="5"/>
  <c r="X65" i="5"/>
  <c r="X35" i="5"/>
  <c r="X51" i="5"/>
  <c r="Y60" i="5"/>
  <c r="X62" i="5"/>
  <c r="X70" i="5"/>
  <c r="X75" i="5"/>
  <c r="Y78" i="5"/>
  <c r="X83" i="5"/>
  <c r="X93" i="5"/>
  <c r="X98" i="5"/>
  <c r="Y101" i="5"/>
  <c r="Y102" i="5"/>
  <c r="X103" i="5"/>
  <c r="X105" i="5"/>
  <c r="X112" i="5"/>
  <c r="X114" i="5"/>
  <c r="X115" i="5"/>
  <c r="Y67" i="5"/>
  <c r="Y32" i="5"/>
  <c r="X33" i="5"/>
  <c r="X37" i="5"/>
  <c r="Y58" i="5"/>
  <c r="X69" i="5"/>
  <c r="X74" i="5"/>
  <c r="X96" i="5"/>
  <c r="Y98" i="5"/>
  <c r="Y99" i="5"/>
  <c r="X104" i="5"/>
  <c r="X110" i="5"/>
  <c r="Y114" i="5"/>
  <c r="Y115" i="5"/>
  <c r="X120" i="5"/>
  <c r="Y31" i="5"/>
  <c r="Y33" i="5"/>
  <c r="Y34" i="5"/>
  <c r="Y50" i="5"/>
  <c r="Y56" i="5"/>
  <c r="Y57" i="5"/>
  <c r="Y62" i="5"/>
  <c r="Y63" i="5"/>
  <c r="Y69" i="5"/>
  <c r="Y70" i="5"/>
  <c r="Y71" i="5"/>
  <c r="Y73" i="5"/>
  <c r="Y82" i="5"/>
  <c r="Y88" i="5"/>
  <c r="Y92" i="5"/>
  <c r="Y103" i="5"/>
  <c r="Y108" i="5"/>
  <c r="Y109" i="5"/>
  <c r="Y110" i="5"/>
  <c r="Y111" i="5"/>
  <c r="Y118" i="5"/>
  <c r="Y120" i="5"/>
  <c r="Y39" i="5"/>
  <c r="Y40" i="5"/>
  <c r="Y41" i="5"/>
  <c r="Y45" i="5"/>
  <c r="Y65" i="5"/>
  <c r="Y68" i="5"/>
  <c r="Y72" i="5"/>
  <c r="Y74" i="5"/>
  <c r="Y75" i="5"/>
  <c r="Y76" i="5"/>
  <c r="Y89" i="5"/>
  <c r="Y90" i="5"/>
  <c r="Y95" i="5"/>
  <c r="Y107" i="5"/>
  <c r="Y112" i="5"/>
  <c r="Y113" i="5"/>
  <c r="Y116" i="5"/>
  <c r="Y117" i="5"/>
  <c r="Y119" i="5"/>
  <c r="Y42" i="5"/>
  <c r="Y51" i="5"/>
  <c r="Y52" i="5"/>
  <c r="Y53" i="5"/>
  <c r="Y64" i="5"/>
  <c r="Y66" i="5"/>
  <c r="Y77" i="5"/>
  <c r="Y79" i="5"/>
  <c r="Y83" i="5"/>
  <c r="Y84" i="5"/>
  <c r="Y85" i="5"/>
  <c r="Y91" i="5"/>
  <c r="Y93" i="5"/>
  <c r="Y94" i="5"/>
  <c r="Y96" i="5"/>
  <c r="Y97" i="5"/>
  <c r="Y100" i="5"/>
  <c r="Y104" i="5"/>
  <c r="Y105" i="5"/>
  <c r="X31" i="5"/>
  <c r="X32" i="5"/>
  <c r="X41" i="5"/>
  <c r="X43" i="5"/>
  <c r="X44" i="5"/>
  <c r="X45" i="5"/>
  <c r="X49" i="5"/>
  <c r="X53" i="5"/>
  <c r="X57" i="5"/>
  <c r="X58" i="5"/>
  <c r="X59" i="5"/>
  <c r="X67" i="5"/>
  <c r="X68" i="5"/>
  <c r="X71" i="5"/>
  <c r="X76" i="5"/>
  <c r="X78" i="5"/>
  <c r="X79" i="5"/>
  <c r="X87" i="5"/>
  <c r="X90" i="5"/>
  <c r="X97" i="5"/>
  <c r="X102" i="5"/>
  <c r="X106" i="5"/>
  <c r="X107" i="5"/>
  <c r="X111" i="5"/>
  <c r="X119" i="5"/>
  <c r="X61" i="5"/>
  <c r="X64" i="5"/>
  <c r="X72" i="5"/>
  <c r="X73" i="5"/>
  <c r="X77" i="5"/>
  <c r="X81" i="5"/>
  <c r="X85" i="5"/>
  <c r="X88" i="5"/>
  <c r="X94" i="5"/>
  <c r="X95" i="5"/>
  <c r="X99" i="5"/>
  <c r="X100" i="5"/>
  <c r="X117" i="5"/>
  <c r="W32" i="5"/>
  <c r="W37" i="5"/>
  <c r="W40" i="5"/>
  <c r="W44" i="5"/>
  <c r="W49" i="5"/>
  <c r="W53" i="5"/>
  <c r="W55" i="5"/>
  <c r="W57" i="5"/>
  <c r="W60" i="5"/>
  <c r="W63" i="5"/>
  <c r="W65" i="5"/>
  <c r="W68" i="5"/>
  <c r="W70" i="5"/>
  <c r="W75" i="5"/>
  <c r="W79" i="5"/>
  <c r="W84" i="5"/>
  <c r="W88" i="5"/>
  <c r="W95" i="5"/>
  <c r="W97" i="5"/>
  <c r="W100" i="5"/>
  <c r="W102" i="5"/>
  <c r="W107" i="5"/>
  <c r="W110" i="5"/>
  <c r="W112" i="5"/>
  <c r="W114" i="5"/>
  <c r="W35" i="5"/>
  <c r="W38" i="5"/>
  <c r="W42" i="5"/>
  <c r="W45" i="5"/>
  <c r="W47" i="5"/>
  <c r="W51" i="5"/>
  <c r="W58" i="5"/>
  <c r="W72" i="5"/>
  <c r="W77" i="5"/>
  <c r="W82" i="5"/>
  <c r="W87" i="5"/>
  <c r="W91" i="5"/>
  <c r="W104" i="5"/>
  <c r="W113" i="5"/>
  <c r="W115" i="5"/>
  <c r="W117" i="5"/>
  <c r="W119" i="5"/>
  <c r="W120" i="5"/>
  <c r="AD24" i="5"/>
  <c r="W48" i="5"/>
  <c r="W52" i="5"/>
  <c r="W54" i="5"/>
  <c r="W56" i="5"/>
  <c r="W61" i="5"/>
  <c r="W71" i="5"/>
  <c r="W73" i="5"/>
  <c r="W76" i="5"/>
  <c r="W80" i="5"/>
  <c r="W85" i="5"/>
  <c r="W89" i="5"/>
  <c r="W93" i="5"/>
  <c r="W96" i="5"/>
  <c r="W98" i="5"/>
  <c r="W101" i="5"/>
  <c r="W103" i="5"/>
  <c r="W105" i="5"/>
  <c r="W111" i="5"/>
  <c r="V34" i="5"/>
  <c r="V44" i="5"/>
  <c r="V115" i="5"/>
  <c r="AD22" i="5"/>
  <c r="AD26" i="5"/>
  <c r="AD30" i="5"/>
  <c r="U41" i="5"/>
  <c r="U50" i="5"/>
  <c r="U63" i="5"/>
  <c r="U66" i="5"/>
  <c r="U71" i="5"/>
  <c r="U72" i="5"/>
  <c r="U74" i="5"/>
  <c r="U85" i="5"/>
  <c r="U94" i="5"/>
  <c r="U99" i="5"/>
  <c r="U105" i="5"/>
  <c r="U107" i="5"/>
  <c r="U113" i="5"/>
  <c r="U118" i="5"/>
  <c r="U32" i="5"/>
  <c r="U34" i="5"/>
  <c r="U38" i="5"/>
  <c r="U46" i="5"/>
  <c r="U49" i="5"/>
  <c r="U52" i="5"/>
  <c r="U55" i="5"/>
  <c r="U60" i="5"/>
  <c r="U65" i="5"/>
  <c r="U70" i="5"/>
  <c r="U76" i="5"/>
  <c r="U77" i="5"/>
  <c r="U79" i="5"/>
  <c r="U82" i="5"/>
  <c r="U84" i="5"/>
  <c r="U87" i="5"/>
  <c r="U88" i="5"/>
  <c r="U90" i="5"/>
  <c r="U96" i="5"/>
  <c r="U101" i="5"/>
  <c r="U110" i="5"/>
  <c r="U115" i="5"/>
  <c r="AD28" i="5"/>
  <c r="AD121" i="5"/>
  <c r="U44" i="5"/>
  <c r="U47" i="5"/>
  <c r="U58" i="5"/>
  <c r="U68" i="5"/>
  <c r="U80" i="5"/>
  <c r="AD23" i="5"/>
  <c r="AD25" i="5"/>
  <c r="AD27" i="5"/>
  <c r="AD29" i="5"/>
  <c r="U43" i="5"/>
  <c r="U54" i="5"/>
  <c r="U57" i="5"/>
  <c r="U62" i="5"/>
  <c r="U73" i="5"/>
  <c r="U75" i="5"/>
  <c r="U81" i="5"/>
  <c r="U86" i="5"/>
  <c r="U92" i="5"/>
  <c r="U93" i="5"/>
  <c r="U95" i="5"/>
  <c r="U98" i="5"/>
  <c r="U100" i="5"/>
  <c r="U103" i="5"/>
  <c r="U104" i="5"/>
  <c r="U106" i="5"/>
  <c r="U112" i="5"/>
  <c r="T34" i="5"/>
  <c r="T35" i="5"/>
  <c r="T40" i="5"/>
  <c r="T41" i="5"/>
  <c r="T42" i="5"/>
  <c r="T53" i="5"/>
  <c r="T54" i="5"/>
  <c r="T59" i="5"/>
  <c r="T65" i="5"/>
  <c r="T70" i="5"/>
  <c r="T75" i="5"/>
  <c r="T81" i="5"/>
  <c r="T86" i="5"/>
  <c r="T91" i="5"/>
  <c r="T97" i="5"/>
  <c r="T102" i="5"/>
  <c r="T107" i="5"/>
  <c r="T113" i="5"/>
  <c r="T118" i="5"/>
  <c r="T33" i="5"/>
  <c r="T39" i="5"/>
  <c r="T45" i="5"/>
  <c r="T52" i="5"/>
  <c r="T58" i="5"/>
  <c r="T63" i="5"/>
  <c r="T64" i="5"/>
  <c r="T68" i="5"/>
  <c r="T69" i="5"/>
  <c r="T74" i="5"/>
  <c r="T79" i="5"/>
  <c r="T80" i="5"/>
  <c r="T84" i="5"/>
  <c r="T85" i="5"/>
  <c r="T90" i="5"/>
  <c r="T95" i="5"/>
  <c r="T96" i="5"/>
  <c r="T100" i="5"/>
  <c r="T101" i="5"/>
  <c r="T106" i="5"/>
  <c r="T111" i="5"/>
  <c r="T112" i="5"/>
  <c r="T116" i="5"/>
  <c r="T117" i="5"/>
  <c r="T48" i="5"/>
  <c r="T49" i="5"/>
  <c r="T51" i="5"/>
  <c r="T56" i="5"/>
  <c r="T61" i="5"/>
  <c r="T62" i="5"/>
  <c r="T73" i="5"/>
  <c r="T78" i="5"/>
  <c r="T83" i="5"/>
  <c r="T89" i="5"/>
  <c r="T94" i="5"/>
  <c r="T99" i="5"/>
  <c r="T105" i="5"/>
  <c r="T110" i="5"/>
  <c r="E112" i="1"/>
  <c r="S34" i="5"/>
  <c r="S45" i="5"/>
  <c r="S44" i="5"/>
  <c r="S43" i="5"/>
  <c r="S42" i="5"/>
  <c r="S56" i="5"/>
  <c r="S55" i="5"/>
  <c r="S54" i="5"/>
  <c r="S111" i="5"/>
  <c r="S110" i="5"/>
  <c r="S109" i="5"/>
  <c r="S95" i="5"/>
  <c r="S94" i="5"/>
  <c r="S93" i="5"/>
  <c r="S79" i="5"/>
  <c r="S78" i="5"/>
  <c r="S77" i="5"/>
  <c r="S119" i="5"/>
  <c r="S118" i="5"/>
  <c r="AD118" i="5" s="1"/>
  <c r="S117" i="5"/>
  <c r="S103" i="5"/>
  <c r="S102" i="5"/>
  <c r="S101" i="5"/>
  <c r="S87" i="5"/>
  <c r="S86" i="5"/>
  <c r="S85" i="5"/>
  <c r="S71" i="5"/>
  <c r="AD71" i="5" s="1"/>
  <c r="S80" i="5"/>
  <c r="S81" i="5"/>
  <c r="S82" i="5"/>
  <c r="S83" i="5"/>
  <c r="AD83" i="5" s="1"/>
  <c r="S84" i="5"/>
  <c r="S112" i="5"/>
  <c r="S113" i="5"/>
  <c r="S114" i="5"/>
  <c r="AD114" i="5" s="1"/>
  <c r="S115" i="5"/>
  <c r="S116" i="5"/>
  <c r="AD20" i="5"/>
  <c r="S31" i="5"/>
  <c r="S32" i="5"/>
  <c r="S33" i="5"/>
  <c r="S35" i="5"/>
  <c r="S72" i="5"/>
  <c r="AD72" i="5" s="1"/>
  <c r="S73" i="5"/>
  <c r="S74" i="5"/>
  <c r="S75" i="5"/>
  <c r="S76" i="5"/>
  <c r="S104" i="5"/>
  <c r="S105" i="5"/>
  <c r="S106" i="5"/>
  <c r="S107" i="5"/>
  <c r="S108" i="5"/>
  <c r="S40" i="5"/>
  <c r="S39" i="5"/>
  <c r="S38" i="5"/>
  <c r="S37" i="5"/>
  <c r="S50" i="5"/>
  <c r="S48" i="5"/>
  <c r="S47" i="5"/>
  <c r="S46" i="5"/>
  <c r="S63" i="5"/>
  <c r="S62" i="5"/>
  <c r="S70" i="5"/>
  <c r="S69" i="5"/>
  <c r="S49" i="5"/>
  <c r="S57" i="5"/>
  <c r="S58" i="5"/>
  <c r="S59" i="5"/>
  <c r="S60" i="5"/>
  <c r="S61" i="5"/>
  <c r="S64" i="5"/>
  <c r="S65" i="5"/>
  <c r="S66" i="5"/>
  <c r="S67" i="5"/>
  <c r="S68" i="5"/>
  <c r="S96" i="5"/>
  <c r="S97" i="5"/>
  <c r="S98" i="5"/>
  <c r="S99" i="5"/>
  <c r="AD99" i="5" s="1"/>
  <c r="S100" i="5"/>
  <c r="S41" i="5"/>
  <c r="S51" i="5"/>
  <c r="S52" i="5"/>
  <c r="S53" i="5"/>
  <c r="S88" i="5"/>
  <c r="S89" i="5"/>
  <c r="S90" i="5"/>
  <c r="S91" i="5"/>
  <c r="S92" i="5"/>
  <c r="S120" i="5"/>
  <c r="AC26" i="5"/>
  <c r="R40" i="5"/>
  <c r="R39" i="5"/>
  <c r="R36" i="5"/>
  <c r="AC36" i="5" s="1"/>
  <c r="R32" i="5"/>
  <c r="R48" i="5"/>
  <c r="R47" i="5"/>
  <c r="R43" i="5"/>
  <c r="R67" i="5"/>
  <c r="R63" i="5"/>
  <c r="R70" i="5"/>
  <c r="R66" i="5"/>
  <c r="R62" i="5"/>
  <c r="R59" i="5"/>
  <c r="R55" i="5"/>
  <c r="R118" i="5"/>
  <c r="R114" i="5"/>
  <c r="R110" i="5"/>
  <c r="R106" i="5"/>
  <c r="R102" i="5"/>
  <c r="R98" i="5"/>
  <c r="R94" i="5"/>
  <c r="R90" i="5"/>
  <c r="R86" i="5"/>
  <c r="R82" i="5"/>
  <c r="R78" i="5"/>
  <c r="R74" i="5"/>
  <c r="AC20" i="5"/>
  <c r="AC28" i="5"/>
  <c r="R37" i="5"/>
  <c r="R45" i="5"/>
  <c r="R58" i="5"/>
  <c r="R65" i="5"/>
  <c r="R73" i="5"/>
  <c r="R81" i="5"/>
  <c r="R89" i="5"/>
  <c r="R97" i="5"/>
  <c r="R105" i="5"/>
  <c r="R113" i="5"/>
  <c r="R121" i="5"/>
  <c r="R34" i="5"/>
  <c r="R38" i="5"/>
  <c r="R46" i="5"/>
  <c r="R53" i="5"/>
  <c r="R61" i="5"/>
  <c r="R68" i="5"/>
  <c r="R76" i="5"/>
  <c r="R84" i="5"/>
  <c r="R92" i="5"/>
  <c r="R100" i="5"/>
  <c r="R108" i="5"/>
  <c r="R116" i="5"/>
  <c r="AC24" i="5"/>
  <c r="AC23" i="5"/>
  <c r="AC25" i="5"/>
  <c r="AC27" i="5"/>
  <c r="AC29" i="5"/>
  <c r="AC22" i="5"/>
  <c r="AC30" i="5"/>
  <c r="R52" i="5"/>
  <c r="R56" i="5"/>
  <c r="R71" i="5"/>
  <c r="R75" i="5"/>
  <c r="R79" i="5"/>
  <c r="R83" i="5"/>
  <c r="R87" i="5"/>
  <c r="R91" i="5"/>
  <c r="R95" i="5"/>
  <c r="R99" i="5"/>
  <c r="R103" i="5"/>
  <c r="R107" i="5"/>
  <c r="R111" i="5"/>
  <c r="R115" i="5"/>
  <c r="V54" i="5"/>
  <c r="V60" i="5"/>
  <c r="V58" i="5"/>
  <c r="V56" i="5"/>
  <c r="V52" i="5"/>
  <c r="V40" i="5"/>
  <c r="V47" i="5"/>
  <c r="V63" i="5"/>
  <c r="V79" i="5"/>
  <c r="V87" i="5"/>
  <c r="V95" i="5"/>
  <c r="V111" i="5"/>
  <c r="V119" i="5"/>
  <c r="V45" i="5"/>
  <c r="V53" i="5"/>
  <c r="V93" i="5"/>
  <c r="V101" i="5"/>
  <c r="V109" i="5"/>
  <c r="V50" i="5"/>
  <c r="V46" i="5"/>
  <c r="V48" i="5"/>
  <c r="V62" i="5"/>
  <c r="V70" i="5"/>
  <c r="V68" i="5"/>
  <c r="V66" i="5"/>
  <c r="V64" i="5"/>
  <c r="V31" i="5"/>
  <c r="V33" i="5"/>
  <c r="V35" i="5"/>
  <c r="V37" i="5"/>
  <c r="V41" i="5"/>
  <c r="V43" i="5"/>
  <c r="V51" i="5"/>
  <c r="V59" i="5"/>
  <c r="V67" i="5"/>
  <c r="V75" i="5"/>
  <c r="V83" i="5"/>
  <c r="V91" i="5"/>
  <c r="V99" i="5"/>
  <c r="V107" i="5"/>
  <c r="V120" i="5"/>
  <c r="V118" i="5"/>
  <c r="V116" i="5"/>
  <c r="V114" i="5"/>
  <c r="V112" i="5"/>
  <c r="V110" i="5"/>
  <c r="V108" i="5"/>
  <c r="V106" i="5"/>
  <c r="V104" i="5"/>
  <c r="V102" i="5"/>
  <c r="V100" i="5"/>
  <c r="V98" i="5"/>
  <c r="V96" i="5"/>
  <c r="V94" i="5"/>
  <c r="V92" i="5"/>
  <c r="V90" i="5"/>
  <c r="V88" i="5"/>
  <c r="V86" i="5"/>
  <c r="V84" i="5"/>
  <c r="V82" i="5"/>
  <c r="V80" i="5"/>
  <c r="V78" i="5"/>
  <c r="V76" i="5"/>
  <c r="V74" i="5"/>
  <c r="V72" i="5"/>
  <c r="V32" i="5"/>
  <c r="V38" i="5"/>
  <c r="V42" i="5"/>
  <c r="V55" i="5"/>
  <c r="V71" i="5"/>
  <c r="V103" i="5"/>
  <c r="V69" i="5"/>
  <c r="V77" i="5"/>
  <c r="V85" i="5"/>
  <c r="V117" i="5"/>
  <c r="V49" i="5"/>
  <c r="V57" i="5"/>
  <c r="V65" i="5"/>
  <c r="V73" i="5"/>
  <c r="V81" i="5"/>
  <c r="V89" i="5"/>
  <c r="V97" i="5"/>
  <c r="V105" i="5"/>
  <c r="V113" i="5"/>
  <c r="V121" i="5"/>
  <c r="P112" i="4"/>
  <c r="H112" i="4"/>
  <c r="H111" i="4"/>
  <c r="P111" i="4" s="1"/>
  <c r="H110" i="4"/>
  <c r="P110" i="4" s="1"/>
  <c r="H109" i="4"/>
  <c r="P109" i="4" s="1"/>
  <c r="H108" i="4"/>
  <c r="P108" i="4" s="1"/>
  <c r="H107" i="4"/>
  <c r="P107" i="4" s="1"/>
  <c r="H106" i="4"/>
  <c r="P106" i="4" s="1"/>
  <c r="H105" i="4"/>
  <c r="P105" i="4" s="1"/>
  <c r="H104" i="4"/>
  <c r="P104" i="4" s="1"/>
  <c r="H103" i="4"/>
  <c r="P103" i="4" s="1"/>
  <c r="H102" i="4"/>
  <c r="P102" i="4" s="1"/>
  <c r="H101" i="4"/>
  <c r="P101" i="4" s="1"/>
  <c r="H100" i="4"/>
  <c r="P100" i="4" s="1"/>
  <c r="H99" i="4"/>
  <c r="P99" i="4" s="1"/>
  <c r="H98" i="4"/>
  <c r="P98" i="4" s="1"/>
  <c r="H97" i="4"/>
  <c r="P97" i="4" s="1"/>
  <c r="H96" i="4"/>
  <c r="P96" i="4" s="1"/>
  <c r="H95" i="4"/>
  <c r="P95" i="4" s="1"/>
  <c r="H94" i="4"/>
  <c r="P94" i="4" s="1"/>
  <c r="H93" i="4"/>
  <c r="P93" i="4" s="1"/>
  <c r="H92" i="4"/>
  <c r="P92" i="4" s="1"/>
  <c r="H91" i="4"/>
  <c r="P91" i="4" s="1"/>
  <c r="H90" i="4"/>
  <c r="P90" i="4" s="1"/>
  <c r="H89" i="4"/>
  <c r="P89" i="4" s="1"/>
  <c r="H88" i="4"/>
  <c r="P88" i="4" s="1"/>
  <c r="H87" i="4"/>
  <c r="P87" i="4" s="1"/>
  <c r="H86" i="4"/>
  <c r="P86" i="4" s="1"/>
  <c r="H85" i="4"/>
  <c r="P85" i="4" s="1"/>
  <c r="H84" i="4"/>
  <c r="P84" i="4" s="1"/>
  <c r="H83" i="4"/>
  <c r="P83" i="4" s="1"/>
  <c r="H82" i="4"/>
  <c r="P82" i="4" s="1"/>
  <c r="H81" i="4"/>
  <c r="P81" i="4" s="1"/>
  <c r="H80" i="4"/>
  <c r="P80" i="4" s="1"/>
  <c r="H79" i="4"/>
  <c r="P79" i="4" s="1"/>
  <c r="H78" i="4"/>
  <c r="P78" i="4" s="1"/>
  <c r="H77" i="4"/>
  <c r="P77" i="4" s="1"/>
  <c r="H76" i="4"/>
  <c r="P76" i="4" s="1"/>
  <c r="H75" i="4"/>
  <c r="P75" i="4" s="1"/>
  <c r="H74" i="4"/>
  <c r="P74" i="4" s="1"/>
  <c r="H73" i="4"/>
  <c r="P73" i="4" s="1"/>
  <c r="H72" i="4"/>
  <c r="P72" i="4" s="1"/>
  <c r="H71" i="4"/>
  <c r="P71" i="4" s="1"/>
  <c r="H70" i="4"/>
  <c r="P70" i="4" s="1"/>
  <c r="H69" i="4"/>
  <c r="P69" i="4" s="1"/>
  <c r="H68" i="4"/>
  <c r="P68" i="4" s="1"/>
  <c r="H67" i="4"/>
  <c r="P67" i="4" s="1"/>
  <c r="H66" i="4"/>
  <c r="P66" i="4" s="1"/>
  <c r="H65" i="4"/>
  <c r="P65" i="4" s="1"/>
  <c r="H64" i="4"/>
  <c r="P64" i="4" s="1"/>
  <c r="H63" i="4"/>
  <c r="P63" i="4" s="1"/>
  <c r="H62" i="4"/>
  <c r="P62" i="4" s="1"/>
  <c r="H61" i="4"/>
  <c r="P61" i="4" s="1"/>
  <c r="H60" i="4"/>
  <c r="P60" i="4" s="1"/>
  <c r="H59" i="4"/>
  <c r="P59" i="4" s="1"/>
  <c r="H58" i="4"/>
  <c r="P58" i="4" s="1"/>
  <c r="H57" i="4"/>
  <c r="P57" i="4" s="1"/>
  <c r="H56" i="4"/>
  <c r="P56" i="4" s="1"/>
  <c r="H55" i="4"/>
  <c r="P55" i="4" s="1"/>
  <c r="H54" i="4"/>
  <c r="P54" i="4" s="1"/>
  <c r="H53" i="4"/>
  <c r="P53" i="4" s="1"/>
  <c r="H52" i="4"/>
  <c r="P52" i="4" s="1"/>
  <c r="H51" i="4"/>
  <c r="P51" i="4" s="1"/>
  <c r="H50" i="4"/>
  <c r="P50" i="4" s="1"/>
  <c r="H49" i="4"/>
  <c r="P49" i="4" s="1"/>
  <c r="H48" i="4"/>
  <c r="P48" i="4" s="1"/>
  <c r="H47" i="4"/>
  <c r="P47" i="4" s="1"/>
  <c r="H46" i="4"/>
  <c r="P46" i="4" s="1"/>
  <c r="H45" i="4"/>
  <c r="P45" i="4" s="1"/>
  <c r="H44" i="4"/>
  <c r="P44" i="4" s="1"/>
  <c r="H43" i="4"/>
  <c r="P43" i="4" s="1"/>
  <c r="H42" i="4"/>
  <c r="P42" i="4" s="1"/>
  <c r="H41" i="4"/>
  <c r="P41" i="4" s="1"/>
  <c r="H40" i="4"/>
  <c r="P40" i="4" s="1"/>
  <c r="H39" i="4"/>
  <c r="P39" i="4" s="1"/>
  <c r="H38" i="4"/>
  <c r="P38" i="4" s="1"/>
  <c r="H37" i="4"/>
  <c r="P37" i="4" s="1"/>
  <c r="H36" i="4"/>
  <c r="P36" i="4" s="1"/>
  <c r="H35" i="4"/>
  <c r="P35" i="4" s="1"/>
  <c r="H34" i="4"/>
  <c r="P34" i="4" s="1"/>
  <c r="H33" i="4"/>
  <c r="P33" i="4" s="1"/>
  <c r="H32" i="4"/>
  <c r="P32" i="4" s="1"/>
  <c r="H31" i="4"/>
  <c r="P31" i="4" s="1"/>
  <c r="H30" i="4"/>
  <c r="P30" i="4" s="1"/>
  <c r="H29" i="4"/>
  <c r="P29" i="4" s="1"/>
  <c r="H28" i="4"/>
  <c r="P28" i="4" s="1"/>
  <c r="H27" i="4"/>
  <c r="P27" i="4" s="1"/>
  <c r="H26" i="4"/>
  <c r="P26" i="4" s="1"/>
  <c r="P25" i="4"/>
  <c r="H25" i="4"/>
  <c r="H24" i="4"/>
  <c r="P24" i="4" s="1"/>
  <c r="H23" i="4"/>
  <c r="P23" i="4" s="1"/>
  <c r="H22" i="4"/>
  <c r="P22" i="4" s="1"/>
  <c r="H21" i="4"/>
  <c r="P21" i="4" s="1"/>
  <c r="H20" i="4"/>
  <c r="P20" i="4" s="1"/>
  <c r="F20" i="4"/>
  <c r="N20" i="4" s="1"/>
  <c r="G13" i="4"/>
  <c r="O13" i="4" s="1"/>
  <c r="C13" i="4"/>
  <c r="AD64" i="5" l="1"/>
  <c r="AD109" i="5"/>
  <c r="AD31" i="5"/>
  <c r="AD67" i="5"/>
  <c r="E74" i="15"/>
  <c r="M74" i="15" s="1"/>
  <c r="E74" i="14"/>
  <c r="M74" i="14" s="1"/>
  <c r="E74" i="8"/>
  <c r="M74" i="8" s="1"/>
  <c r="E74" i="7"/>
  <c r="M74" i="7" s="1"/>
  <c r="E74" i="9"/>
  <c r="M74" i="9" s="1"/>
  <c r="E74" i="11"/>
  <c r="M74" i="11" s="1"/>
  <c r="E74" i="10"/>
  <c r="M74" i="10" s="1"/>
  <c r="E100" i="15"/>
  <c r="M100" i="15" s="1"/>
  <c r="E100" i="14"/>
  <c r="M100" i="14" s="1"/>
  <c r="E100" i="7"/>
  <c r="M100" i="7" s="1"/>
  <c r="E100" i="8"/>
  <c r="M100" i="8" s="1"/>
  <c r="E100" i="11"/>
  <c r="M100" i="11" s="1"/>
  <c r="E100" i="9"/>
  <c r="M100" i="9" s="1"/>
  <c r="E100" i="10"/>
  <c r="M100" i="10" s="1"/>
  <c r="E19" i="1"/>
  <c r="M19" i="1" s="1"/>
  <c r="E19" i="15"/>
  <c r="M19" i="15" s="1"/>
  <c r="E19" i="14"/>
  <c r="M19" i="14" s="1"/>
  <c r="E19" i="8"/>
  <c r="M19" i="8" s="1"/>
  <c r="E19" i="7"/>
  <c r="M19" i="7" s="1"/>
  <c r="E19" i="10"/>
  <c r="M19" i="10" s="1"/>
  <c r="E19" i="11"/>
  <c r="M19" i="11" s="1"/>
  <c r="E19" i="9"/>
  <c r="M19" i="9" s="1"/>
  <c r="D27" i="15"/>
  <c r="L27" i="15" s="1"/>
  <c r="D27" i="14"/>
  <c r="L27" i="14" s="1"/>
  <c r="D27" i="8"/>
  <c r="L27" i="8" s="1"/>
  <c r="D27" i="7"/>
  <c r="L27" i="7" s="1"/>
  <c r="D27" i="10"/>
  <c r="L27" i="10" s="1"/>
  <c r="D27" i="9"/>
  <c r="L27" i="9" s="1"/>
  <c r="D27" i="11"/>
  <c r="L27" i="11" s="1"/>
  <c r="E58" i="15"/>
  <c r="M58" i="15" s="1"/>
  <c r="E58" i="14"/>
  <c r="M58" i="14" s="1"/>
  <c r="E58" i="8"/>
  <c r="M58" i="8" s="1"/>
  <c r="E58" i="7"/>
  <c r="M58" i="7" s="1"/>
  <c r="E58" i="9"/>
  <c r="M58" i="9" s="1"/>
  <c r="E58" i="11"/>
  <c r="M58" i="11" s="1"/>
  <c r="E58" i="10"/>
  <c r="M58" i="10" s="1"/>
  <c r="AD45" i="5"/>
  <c r="E36" i="4" s="1"/>
  <c r="M36" i="4" s="1"/>
  <c r="E14" i="1"/>
  <c r="M14" i="1" s="1"/>
  <c r="E14" i="15"/>
  <c r="M14" i="15" s="1"/>
  <c r="E14" i="14"/>
  <c r="M14" i="14" s="1"/>
  <c r="E14" i="7"/>
  <c r="M14" i="7" s="1"/>
  <c r="E14" i="8"/>
  <c r="M14" i="8" s="1"/>
  <c r="E14" i="9"/>
  <c r="M14" i="9" s="1"/>
  <c r="E14" i="10"/>
  <c r="M14" i="10" s="1"/>
  <c r="E14" i="11"/>
  <c r="M14" i="11" s="1"/>
  <c r="E21" i="4"/>
  <c r="M21" i="4" s="1"/>
  <c r="E21" i="15"/>
  <c r="M21" i="15" s="1"/>
  <c r="E21" i="14"/>
  <c r="M21" i="14" s="1"/>
  <c r="E21" i="8"/>
  <c r="M21" i="8" s="1"/>
  <c r="E21" i="7"/>
  <c r="M21" i="7" s="1"/>
  <c r="E21" i="11"/>
  <c r="M21" i="11" s="1"/>
  <c r="E21" i="10"/>
  <c r="M21" i="10" s="1"/>
  <c r="E21" i="9"/>
  <c r="M21" i="9" s="1"/>
  <c r="E15" i="1"/>
  <c r="M15" i="1" s="1"/>
  <c r="E15" i="15"/>
  <c r="M15" i="15" s="1"/>
  <c r="E15" i="14"/>
  <c r="M15" i="14" s="1"/>
  <c r="E15" i="7"/>
  <c r="M15" i="7" s="1"/>
  <c r="E15" i="8"/>
  <c r="M15" i="8" s="1"/>
  <c r="E15" i="11"/>
  <c r="M15" i="11" s="1"/>
  <c r="E15" i="10"/>
  <c r="M15" i="10" s="1"/>
  <c r="E15" i="9"/>
  <c r="M15" i="9" s="1"/>
  <c r="D15" i="15"/>
  <c r="D15" i="14"/>
  <c r="D15" i="8"/>
  <c r="D15" i="7"/>
  <c r="D15" i="9"/>
  <c r="D15" i="11"/>
  <c r="D15" i="10"/>
  <c r="D17" i="15"/>
  <c r="D17" i="14"/>
  <c r="D17" i="8"/>
  <c r="D17" i="7"/>
  <c r="D17" i="11"/>
  <c r="D17" i="9"/>
  <c r="D17" i="10"/>
  <c r="E55" i="15"/>
  <c r="M55" i="15" s="1"/>
  <c r="E55" i="14"/>
  <c r="M55" i="14" s="1"/>
  <c r="E55" i="8"/>
  <c r="E55" i="7"/>
  <c r="E55" i="11"/>
  <c r="E55" i="9"/>
  <c r="E55" i="10"/>
  <c r="E22" i="15"/>
  <c r="M22" i="15" s="1"/>
  <c r="E22" i="14"/>
  <c r="M22" i="14" s="1"/>
  <c r="E22" i="8"/>
  <c r="M22" i="8" s="1"/>
  <c r="E22" i="7"/>
  <c r="M22" i="7" s="1"/>
  <c r="E22" i="9"/>
  <c r="M22" i="9" s="1"/>
  <c r="E22" i="11"/>
  <c r="M22" i="11" s="1"/>
  <c r="E22" i="10"/>
  <c r="M22" i="10" s="1"/>
  <c r="E62" i="15"/>
  <c r="M62" i="15" s="1"/>
  <c r="E62" i="14"/>
  <c r="M62" i="14" s="1"/>
  <c r="E62" i="8"/>
  <c r="M62" i="8" s="1"/>
  <c r="E62" i="7"/>
  <c r="M62" i="7" s="1"/>
  <c r="E62" i="9"/>
  <c r="M62" i="9" s="1"/>
  <c r="E62" i="10"/>
  <c r="M62" i="10" s="1"/>
  <c r="E62" i="11"/>
  <c r="M62" i="11" s="1"/>
  <c r="D18" i="15"/>
  <c r="D18" i="14"/>
  <c r="D18" i="8"/>
  <c r="D18" i="7"/>
  <c r="D18" i="9"/>
  <c r="D18" i="11"/>
  <c r="D18" i="10"/>
  <c r="AC118" i="5"/>
  <c r="D109" i="4" s="1"/>
  <c r="D21" i="15"/>
  <c r="D21" i="14"/>
  <c r="D21" i="8"/>
  <c r="L21" i="8" s="1"/>
  <c r="D21" i="7"/>
  <c r="D21" i="10"/>
  <c r="D21" i="9"/>
  <c r="L21" i="9" s="1"/>
  <c r="D21" i="11"/>
  <c r="D16" i="15"/>
  <c r="D16" i="14"/>
  <c r="D16" i="8"/>
  <c r="D16" i="7"/>
  <c r="D16" i="9"/>
  <c r="D16" i="11"/>
  <c r="D16" i="10"/>
  <c r="E20" i="4"/>
  <c r="M20" i="4" s="1"/>
  <c r="E20" i="15"/>
  <c r="M20" i="15" s="1"/>
  <c r="E20" i="14"/>
  <c r="M20" i="14" s="1"/>
  <c r="E20" i="8"/>
  <c r="M20" i="8" s="1"/>
  <c r="E20" i="7"/>
  <c r="M20" i="7" s="1"/>
  <c r="E20" i="11"/>
  <c r="M20" i="11" s="1"/>
  <c r="E20" i="9"/>
  <c r="M20" i="9" s="1"/>
  <c r="E20" i="10"/>
  <c r="M20" i="10" s="1"/>
  <c r="E17" i="1"/>
  <c r="M17" i="1" s="1"/>
  <c r="E17" i="15"/>
  <c r="M17" i="15" s="1"/>
  <c r="E17" i="14"/>
  <c r="M17" i="14" s="1"/>
  <c r="E17" i="8"/>
  <c r="M17" i="8" s="1"/>
  <c r="E17" i="7"/>
  <c r="M17" i="7" s="1"/>
  <c r="E17" i="9"/>
  <c r="M17" i="9" s="1"/>
  <c r="E17" i="10"/>
  <c r="M17" i="10" s="1"/>
  <c r="E17" i="11"/>
  <c r="M17" i="11" s="1"/>
  <c r="D20" i="15"/>
  <c r="D20" i="14"/>
  <c r="D20" i="7"/>
  <c r="D20" i="8"/>
  <c r="D20" i="10"/>
  <c r="D20" i="11"/>
  <c r="D20" i="9"/>
  <c r="D19" i="15"/>
  <c r="D19" i="14"/>
  <c r="D19" i="8"/>
  <c r="D19" i="7"/>
  <c r="D19" i="10"/>
  <c r="D19" i="11"/>
  <c r="D19" i="9"/>
  <c r="E90" i="15"/>
  <c r="M90" i="15" s="1"/>
  <c r="E90" i="14"/>
  <c r="M90" i="14" s="1"/>
  <c r="E90" i="7"/>
  <c r="M90" i="7" s="1"/>
  <c r="E90" i="8"/>
  <c r="M90" i="8" s="1"/>
  <c r="E90" i="9"/>
  <c r="M90" i="9" s="1"/>
  <c r="E90" i="11"/>
  <c r="M90" i="11" s="1"/>
  <c r="E90" i="10"/>
  <c r="M90" i="10" s="1"/>
  <c r="E63" i="15"/>
  <c r="M63" i="15" s="1"/>
  <c r="E63" i="14"/>
  <c r="M63" i="14" s="1"/>
  <c r="E63" i="8"/>
  <c r="M63" i="8" s="1"/>
  <c r="E63" i="7"/>
  <c r="M63" i="7" s="1"/>
  <c r="E63" i="11"/>
  <c r="M63" i="11" s="1"/>
  <c r="E63" i="9"/>
  <c r="M63" i="9" s="1"/>
  <c r="E63" i="10"/>
  <c r="M63" i="10" s="1"/>
  <c r="E109" i="15"/>
  <c r="M109" i="15" s="1"/>
  <c r="E109" i="14"/>
  <c r="M109" i="14" s="1"/>
  <c r="E109" i="8"/>
  <c r="M109" i="8" s="1"/>
  <c r="E109" i="7"/>
  <c r="M109" i="7" s="1"/>
  <c r="E109" i="11"/>
  <c r="M109" i="11" s="1"/>
  <c r="E109" i="9"/>
  <c r="M109" i="9" s="1"/>
  <c r="E109" i="10"/>
  <c r="M109" i="10" s="1"/>
  <c r="D13" i="15"/>
  <c r="D13" i="14"/>
  <c r="D13" i="8"/>
  <c r="D13" i="7"/>
  <c r="D13" i="10"/>
  <c r="D13" i="11"/>
  <c r="D13" i="9"/>
  <c r="D14" i="15"/>
  <c r="D14" i="14"/>
  <c r="D14" i="8"/>
  <c r="D14" i="7"/>
  <c r="D14" i="9"/>
  <c r="D14" i="11"/>
  <c r="D14" i="10"/>
  <c r="E18" i="4"/>
  <c r="M18" i="4" s="1"/>
  <c r="E18" i="15"/>
  <c r="M18" i="15" s="1"/>
  <c r="E18" i="14"/>
  <c r="M18" i="14" s="1"/>
  <c r="E18" i="8"/>
  <c r="M18" i="8" s="1"/>
  <c r="E18" i="7"/>
  <c r="M18" i="7" s="1"/>
  <c r="E18" i="11"/>
  <c r="M18" i="11" s="1"/>
  <c r="E18" i="10"/>
  <c r="M18" i="10" s="1"/>
  <c r="E18" i="9"/>
  <c r="M18" i="9" s="1"/>
  <c r="E112" i="4"/>
  <c r="M112" i="4" s="1"/>
  <c r="E112" i="15"/>
  <c r="M112" i="15" s="1"/>
  <c r="E112" i="14"/>
  <c r="M112" i="14" s="1"/>
  <c r="E112" i="7"/>
  <c r="M112" i="7" s="1"/>
  <c r="E112" i="8"/>
  <c r="M112" i="8" s="1"/>
  <c r="E112" i="10"/>
  <c r="M112" i="10" s="1"/>
  <c r="E112" i="9"/>
  <c r="M112" i="9" s="1"/>
  <c r="E112" i="11"/>
  <c r="M112" i="11" s="1"/>
  <c r="E13" i="4"/>
  <c r="M13" i="4" s="1"/>
  <c r="E13" i="15"/>
  <c r="M13" i="15" s="1"/>
  <c r="E13" i="14"/>
  <c r="M13" i="14" s="1"/>
  <c r="E13" i="8"/>
  <c r="M13" i="8" s="1"/>
  <c r="E13" i="7"/>
  <c r="E13" i="11"/>
  <c r="M13" i="11" s="1"/>
  <c r="E13" i="9"/>
  <c r="M13" i="9" s="1"/>
  <c r="E13" i="10"/>
  <c r="M13" i="10" s="1"/>
  <c r="E27" i="1"/>
  <c r="M27" i="1" s="1"/>
  <c r="E27" i="15"/>
  <c r="M27" i="15" s="1"/>
  <c r="E27" i="14"/>
  <c r="M27" i="14" s="1"/>
  <c r="E27" i="8"/>
  <c r="M27" i="8" s="1"/>
  <c r="E27" i="7"/>
  <c r="M27" i="7" s="1"/>
  <c r="E27" i="10"/>
  <c r="M27" i="10" s="1"/>
  <c r="E27" i="11"/>
  <c r="M27" i="11" s="1"/>
  <c r="E27" i="9"/>
  <c r="M27" i="9" s="1"/>
  <c r="E105" i="15"/>
  <c r="M105" i="15" s="1"/>
  <c r="E105" i="14"/>
  <c r="M105" i="14" s="1"/>
  <c r="E105" i="8"/>
  <c r="M105" i="8" s="1"/>
  <c r="E105" i="7"/>
  <c r="M105" i="7" s="1"/>
  <c r="E105" i="10"/>
  <c r="M105" i="10" s="1"/>
  <c r="E105" i="9"/>
  <c r="M105" i="9" s="1"/>
  <c r="E105" i="11"/>
  <c r="M105" i="11" s="1"/>
  <c r="E16" i="4"/>
  <c r="M16" i="4" s="1"/>
  <c r="E16" i="15"/>
  <c r="M16" i="15" s="1"/>
  <c r="E16" i="14"/>
  <c r="M16" i="14" s="1"/>
  <c r="E16" i="8"/>
  <c r="M16" i="8" s="1"/>
  <c r="E16" i="7"/>
  <c r="M16" i="7" s="1"/>
  <c r="E16" i="10"/>
  <c r="M16" i="10" s="1"/>
  <c r="E16" i="9"/>
  <c r="M16" i="9" s="1"/>
  <c r="E16" i="11"/>
  <c r="M16" i="11" s="1"/>
  <c r="C27" i="15"/>
  <c r="K26" i="15"/>
  <c r="F32" i="15"/>
  <c r="N31" i="15"/>
  <c r="N31" i="14"/>
  <c r="F32" i="14"/>
  <c r="K27" i="14"/>
  <c r="C28" i="14"/>
  <c r="C14" i="4"/>
  <c r="O22" i="11"/>
  <c r="O11" i="11" s="1"/>
  <c r="F29" i="11"/>
  <c r="N28" i="11"/>
  <c r="K24" i="11"/>
  <c r="C25" i="11"/>
  <c r="N30" i="10"/>
  <c r="K24" i="10"/>
  <c r="C25" i="10"/>
  <c r="N31" i="9"/>
  <c r="K21" i="9"/>
  <c r="C22" i="9"/>
  <c r="C23" i="8"/>
  <c r="K22" i="8"/>
  <c r="G22" i="8"/>
  <c r="O21" i="8"/>
  <c r="N30" i="8"/>
  <c r="O22" i="7"/>
  <c r="O11" i="7" s="1"/>
  <c r="K21" i="7"/>
  <c r="C22" i="7"/>
  <c r="N29" i="7"/>
  <c r="AC109" i="5"/>
  <c r="D100" i="1" s="1"/>
  <c r="AD61" i="5"/>
  <c r="AD48" i="5"/>
  <c r="AD102" i="5"/>
  <c r="AC121" i="5"/>
  <c r="D112" i="1" s="1"/>
  <c r="AC89" i="5"/>
  <c r="AC77" i="5"/>
  <c r="D68" i="4" s="1"/>
  <c r="AC104" i="5"/>
  <c r="AC120" i="5"/>
  <c r="AC83" i="5"/>
  <c r="D74" i="4" s="1"/>
  <c r="AC51" i="5"/>
  <c r="AC66" i="5"/>
  <c r="D57" i="1" s="1"/>
  <c r="AC52" i="5"/>
  <c r="D43" i="1" s="1"/>
  <c r="AC54" i="5"/>
  <c r="AD60" i="5"/>
  <c r="AD81" i="5"/>
  <c r="AC69" i="5"/>
  <c r="D60" i="4" s="1"/>
  <c r="AC107" i="5"/>
  <c r="AC75" i="5"/>
  <c r="D66" i="1" s="1"/>
  <c r="AC56" i="5"/>
  <c r="AD59" i="5"/>
  <c r="AD46" i="5"/>
  <c r="AD37" i="5"/>
  <c r="AC55" i="5"/>
  <c r="D46" i="1" s="1"/>
  <c r="L34" i="1" s="1"/>
  <c r="AC72" i="5"/>
  <c r="D63" i="4" s="1"/>
  <c r="AC112" i="5"/>
  <c r="AC48" i="5"/>
  <c r="AC42" i="5"/>
  <c r="AC82" i="5"/>
  <c r="AC98" i="5"/>
  <c r="D89" i="4" s="1"/>
  <c r="AC44" i="5"/>
  <c r="AC108" i="5"/>
  <c r="AC34" i="5"/>
  <c r="AC49" i="5"/>
  <c r="AC50" i="5"/>
  <c r="AC60" i="5"/>
  <c r="AC57" i="5"/>
  <c r="D48" i="1" s="1"/>
  <c r="AC80" i="5"/>
  <c r="AC88" i="5"/>
  <c r="AC96" i="5"/>
  <c r="AC35" i="5"/>
  <c r="AC101" i="5"/>
  <c r="AC119" i="5"/>
  <c r="AC79" i="5"/>
  <c r="AC114" i="5"/>
  <c r="AC33" i="5"/>
  <c r="AC93" i="5"/>
  <c r="AC63" i="5"/>
  <c r="AC115" i="5"/>
  <c r="D106" i="1" s="1"/>
  <c r="AD41" i="5"/>
  <c r="AD97" i="5"/>
  <c r="AD49" i="5"/>
  <c r="AD112" i="5"/>
  <c r="E103" i="4" s="1"/>
  <c r="M103" i="4" s="1"/>
  <c r="AD86" i="5"/>
  <c r="AC76" i="5"/>
  <c r="AC84" i="5"/>
  <c r="D75" i="1" s="1"/>
  <c r="AC67" i="5"/>
  <c r="AC41" i="5"/>
  <c r="AC31" i="5"/>
  <c r="AC95" i="5"/>
  <c r="AD91" i="5"/>
  <c r="E82" i="4" s="1"/>
  <c r="M82" i="4" s="1"/>
  <c r="AD53" i="5"/>
  <c r="AD96" i="5"/>
  <c r="AD65" i="5"/>
  <c r="AD69" i="5"/>
  <c r="E60" i="4" s="1"/>
  <c r="M60" i="4" s="1"/>
  <c r="AD108" i="5"/>
  <c r="AD104" i="5"/>
  <c r="AD32" i="5"/>
  <c r="AD80" i="5"/>
  <c r="AD117" i="5"/>
  <c r="AD78" i="5"/>
  <c r="E69" i="1" s="1"/>
  <c r="AD95" i="5"/>
  <c r="AD54" i="5"/>
  <c r="E16" i="1"/>
  <c r="M16" i="1" s="1"/>
  <c r="E19" i="4"/>
  <c r="M19" i="4" s="1"/>
  <c r="AD39" i="5"/>
  <c r="E14" i="4"/>
  <c r="M14" i="4" s="1"/>
  <c r="AD92" i="5"/>
  <c r="AD88" i="5"/>
  <c r="AD66" i="5"/>
  <c r="AD63" i="5"/>
  <c r="AD50" i="5"/>
  <c r="AD40" i="5"/>
  <c r="E31" i="4" s="1"/>
  <c r="M31" i="4" s="1"/>
  <c r="AD105" i="5"/>
  <c r="E96" i="1" s="1"/>
  <c r="AD74" i="5"/>
  <c r="E65" i="1" s="1"/>
  <c r="AD33" i="5"/>
  <c r="AD116" i="5"/>
  <c r="AD103" i="5"/>
  <c r="AD77" i="5"/>
  <c r="AD94" i="5"/>
  <c r="AD111" i="5"/>
  <c r="E102" i="1" s="1"/>
  <c r="AD42" i="5"/>
  <c r="AD34" i="5"/>
  <c r="E13" i="1"/>
  <c r="M13" i="1" s="1"/>
  <c r="E15" i="4"/>
  <c r="M15" i="4" s="1"/>
  <c r="AC117" i="5"/>
  <c r="AC58" i="5"/>
  <c r="AC32" i="5"/>
  <c r="AC61" i="5"/>
  <c r="AC43" i="5"/>
  <c r="AC111" i="5"/>
  <c r="AD84" i="5"/>
  <c r="AD87" i="5"/>
  <c r="E20" i="1"/>
  <c r="M20" i="1" s="1"/>
  <c r="AD68" i="5"/>
  <c r="AD58" i="5"/>
  <c r="AD38" i="5"/>
  <c r="AD76" i="5"/>
  <c r="AD101" i="5"/>
  <c r="AD55" i="5"/>
  <c r="E18" i="1"/>
  <c r="M18" i="1" s="1"/>
  <c r="E17" i="4"/>
  <c r="M17" i="4" s="1"/>
  <c r="AD120" i="5"/>
  <c r="AD89" i="5"/>
  <c r="AD51" i="5"/>
  <c r="AD57" i="5"/>
  <c r="AD75" i="5"/>
  <c r="AD35" i="5"/>
  <c r="AD113" i="5"/>
  <c r="AD119" i="5"/>
  <c r="AD93" i="5"/>
  <c r="AD56" i="5"/>
  <c r="E21" i="1"/>
  <c r="M21" i="1" s="1"/>
  <c r="AD100" i="5"/>
  <c r="AD43" i="5"/>
  <c r="E34" i="1" s="1"/>
  <c r="E27" i="4"/>
  <c r="M27" i="4" s="1"/>
  <c r="AD90" i="5"/>
  <c r="AD52" i="5"/>
  <c r="AD70" i="5"/>
  <c r="AD47" i="5"/>
  <c r="AD107" i="5"/>
  <c r="AD79" i="5"/>
  <c r="AD44" i="5"/>
  <c r="AD73" i="5"/>
  <c r="AD115" i="5"/>
  <c r="AD98" i="5"/>
  <c r="E89" i="1" s="1"/>
  <c r="AD62" i="5"/>
  <c r="AD106" i="5"/>
  <c r="AD82" i="5"/>
  <c r="AD85" i="5"/>
  <c r="AD110" i="5"/>
  <c r="AC116" i="5"/>
  <c r="AC53" i="5"/>
  <c r="AC39" i="5"/>
  <c r="AC85" i="5"/>
  <c r="AC86" i="5"/>
  <c r="AC102" i="5"/>
  <c r="AC91" i="5"/>
  <c r="AC64" i="5"/>
  <c r="E80" i="4"/>
  <c r="M80" i="4" s="1"/>
  <c r="E42" i="1"/>
  <c r="E58" i="4"/>
  <c r="M58" i="4" s="1"/>
  <c r="E58" i="1"/>
  <c r="E39" i="4"/>
  <c r="M39" i="4" s="1"/>
  <c r="E66" i="1"/>
  <c r="E104" i="1"/>
  <c r="E93" i="1"/>
  <c r="E88" i="4"/>
  <c r="M88" i="4" s="1"/>
  <c r="E51" i="4"/>
  <c r="M51" i="4" s="1"/>
  <c r="E40" i="1"/>
  <c r="E54" i="4"/>
  <c r="M54" i="4" s="1"/>
  <c r="E107" i="1"/>
  <c r="E103" i="1"/>
  <c r="E33" i="1"/>
  <c r="E25" i="4"/>
  <c r="M25" i="4" s="1"/>
  <c r="E56" i="4"/>
  <c r="M56" i="4" s="1"/>
  <c r="E50" i="1"/>
  <c r="E28" i="1"/>
  <c r="M28" i="1" s="1"/>
  <c r="E106" i="1"/>
  <c r="E108" i="1"/>
  <c r="E90" i="4"/>
  <c r="M90" i="4" s="1"/>
  <c r="E90" i="1"/>
  <c r="E55" i="1"/>
  <c r="E55" i="4"/>
  <c r="M55" i="4" s="1"/>
  <c r="E63" i="1"/>
  <c r="E63" i="4"/>
  <c r="M63" i="4" s="1"/>
  <c r="E22" i="4"/>
  <c r="M22" i="4" s="1"/>
  <c r="E22" i="1"/>
  <c r="M22" i="1" s="1"/>
  <c r="E105" i="1"/>
  <c r="E105" i="4"/>
  <c r="M105" i="4" s="1"/>
  <c r="E74" i="4"/>
  <c r="M74" i="4" s="1"/>
  <c r="E74" i="1"/>
  <c r="E62" i="4"/>
  <c r="M62" i="4" s="1"/>
  <c r="E62" i="1"/>
  <c r="E109" i="1"/>
  <c r="E109" i="4"/>
  <c r="M109" i="4" s="1"/>
  <c r="E100" i="4"/>
  <c r="M100" i="4" s="1"/>
  <c r="E100" i="1"/>
  <c r="E46" i="1"/>
  <c r="D25" i="1"/>
  <c r="L25" i="1" s="1"/>
  <c r="D112" i="4"/>
  <c r="D95" i="4"/>
  <c r="D111" i="1"/>
  <c r="D111" i="4"/>
  <c r="D13" i="1"/>
  <c r="L13" i="1" s="1"/>
  <c r="D13" i="4"/>
  <c r="L13" i="4" s="1"/>
  <c r="D20" i="4"/>
  <c r="L20" i="4" s="1"/>
  <c r="D20" i="1"/>
  <c r="L20" i="1" s="1"/>
  <c r="D27" i="1"/>
  <c r="L27" i="1" s="1"/>
  <c r="D27" i="4"/>
  <c r="AC113" i="5"/>
  <c r="AC81" i="5"/>
  <c r="AC74" i="5"/>
  <c r="D73" i="1"/>
  <c r="AC90" i="5"/>
  <c r="AC106" i="5"/>
  <c r="AC68" i="5"/>
  <c r="AC46" i="5"/>
  <c r="D47" i="4"/>
  <c r="D18" i="4"/>
  <c r="L18" i="4" s="1"/>
  <c r="D18" i="1"/>
  <c r="L18" i="1" s="1"/>
  <c r="D15" i="1"/>
  <c r="L15" i="1" s="1"/>
  <c r="D15" i="4"/>
  <c r="L15" i="4" s="1"/>
  <c r="AC105" i="5"/>
  <c r="AC73" i="5"/>
  <c r="D108" i="1"/>
  <c r="AC103" i="5"/>
  <c r="AC38" i="5"/>
  <c r="AC92" i="5"/>
  <c r="AC100" i="5"/>
  <c r="AC99" i="5"/>
  <c r="AC70" i="5"/>
  <c r="AC47" i="5"/>
  <c r="D16" i="4"/>
  <c r="L16" i="4" s="1"/>
  <c r="D16" i="1"/>
  <c r="L16" i="1" s="1"/>
  <c r="D19" i="1"/>
  <c r="L19" i="1" s="1"/>
  <c r="D19" i="4"/>
  <c r="L19" i="4" s="1"/>
  <c r="AC97" i="5"/>
  <c r="AC65" i="5"/>
  <c r="AC71" i="5"/>
  <c r="AC78" i="5"/>
  <c r="AC94" i="5"/>
  <c r="D93" i="1"/>
  <c r="AC110" i="5"/>
  <c r="AC59" i="5"/>
  <c r="AC37" i="5"/>
  <c r="AC62" i="5"/>
  <c r="AC45" i="5"/>
  <c r="AC87" i="5"/>
  <c r="AC40" i="5"/>
  <c r="D21" i="1"/>
  <c r="L21" i="1" s="1"/>
  <c r="D21" i="4"/>
  <c r="L21" i="4" s="1"/>
  <c r="D14" i="4"/>
  <c r="L14" i="4" s="1"/>
  <c r="D14" i="1"/>
  <c r="L14" i="1" s="1"/>
  <c r="D17" i="1"/>
  <c r="L17" i="1" s="1"/>
  <c r="D17" i="4"/>
  <c r="L17" i="4" s="1"/>
  <c r="K13" i="4"/>
  <c r="P11" i="4"/>
  <c r="G14" i="4"/>
  <c r="O14" i="4" s="1"/>
  <c r="F21" i="4"/>
  <c r="N20" i="1"/>
  <c r="D43" i="4" l="1"/>
  <c r="D60" i="1"/>
  <c r="E60" i="1"/>
  <c r="E36" i="1"/>
  <c r="D83" i="15"/>
  <c r="L83" i="15" s="1"/>
  <c r="D83" i="14"/>
  <c r="L83" i="14" s="1"/>
  <c r="D83" i="7"/>
  <c r="L83" i="7" s="1"/>
  <c r="D83" i="8"/>
  <c r="L83" i="8" s="1"/>
  <c r="D83" i="10"/>
  <c r="L83" i="10" s="1"/>
  <c r="D83" i="11"/>
  <c r="L83" i="11" s="1"/>
  <c r="D83" i="9"/>
  <c r="L83" i="9" s="1"/>
  <c r="D37" i="15"/>
  <c r="L37" i="15" s="1"/>
  <c r="D37" i="14"/>
  <c r="L37" i="14" s="1"/>
  <c r="D37" i="8"/>
  <c r="D37" i="7"/>
  <c r="D37" i="10"/>
  <c r="D37" i="9"/>
  <c r="D37" i="11"/>
  <c r="D97" i="15"/>
  <c r="L97" i="15" s="1"/>
  <c r="D97" i="14"/>
  <c r="L97" i="14" s="1"/>
  <c r="D97" i="8"/>
  <c r="L97" i="8" s="1"/>
  <c r="D97" i="7"/>
  <c r="L97" i="7" s="1"/>
  <c r="D97" i="11"/>
  <c r="L97" i="11" s="1"/>
  <c r="D97" i="9"/>
  <c r="L97" i="9" s="1"/>
  <c r="D97" i="10"/>
  <c r="L97" i="10" s="1"/>
  <c r="D82" i="15"/>
  <c r="L82" i="15" s="1"/>
  <c r="D82" i="14"/>
  <c r="L82" i="14" s="1"/>
  <c r="D82" i="8"/>
  <c r="L82" i="8" s="1"/>
  <c r="D82" i="7"/>
  <c r="L82" i="7" s="1"/>
  <c r="D82" i="9"/>
  <c r="L82" i="9" s="1"/>
  <c r="D82" i="11"/>
  <c r="L82" i="11" s="1"/>
  <c r="D82" i="10"/>
  <c r="L82" i="10" s="1"/>
  <c r="E76" i="4"/>
  <c r="M76" i="4" s="1"/>
  <c r="E76" i="15"/>
  <c r="M76" i="15" s="1"/>
  <c r="E76" i="14"/>
  <c r="M76" i="14" s="1"/>
  <c r="E76" i="7"/>
  <c r="M76" i="7" s="1"/>
  <c r="E76" i="8"/>
  <c r="M76" i="8" s="1"/>
  <c r="E76" i="11"/>
  <c r="M76" i="11" s="1"/>
  <c r="E76" i="9"/>
  <c r="M76" i="9" s="1"/>
  <c r="E76" i="10"/>
  <c r="M76" i="10" s="1"/>
  <c r="E70" i="4"/>
  <c r="M70" i="4" s="1"/>
  <c r="E70" i="15"/>
  <c r="M70" i="15" s="1"/>
  <c r="E70" i="14"/>
  <c r="M70" i="14" s="1"/>
  <c r="E70" i="8"/>
  <c r="M70" i="8" s="1"/>
  <c r="E70" i="7"/>
  <c r="M70" i="7" s="1"/>
  <c r="E70" i="10"/>
  <c r="M70" i="10" s="1"/>
  <c r="E70" i="9"/>
  <c r="M70" i="9" s="1"/>
  <c r="E70" i="11"/>
  <c r="M70" i="11" s="1"/>
  <c r="E91" i="1"/>
  <c r="E91" i="14"/>
  <c r="M91" i="14" s="1"/>
  <c r="E91" i="15"/>
  <c r="M91" i="15" s="1"/>
  <c r="E91" i="8"/>
  <c r="M91" i="8" s="1"/>
  <c r="E91" i="7"/>
  <c r="M91" i="7" s="1"/>
  <c r="E91" i="10"/>
  <c r="M91" i="10" s="1"/>
  <c r="E91" i="11"/>
  <c r="M91" i="11" s="1"/>
  <c r="E91" i="9"/>
  <c r="M91" i="9" s="1"/>
  <c r="D34" i="1"/>
  <c r="D34" i="14"/>
  <c r="L34" i="14" s="1"/>
  <c r="D34" i="15"/>
  <c r="L34" i="15" s="1"/>
  <c r="D34" i="8"/>
  <c r="D34" i="7"/>
  <c r="D34" i="10"/>
  <c r="D34" i="11"/>
  <c r="D34" i="9"/>
  <c r="D108" i="15"/>
  <c r="L108" i="15" s="1"/>
  <c r="D108" i="14"/>
  <c r="L108" i="14" s="1"/>
  <c r="D108" i="8"/>
  <c r="L108" i="8" s="1"/>
  <c r="D108" i="7"/>
  <c r="L108" i="7" s="1"/>
  <c r="D108" i="10"/>
  <c r="L108" i="10" s="1"/>
  <c r="D108" i="11"/>
  <c r="L108" i="11" s="1"/>
  <c r="D108" i="9"/>
  <c r="L108" i="9" s="1"/>
  <c r="E33" i="4"/>
  <c r="M33" i="4" s="1"/>
  <c r="E33" i="15"/>
  <c r="M33" i="15" s="1"/>
  <c r="E33" i="14"/>
  <c r="M33" i="14" s="1"/>
  <c r="E33" i="8"/>
  <c r="E33" i="7"/>
  <c r="E33" i="9"/>
  <c r="E33" i="10"/>
  <c r="E33" i="11"/>
  <c r="E94" i="1"/>
  <c r="E94" i="15"/>
  <c r="M94" i="15" s="1"/>
  <c r="E94" i="14"/>
  <c r="M94" i="14" s="1"/>
  <c r="E94" i="8"/>
  <c r="M94" i="8" s="1"/>
  <c r="E94" i="7"/>
  <c r="M94" i="7" s="1"/>
  <c r="E94" i="9"/>
  <c r="M94" i="9" s="1"/>
  <c r="E94" i="10"/>
  <c r="M94" i="10" s="1"/>
  <c r="E94" i="11"/>
  <c r="M94" i="11" s="1"/>
  <c r="E96" i="15"/>
  <c r="M96" i="15" s="1"/>
  <c r="E96" i="14"/>
  <c r="M96" i="14" s="1"/>
  <c r="E96" i="7"/>
  <c r="M96" i="7" s="1"/>
  <c r="E96" i="8"/>
  <c r="M96" i="8" s="1"/>
  <c r="E96" i="10"/>
  <c r="M96" i="10" s="1"/>
  <c r="E96" i="11"/>
  <c r="M96" i="11" s="1"/>
  <c r="E96" i="9"/>
  <c r="M96" i="9" s="1"/>
  <c r="E57" i="1"/>
  <c r="E57" i="15"/>
  <c r="M57" i="15" s="1"/>
  <c r="E57" i="14"/>
  <c r="M57" i="14" s="1"/>
  <c r="E57" i="7"/>
  <c r="M57" i="7" s="1"/>
  <c r="E57" i="8"/>
  <c r="M57" i="8" s="1"/>
  <c r="E57" i="10"/>
  <c r="M57" i="10" s="1"/>
  <c r="E57" i="9"/>
  <c r="M57" i="9" s="1"/>
  <c r="E57" i="11"/>
  <c r="M57" i="11" s="1"/>
  <c r="E30" i="1"/>
  <c r="M30" i="1" s="1"/>
  <c r="E30" i="15"/>
  <c r="M30" i="15" s="1"/>
  <c r="E30" i="14"/>
  <c r="M30" i="14" s="1"/>
  <c r="E30" i="8"/>
  <c r="M30" i="8" s="1"/>
  <c r="E30" i="7"/>
  <c r="M30" i="7" s="1"/>
  <c r="E30" i="9"/>
  <c r="M30" i="9" s="1"/>
  <c r="E30" i="10"/>
  <c r="M30" i="10" s="1"/>
  <c r="E30" i="11"/>
  <c r="M30" i="11" s="1"/>
  <c r="E86" i="15"/>
  <c r="M86" i="15" s="1"/>
  <c r="E86" i="14"/>
  <c r="M86" i="14" s="1"/>
  <c r="E86" i="7"/>
  <c r="M86" i="7" s="1"/>
  <c r="E86" i="8"/>
  <c r="M86" i="8" s="1"/>
  <c r="E86" i="10"/>
  <c r="M86" i="10" s="1"/>
  <c r="E86" i="9"/>
  <c r="M86" i="9" s="1"/>
  <c r="E86" i="11"/>
  <c r="M86" i="11" s="1"/>
  <c r="E23" i="1"/>
  <c r="M23" i="1" s="1"/>
  <c r="E23" i="15"/>
  <c r="M23" i="15" s="1"/>
  <c r="E23" i="14"/>
  <c r="M23" i="14" s="1"/>
  <c r="E23" i="7"/>
  <c r="M23" i="7" s="1"/>
  <c r="E23" i="8"/>
  <c r="M23" i="8" s="1"/>
  <c r="E23" i="11"/>
  <c r="M23" i="11" s="1"/>
  <c r="E23" i="9"/>
  <c r="M23" i="9" s="1"/>
  <c r="E23" i="10"/>
  <c r="M23" i="10" s="1"/>
  <c r="E56" i="14"/>
  <c r="M56" i="14" s="1"/>
  <c r="E56" i="15"/>
  <c r="M56" i="15" s="1"/>
  <c r="E56" i="8"/>
  <c r="M56" i="8" s="1"/>
  <c r="E56" i="7"/>
  <c r="M56" i="7" s="1"/>
  <c r="E56" i="10"/>
  <c r="M56" i="10" s="1"/>
  <c r="E56" i="9"/>
  <c r="M56" i="9" s="1"/>
  <c r="E56" i="11"/>
  <c r="M56" i="11" s="1"/>
  <c r="D86" i="4"/>
  <c r="D86" i="15"/>
  <c r="L86" i="15" s="1"/>
  <c r="D86" i="14"/>
  <c r="L86" i="14" s="1"/>
  <c r="D86" i="8"/>
  <c r="L86" i="8" s="1"/>
  <c r="D86" i="7"/>
  <c r="L86" i="7" s="1"/>
  <c r="D86" i="11"/>
  <c r="L86" i="11" s="1"/>
  <c r="D86" i="10"/>
  <c r="L86" i="10" s="1"/>
  <c r="D86" i="9"/>
  <c r="L86" i="9" s="1"/>
  <c r="E40" i="4"/>
  <c r="M40" i="4" s="1"/>
  <c r="E40" i="15"/>
  <c r="M40" i="15" s="1"/>
  <c r="E40" i="14"/>
  <c r="M40" i="14" s="1"/>
  <c r="E40" i="8"/>
  <c r="E40" i="7"/>
  <c r="E40" i="11"/>
  <c r="E40" i="10"/>
  <c r="E40" i="9"/>
  <c r="D54" i="15"/>
  <c r="L54" i="15" s="1"/>
  <c r="D54" i="14"/>
  <c r="L54" i="14" s="1"/>
  <c r="D54" i="8"/>
  <c r="D54" i="7"/>
  <c r="D54" i="11"/>
  <c r="D54" i="10"/>
  <c r="D54" i="9"/>
  <c r="D70" i="4"/>
  <c r="L70" i="4" s="1"/>
  <c r="D70" i="15"/>
  <c r="L70" i="15" s="1"/>
  <c r="D70" i="14"/>
  <c r="L70" i="14" s="1"/>
  <c r="D70" i="8"/>
  <c r="L70" i="8" s="1"/>
  <c r="D70" i="7"/>
  <c r="L70" i="7" s="1"/>
  <c r="D70" i="9"/>
  <c r="L70" i="9" s="1"/>
  <c r="D70" i="11"/>
  <c r="L70" i="11" s="1"/>
  <c r="D70" i="10"/>
  <c r="L70" i="10" s="1"/>
  <c r="D87" i="1"/>
  <c r="D87" i="15"/>
  <c r="L87" i="15" s="1"/>
  <c r="D87" i="14"/>
  <c r="L87" i="14" s="1"/>
  <c r="D87" i="8"/>
  <c r="L87" i="8" s="1"/>
  <c r="D87" i="7"/>
  <c r="L87" i="7" s="1"/>
  <c r="D87" i="11"/>
  <c r="L87" i="11" s="1"/>
  <c r="D87" i="9"/>
  <c r="L87" i="9" s="1"/>
  <c r="D87" i="10"/>
  <c r="L87" i="10" s="1"/>
  <c r="D51" i="4"/>
  <c r="D51" i="15"/>
  <c r="L51" i="15" s="1"/>
  <c r="D51" i="14"/>
  <c r="L51" i="14" s="1"/>
  <c r="D51" i="8"/>
  <c r="D51" i="7"/>
  <c r="D51" i="10"/>
  <c r="D51" i="11"/>
  <c r="D51" i="9"/>
  <c r="D99" i="15"/>
  <c r="L99" i="15" s="1"/>
  <c r="D99" i="14"/>
  <c r="L99" i="14" s="1"/>
  <c r="D99" i="8"/>
  <c r="L99" i="8" s="1"/>
  <c r="D99" i="7"/>
  <c r="L99" i="7" s="1"/>
  <c r="D99" i="9"/>
  <c r="L99" i="9" s="1"/>
  <c r="D99" i="10"/>
  <c r="L99" i="10" s="1"/>
  <c r="D99" i="11"/>
  <c r="L99" i="11" s="1"/>
  <c r="D33" i="15"/>
  <c r="L33" i="15" s="1"/>
  <c r="D33" i="14"/>
  <c r="L33" i="14" s="1"/>
  <c r="D33" i="8"/>
  <c r="D33" i="7"/>
  <c r="D33" i="11"/>
  <c r="D33" i="9"/>
  <c r="D33" i="10"/>
  <c r="D46" i="15"/>
  <c r="L46" i="15" s="1"/>
  <c r="D46" i="14"/>
  <c r="L46" i="14" s="1"/>
  <c r="D46" i="8"/>
  <c r="D46" i="7"/>
  <c r="D46" i="11"/>
  <c r="D46" i="9"/>
  <c r="D46" i="10"/>
  <c r="D47" i="15"/>
  <c r="L47" i="15" s="1"/>
  <c r="D47" i="14"/>
  <c r="L47" i="14" s="1"/>
  <c r="D47" i="7"/>
  <c r="D47" i="8"/>
  <c r="D47" i="9"/>
  <c r="D47" i="11"/>
  <c r="D47" i="10"/>
  <c r="E72" i="15"/>
  <c r="M72" i="15" s="1"/>
  <c r="E72" i="14"/>
  <c r="M72" i="14" s="1"/>
  <c r="E72" i="8"/>
  <c r="M72" i="8" s="1"/>
  <c r="E72" i="7"/>
  <c r="M72" i="7" s="1"/>
  <c r="E72" i="10"/>
  <c r="M72" i="10" s="1"/>
  <c r="E72" i="11"/>
  <c r="M72" i="11" s="1"/>
  <c r="E72" i="9"/>
  <c r="M72" i="9" s="1"/>
  <c r="D57" i="15"/>
  <c r="L57" i="15" s="1"/>
  <c r="D57" i="14"/>
  <c r="L57" i="14" s="1"/>
  <c r="D57" i="8"/>
  <c r="L57" i="8" s="1"/>
  <c r="D57" i="7"/>
  <c r="L57" i="7" s="1"/>
  <c r="D57" i="11"/>
  <c r="L57" i="11" s="1"/>
  <c r="D57" i="10"/>
  <c r="L57" i="10" s="1"/>
  <c r="D57" i="9"/>
  <c r="L57" i="9" s="1"/>
  <c r="D95" i="15"/>
  <c r="L95" i="15" s="1"/>
  <c r="D95" i="14"/>
  <c r="L95" i="14" s="1"/>
  <c r="D95" i="8"/>
  <c r="L95" i="8" s="1"/>
  <c r="D95" i="7"/>
  <c r="L95" i="7" s="1"/>
  <c r="D95" i="11"/>
  <c r="L95" i="11" s="1"/>
  <c r="D95" i="9"/>
  <c r="L95" i="9" s="1"/>
  <c r="D95" i="10"/>
  <c r="L95" i="10" s="1"/>
  <c r="E93" i="15"/>
  <c r="M93" i="15" s="1"/>
  <c r="E93" i="14"/>
  <c r="M93" i="14" s="1"/>
  <c r="E93" i="8"/>
  <c r="M93" i="8" s="1"/>
  <c r="E93" i="7"/>
  <c r="M93" i="7" s="1"/>
  <c r="E93" i="11"/>
  <c r="M93" i="11" s="1"/>
  <c r="E93" i="9"/>
  <c r="M93" i="9" s="1"/>
  <c r="E93" i="10"/>
  <c r="M93" i="10" s="1"/>
  <c r="M13" i="7"/>
  <c r="L14" i="7"/>
  <c r="L13" i="9"/>
  <c r="L13" i="8"/>
  <c r="L19" i="9"/>
  <c r="L19" i="8"/>
  <c r="L20" i="11"/>
  <c r="L20" i="14"/>
  <c r="L16" i="9"/>
  <c r="L16" i="15"/>
  <c r="L21" i="7"/>
  <c r="D109" i="14"/>
  <c r="L109" i="14" s="1"/>
  <c r="D109" i="15"/>
  <c r="L109" i="15" s="1"/>
  <c r="D109" i="8"/>
  <c r="L109" i="8" s="1"/>
  <c r="D109" i="7"/>
  <c r="L109" i="7" s="1"/>
  <c r="D109" i="10"/>
  <c r="L109" i="10" s="1"/>
  <c r="D109" i="9"/>
  <c r="L109" i="9" s="1"/>
  <c r="D109" i="11"/>
  <c r="L109" i="11" s="1"/>
  <c r="L18" i="7"/>
  <c r="M43" i="11"/>
  <c r="M55" i="11"/>
  <c r="L17" i="7"/>
  <c r="L15" i="10"/>
  <c r="L15" i="8"/>
  <c r="D36" i="15"/>
  <c r="L36" i="15" s="1"/>
  <c r="D36" i="14"/>
  <c r="L36" i="14" s="1"/>
  <c r="D36" i="8"/>
  <c r="D36" i="7"/>
  <c r="D36" i="11"/>
  <c r="D36" i="10"/>
  <c r="D36" i="9"/>
  <c r="D50" i="15"/>
  <c r="L50" i="15" s="1"/>
  <c r="D50" i="14"/>
  <c r="L50" i="14" s="1"/>
  <c r="D50" i="8"/>
  <c r="D50" i="7"/>
  <c r="D50" i="11"/>
  <c r="D50" i="10"/>
  <c r="D50" i="9"/>
  <c r="D109" i="1"/>
  <c r="D69" i="15"/>
  <c r="L69" i="15" s="1"/>
  <c r="D69" i="14"/>
  <c r="L69" i="14" s="1"/>
  <c r="D69" i="7"/>
  <c r="L69" i="7" s="1"/>
  <c r="D69" i="8"/>
  <c r="L69" i="8" s="1"/>
  <c r="D69" i="10"/>
  <c r="L69" i="10" s="1"/>
  <c r="D69" i="9"/>
  <c r="L69" i="9" s="1"/>
  <c r="D69" i="11"/>
  <c r="L69" i="11" s="1"/>
  <c r="D38" i="15"/>
  <c r="L38" i="15" s="1"/>
  <c r="D38" i="14"/>
  <c r="L38" i="14" s="1"/>
  <c r="D38" i="8"/>
  <c r="D38" i="7"/>
  <c r="D38" i="9"/>
  <c r="D38" i="10"/>
  <c r="D38" i="11"/>
  <c r="D99" i="4"/>
  <c r="D108" i="4"/>
  <c r="D47" i="1"/>
  <c r="D59" i="15"/>
  <c r="L59" i="15" s="1"/>
  <c r="D59" i="14"/>
  <c r="L59" i="14" s="1"/>
  <c r="D59" i="8"/>
  <c r="L59" i="8" s="1"/>
  <c r="D59" i="7"/>
  <c r="L59" i="7" s="1"/>
  <c r="D59" i="10"/>
  <c r="L59" i="10" s="1"/>
  <c r="D59" i="9"/>
  <c r="L59" i="9" s="1"/>
  <c r="D59" i="11"/>
  <c r="L59" i="11" s="1"/>
  <c r="D33" i="4"/>
  <c r="D72" i="15"/>
  <c r="L72" i="15" s="1"/>
  <c r="D72" i="14"/>
  <c r="L72" i="14" s="1"/>
  <c r="D72" i="8"/>
  <c r="L72" i="8" s="1"/>
  <c r="D72" i="7"/>
  <c r="L72" i="7" s="1"/>
  <c r="D72" i="10"/>
  <c r="L72" i="10" s="1"/>
  <c r="D72" i="9"/>
  <c r="L72" i="9" s="1"/>
  <c r="D72" i="11"/>
  <c r="L72" i="11" s="1"/>
  <c r="D95" i="1"/>
  <c r="D46" i="4"/>
  <c r="E86" i="1"/>
  <c r="E91" i="4"/>
  <c r="M91" i="4" s="1"/>
  <c r="E96" i="4"/>
  <c r="M96" i="4" s="1"/>
  <c r="D93" i="4"/>
  <c r="L93" i="4" s="1"/>
  <c r="D93" i="15"/>
  <c r="L93" i="15" s="1"/>
  <c r="D93" i="14"/>
  <c r="L93" i="14" s="1"/>
  <c r="D93" i="8"/>
  <c r="L93" i="8" s="1"/>
  <c r="D93" i="7"/>
  <c r="L93" i="7" s="1"/>
  <c r="D93" i="10"/>
  <c r="L93" i="10" s="1"/>
  <c r="D93" i="9"/>
  <c r="L93" i="9" s="1"/>
  <c r="D93" i="11"/>
  <c r="L93" i="11" s="1"/>
  <c r="D44" i="1"/>
  <c r="D44" i="15"/>
  <c r="L44" i="15" s="1"/>
  <c r="D44" i="14"/>
  <c r="L44" i="14" s="1"/>
  <c r="D44" i="8"/>
  <c r="D44" i="7"/>
  <c r="D44" i="9"/>
  <c r="D44" i="11"/>
  <c r="D44" i="10"/>
  <c r="E73" i="1"/>
  <c r="E73" i="15"/>
  <c r="M73" i="15" s="1"/>
  <c r="E73" i="14"/>
  <c r="M73" i="14" s="1"/>
  <c r="E73" i="8"/>
  <c r="M73" i="8" s="1"/>
  <c r="E73" i="7"/>
  <c r="M73" i="7" s="1"/>
  <c r="E73" i="10"/>
  <c r="M73" i="10" s="1"/>
  <c r="E73" i="9"/>
  <c r="M73" i="9" s="1"/>
  <c r="E73" i="11"/>
  <c r="M73" i="11" s="1"/>
  <c r="E106" i="4"/>
  <c r="M106" i="4" s="1"/>
  <c r="E106" i="15"/>
  <c r="M106" i="15" s="1"/>
  <c r="E106" i="14"/>
  <c r="M106" i="14" s="1"/>
  <c r="E106" i="8"/>
  <c r="M106" i="8" s="1"/>
  <c r="E106" i="7"/>
  <c r="M106" i="7" s="1"/>
  <c r="E106" i="9"/>
  <c r="M106" i="9" s="1"/>
  <c r="E106" i="11"/>
  <c r="M106" i="11" s="1"/>
  <c r="E106" i="10"/>
  <c r="M106" i="10" s="1"/>
  <c r="E98" i="4"/>
  <c r="M98" i="4" s="1"/>
  <c r="E98" i="15"/>
  <c r="M98" i="15" s="1"/>
  <c r="E98" i="14"/>
  <c r="M98" i="14" s="1"/>
  <c r="E98" i="8"/>
  <c r="M98" i="8" s="1"/>
  <c r="E98" i="7"/>
  <c r="M98" i="7" s="1"/>
  <c r="E98" i="11"/>
  <c r="M98" i="11" s="1"/>
  <c r="E98" i="9"/>
  <c r="M98" i="9" s="1"/>
  <c r="E98" i="10"/>
  <c r="M98" i="10" s="1"/>
  <c r="E81" i="1"/>
  <c r="E81" i="15"/>
  <c r="M81" i="15" s="1"/>
  <c r="E81" i="14"/>
  <c r="M81" i="14" s="1"/>
  <c r="E81" i="7"/>
  <c r="M81" i="7" s="1"/>
  <c r="E81" i="8"/>
  <c r="M81" i="8" s="1"/>
  <c r="E81" i="9"/>
  <c r="M81" i="9" s="1"/>
  <c r="E81" i="10"/>
  <c r="M81" i="10" s="1"/>
  <c r="E81" i="11"/>
  <c r="M81" i="11" s="1"/>
  <c r="E104" i="4"/>
  <c r="M104" i="4" s="1"/>
  <c r="E104" i="15"/>
  <c r="M104" i="15" s="1"/>
  <c r="E104" i="14"/>
  <c r="M104" i="14" s="1"/>
  <c r="E104" i="7"/>
  <c r="M104" i="7" s="1"/>
  <c r="E104" i="8"/>
  <c r="M104" i="8" s="1"/>
  <c r="E104" i="10"/>
  <c r="M104" i="10" s="1"/>
  <c r="E104" i="11"/>
  <c r="M104" i="11" s="1"/>
  <c r="E104" i="9"/>
  <c r="M104" i="9" s="1"/>
  <c r="E42" i="4"/>
  <c r="M42" i="4" s="1"/>
  <c r="E42" i="15"/>
  <c r="M42" i="15" s="1"/>
  <c r="E42" i="14"/>
  <c r="M42" i="14" s="1"/>
  <c r="E42" i="8"/>
  <c r="E42" i="7"/>
  <c r="E42" i="9"/>
  <c r="E42" i="11"/>
  <c r="E42" i="10"/>
  <c r="E29" i="1"/>
  <c r="M29" i="1" s="1"/>
  <c r="E29" i="15"/>
  <c r="M29" i="15" s="1"/>
  <c r="E29" i="14"/>
  <c r="M29" i="14" s="1"/>
  <c r="E29" i="8"/>
  <c r="M29" i="8" s="1"/>
  <c r="E29" i="7"/>
  <c r="M29" i="7" s="1"/>
  <c r="E29" i="11"/>
  <c r="M29" i="11" s="1"/>
  <c r="E29" i="9"/>
  <c r="M29" i="9" s="1"/>
  <c r="E29" i="10"/>
  <c r="M29" i="10" s="1"/>
  <c r="E78" i="4"/>
  <c r="M78" i="4" s="1"/>
  <c r="E78" i="15"/>
  <c r="M78" i="15" s="1"/>
  <c r="E78" i="14"/>
  <c r="M78" i="14" s="1"/>
  <c r="E78" i="7"/>
  <c r="M78" i="7" s="1"/>
  <c r="E78" i="8"/>
  <c r="M78" i="8" s="1"/>
  <c r="E78" i="9"/>
  <c r="M78" i="9" s="1"/>
  <c r="E78" i="10"/>
  <c r="M78" i="10" s="1"/>
  <c r="E78" i="11"/>
  <c r="M78" i="11" s="1"/>
  <c r="D52" i="1"/>
  <c r="D52" i="15"/>
  <c r="L52" i="15" s="1"/>
  <c r="D52" i="14"/>
  <c r="L52" i="14" s="1"/>
  <c r="D52" i="8"/>
  <c r="D52" i="7"/>
  <c r="D52" i="10"/>
  <c r="D52" i="11"/>
  <c r="D52" i="9"/>
  <c r="E102" i="4"/>
  <c r="M102" i="4" s="1"/>
  <c r="E102" i="14"/>
  <c r="M102" i="14" s="1"/>
  <c r="E102" i="15"/>
  <c r="M102" i="15" s="1"/>
  <c r="E102" i="8"/>
  <c r="M102" i="8" s="1"/>
  <c r="E102" i="7"/>
  <c r="M102" i="7" s="1"/>
  <c r="E102" i="10"/>
  <c r="M102" i="10" s="1"/>
  <c r="E102" i="9"/>
  <c r="M102" i="9" s="1"/>
  <c r="E102" i="11"/>
  <c r="M102" i="11" s="1"/>
  <c r="E107" i="4"/>
  <c r="M107" i="4" s="1"/>
  <c r="E107" i="15"/>
  <c r="M107" i="15" s="1"/>
  <c r="E107" i="14"/>
  <c r="M107" i="14" s="1"/>
  <c r="E107" i="8"/>
  <c r="M107" i="8" s="1"/>
  <c r="E107" i="7"/>
  <c r="M107" i="7" s="1"/>
  <c r="E107" i="10"/>
  <c r="M107" i="10" s="1"/>
  <c r="E107" i="9"/>
  <c r="M107" i="9" s="1"/>
  <c r="E107" i="11"/>
  <c r="M107" i="11" s="1"/>
  <c r="E31" i="1"/>
  <c r="M31" i="1" s="1"/>
  <c r="E31" i="15"/>
  <c r="M31" i="15" s="1"/>
  <c r="E31" i="14"/>
  <c r="M31" i="14" s="1"/>
  <c r="E31" i="7"/>
  <c r="M31" i="7" s="1"/>
  <c r="E31" i="8"/>
  <c r="M31" i="8" s="1"/>
  <c r="E31" i="11"/>
  <c r="M31" i="11" s="1"/>
  <c r="E31" i="9"/>
  <c r="M31" i="9" s="1"/>
  <c r="E31" i="10"/>
  <c r="M31" i="10" s="1"/>
  <c r="E79" i="1"/>
  <c r="E79" i="14"/>
  <c r="M79" i="14" s="1"/>
  <c r="E79" i="15"/>
  <c r="M79" i="15" s="1"/>
  <c r="E79" i="7"/>
  <c r="M79" i="7" s="1"/>
  <c r="E79" i="8"/>
  <c r="M79" i="8" s="1"/>
  <c r="E79" i="11"/>
  <c r="M79" i="11" s="1"/>
  <c r="E79" i="10"/>
  <c r="M79" i="10" s="1"/>
  <c r="E79" i="9"/>
  <c r="M79" i="9" s="1"/>
  <c r="E69" i="4"/>
  <c r="M69" i="4" s="1"/>
  <c r="E69" i="15"/>
  <c r="M69" i="15" s="1"/>
  <c r="E69" i="14"/>
  <c r="M69" i="14" s="1"/>
  <c r="E69" i="8"/>
  <c r="M69" i="8" s="1"/>
  <c r="E69" i="7"/>
  <c r="M69" i="7" s="1"/>
  <c r="E69" i="11"/>
  <c r="M69" i="11" s="1"/>
  <c r="E69" i="10"/>
  <c r="M69" i="10" s="1"/>
  <c r="E69" i="9"/>
  <c r="M69" i="9" s="1"/>
  <c r="E95" i="1"/>
  <c r="E95" i="15"/>
  <c r="M95" i="15" s="1"/>
  <c r="E95" i="14"/>
  <c r="M95" i="14" s="1"/>
  <c r="E95" i="8"/>
  <c r="M95" i="8" s="1"/>
  <c r="E95" i="7"/>
  <c r="M95" i="7" s="1"/>
  <c r="E95" i="11"/>
  <c r="M95" i="11" s="1"/>
  <c r="E95" i="9"/>
  <c r="M95" i="9" s="1"/>
  <c r="E95" i="10"/>
  <c r="M95" i="10" s="1"/>
  <c r="E87" i="1"/>
  <c r="E87" i="15"/>
  <c r="M87" i="15" s="1"/>
  <c r="E87" i="14"/>
  <c r="M87" i="14" s="1"/>
  <c r="E87" i="8"/>
  <c r="M87" i="8" s="1"/>
  <c r="E87" i="7"/>
  <c r="M87" i="7" s="1"/>
  <c r="E87" i="11"/>
  <c r="M87" i="11" s="1"/>
  <c r="E87" i="9"/>
  <c r="M87" i="9" s="1"/>
  <c r="E87" i="10"/>
  <c r="M87" i="10" s="1"/>
  <c r="D22" i="4"/>
  <c r="L22" i="4" s="1"/>
  <c r="D22" i="15"/>
  <c r="D22" i="14"/>
  <c r="D22" i="7"/>
  <c r="L22" i="7" s="1"/>
  <c r="D22" i="8"/>
  <c r="L22" i="8" s="1"/>
  <c r="D22" i="11"/>
  <c r="D22" i="10"/>
  <c r="D22" i="9"/>
  <c r="L22" i="9" s="1"/>
  <c r="D67" i="1"/>
  <c r="D67" i="15"/>
  <c r="L67" i="15" s="1"/>
  <c r="D67" i="14"/>
  <c r="L67" i="14" s="1"/>
  <c r="D67" i="8"/>
  <c r="L67" i="8" s="1"/>
  <c r="D67" i="7"/>
  <c r="L67" i="7" s="1"/>
  <c r="D67" i="10"/>
  <c r="L67" i="10" s="1"/>
  <c r="D67" i="11"/>
  <c r="L67" i="11" s="1"/>
  <c r="D67" i="9"/>
  <c r="L67" i="9" s="1"/>
  <c r="E88" i="1"/>
  <c r="E88" i="15"/>
  <c r="M88" i="15" s="1"/>
  <c r="E88" i="14"/>
  <c r="M88" i="14" s="1"/>
  <c r="E88" i="7"/>
  <c r="M88" i="7" s="1"/>
  <c r="E88" i="8"/>
  <c r="M88" i="8" s="1"/>
  <c r="E88" i="10"/>
  <c r="M88" i="10" s="1"/>
  <c r="E88" i="9"/>
  <c r="M88" i="9" s="1"/>
  <c r="E88" i="11"/>
  <c r="M88" i="11" s="1"/>
  <c r="D84" i="4"/>
  <c r="L84" i="4" s="1"/>
  <c r="D84" i="15"/>
  <c r="L84" i="15" s="1"/>
  <c r="D84" i="14"/>
  <c r="L84" i="14" s="1"/>
  <c r="D84" i="8"/>
  <c r="L84" i="8" s="1"/>
  <c r="D84" i="7"/>
  <c r="L84" i="7" s="1"/>
  <c r="D84" i="11"/>
  <c r="L84" i="11" s="1"/>
  <c r="D84" i="10"/>
  <c r="L84" i="10" s="1"/>
  <c r="D84" i="9"/>
  <c r="L84" i="9" s="1"/>
  <c r="D110" i="1"/>
  <c r="D110" i="15"/>
  <c r="L110" i="15" s="1"/>
  <c r="D110" i="14"/>
  <c r="L110" i="14" s="1"/>
  <c r="D110" i="8"/>
  <c r="L110" i="8" s="1"/>
  <c r="D110" i="7"/>
  <c r="L110" i="7" s="1"/>
  <c r="D110" i="9"/>
  <c r="L110" i="9" s="1"/>
  <c r="D110" i="11"/>
  <c r="L110" i="11" s="1"/>
  <c r="D110" i="10"/>
  <c r="L110" i="10" s="1"/>
  <c r="D79" i="1"/>
  <c r="D79" i="15"/>
  <c r="L79" i="15" s="1"/>
  <c r="D79" i="14"/>
  <c r="L79" i="14" s="1"/>
  <c r="D79" i="8"/>
  <c r="L79" i="8" s="1"/>
  <c r="D79" i="7"/>
  <c r="L79" i="7" s="1"/>
  <c r="D79" i="9"/>
  <c r="L79" i="9" s="1"/>
  <c r="D79" i="11"/>
  <c r="L79" i="11" s="1"/>
  <c r="D79" i="10"/>
  <c r="L79" i="10" s="1"/>
  <c r="D41" i="1"/>
  <c r="D41" i="15"/>
  <c r="L41" i="15" s="1"/>
  <c r="D41" i="14"/>
  <c r="L41" i="14" s="1"/>
  <c r="D41" i="8"/>
  <c r="D41" i="7"/>
  <c r="D41" i="11"/>
  <c r="D41" i="10"/>
  <c r="D41" i="9"/>
  <c r="D35" i="1"/>
  <c r="D35" i="15"/>
  <c r="L35" i="15" s="1"/>
  <c r="D35" i="14"/>
  <c r="L35" i="14" s="1"/>
  <c r="D35" i="8"/>
  <c r="D35" i="7"/>
  <c r="D35" i="10"/>
  <c r="D35" i="11"/>
  <c r="D35" i="9"/>
  <c r="D39" i="1"/>
  <c r="D39" i="15"/>
  <c r="L39" i="15" s="1"/>
  <c r="D39" i="14"/>
  <c r="L39" i="14" s="1"/>
  <c r="D39" i="7"/>
  <c r="D39" i="8"/>
  <c r="D39" i="11"/>
  <c r="D39" i="9"/>
  <c r="D39" i="10"/>
  <c r="E28" i="4"/>
  <c r="M28" i="4" s="1"/>
  <c r="E28" i="15"/>
  <c r="M28" i="15" s="1"/>
  <c r="E28" i="14"/>
  <c r="M28" i="14" s="1"/>
  <c r="E28" i="8"/>
  <c r="M28" i="8" s="1"/>
  <c r="E28" i="7"/>
  <c r="M28" i="7" s="1"/>
  <c r="E28" i="11"/>
  <c r="M28" i="11" s="1"/>
  <c r="E28" i="9"/>
  <c r="M28" i="9" s="1"/>
  <c r="E28" i="10"/>
  <c r="M28" i="10" s="1"/>
  <c r="D66" i="4"/>
  <c r="D66" i="15"/>
  <c r="L66" i="15" s="1"/>
  <c r="D66" i="14"/>
  <c r="L66" i="14" s="1"/>
  <c r="D66" i="8"/>
  <c r="L66" i="8" s="1"/>
  <c r="D66" i="7"/>
  <c r="L66" i="7" s="1"/>
  <c r="D66" i="10"/>
  <c r="L66" i="10" s="1"/>
  <c r="D66" i="9"/>
  <c r="L66" i="9" s="1"/>
  <c r="D66" i="11"/>
  <c r="L66" i="11" s="1"/>
  <c r="E51" i="1"/>
  <c r="E51" i="15"/>
  <c r="M51" i="15" s="1"/>
  <c r="E51" i="14"/>
  <c r="M51" i="14" s="1"/>
  <c r="E51" i="8"/>
  <c r="E51" i="7"/>
  <c r="E51" i="10"/>
  <c r="E51" i="11"/>
  <c r="E51" i="9"/>
  <c r="D42" i="4"/>
  <c r="D42" i="15"/>
  <c r="L42" i="15" s="1"/>
  <c r="D42" i="14"/>
  <c r="L42" i="14" s="1"/>
  <c r="D42" i="8"/>
  <c r="D42" i="7"/>
  <c r="D42" i="10"/>
  <c r="D42" i="9"/>
  <c r="D42" i="11"/>
  <c r="D68" i="1"/>
  <c r="D68" i="15"/>
  <c r="L68" i="15" s="1"/>
  <c r="D68" i="14"/>
  <c r="L68" i="14" s="1"/>
  <c r="D68" i="7"/>
  <c r="L68" i="7" s="1"/>
  <c r="D68" i="8"/>
  <c r="L68" i="8" s="1"/>
  <c r="D68" i="11"/>
  <c r="L68" i="11" s="1"/>
  <c r="D68" i="9"/>
  <c r="L68" i="9" s="1"/>
  <c r="D68" i="10"/>
  <c r="L68" i="10" s="1"/>
  <c r="E39" i="1"/>
  <c r="E39" i="15"/>
  <c r="M39" i="15" s="1"/>
  <c r="E39" i="14"/>
  <c r="M39" i="14" s="1"/>
  <c r="E39" i="8"/>
  <c r="E39" i="7"/>
  <c r="E39" i="11"/>
  <c r="E39" i="10"/>
  <c r="E39" i="9"/>
  <c r="L14" i="10"/>
  <c r="L14" i="8"/>
  <c r="L13" i="11"/>
  <c r="L13" i="14"/>
  <c r="L19" i="11"/>
  <c r="L19" i="14"/>
  <c r="L20" i="10"/>
  <c r="L20" i="15"/>
  <c r="L16" i="7"/>
  <c r="L21" i="11"/>
  <c r="L18" i="10"/>
  <c r="L18" i="8"/>
  <c r="M43" i="7"/>
  <c r="M55" i="7"/>
  <c r="L17" i="10"/>
  <c r="L17" i="8"/>
  <c r="L15" i="11"/>
  <c r="L15" i="14"/>
  <c r="D51" i="1"/>
  <c r="D101" i="15"/>
  <c r="L101" i="15" s="1"/>
  <c r="D101" i="14"/>
  <c r="L101" i="14" s="1"/>
  <c r="D101" i="8"/>
  <c r="L101" i="8" s="1"/>
  <c r="D101" i="7"/>
  <c r="L101" i="7" s="1"/>
  <c r="D101" i="10"/>
  <c r="L101" i="10" s="1"/>
  <c r="D101" i="11"/>
  <c r="L101" i="11" s="1"/>
  <c r="D101" i="9"/>
  <c r="L101" i="9" s="1"/>
  <c r="D62" i="15"/>
  <c r="L62" i="15" s="1"/>
  <c r="D62" i="14"/>
  <c r="L62" i="14" s="1"/>
  <c r="D62" i="8"/>
  <c r="L62" i="8" s="1"/>
  <c r="D62" i="7"/>
  <c r="L62" i="7" s="1"/>
  <c r="D62" i="11"/>
  <c r="L62" i="11" s="1"/>
  <c r="D62" i="10"/>
  <c r="L62" i="10" s="1"/>
  <c r="D62" i="9"/>
  <c r="L62" i="9" s="1"/>
  <c r="D99" i="1"/>
  <c r="D64" i="15"/>
  <c r="L64" i="15" s="1"/>
  <c r="D64" i="14"/>
  <c r="L64" i="14" s="1"/>
  <c r="D64" i="7"/>
  <c r="L64" i="7" s="1"/>
  <c r="D64" i="8"/>
  <c r="L64" i="8" s="1"/>
  <c r="D64" i="9"/>
  <c r="L64" i="9" s="1"/>
  <c r="D64" i="11"/>
  <c r="L64" i="11" s="1"/>
  <c r="D64" i="10"/>
  <c r="L64" i="10" s="1"/>
  <c r="D54" i="1"/>
  <c r="D104" i="15"/>
  <c r="L104" i="15" s="1"/>
  <c r="D104" i="14"/>
  <c r="L104" i="14" s="1"/>
  <c r="D104" i="8"/>
  <c r="L104" i="8" s="1"/>
  <c r="D104" i="7"/>
  <c r="L104" i="7" s="1"/>
  <c r="D104" i="10"/>
  <c r="L104" i="10" s="1"/>
  <c r="D104" i="11"/>
  <c r="L104" i="11" s="1"/>
  <c r="D104" i="9"/>
  <c r="L104" i="9" s="1"/>
  <c r="D87" i="4"/>
  <c r="E72" i="1"/>
  <c r="E46" i="4"/>
  <c r="M46" i="4" s="1"/>
  <c r="E46" i="15"/>
  <c r="M46" i="15" s="1"/>
  <c r="E46" i="14"/>
  <c r="M46" i="14" s="1"/>
  <c r="E46" i="8"/>
  <c r="E46" i="7"/>
  <c r="E46" i="9"/>
  <c r="E46" i="11"/>
  <c r="E46" i="10"/>
  <c r="D23" i="1"/>
  <c r="L23" i="1" s="1"/>
  <c r="D23" i="15"/>
  <c r="D23" i="14"/>
  <c r="D23" i="8"/>
  <c r="L23" i="8" s="1"/>
  <c r="D23" i="7"/>
  <c r="L23" i="7" s="1"/>
  <c r="D23" i="11"/>
  <c r="D23" i="9"/>
  <c r="L23" i="9" s="1"/>
  <c r="D23" i="10"/>
  <c r="E24" i="4"/>
  <c r="M24" i="4" s="1"/>
  <c r="E24" i="15"/>
  <c r="M24" i="15" s="1"/>
  <c r="E24" i="14"/>
  <c r="M24" i="14" s="1"/>
  <c r="E24" i="8"/>
  <c r="M24" i="8" s="1"/>
  <c r="E24" i="7"/>
  <c r="M24" i="7" s="1"/>
  <c r="E24" i="9"/>
  <c r="M24" i="9" s="1"/>
  <c r="E24" i="11"/>
  <c r="M24" i="11" s="1"/>
  <c r="E24" i="10"/>
  <c r="M24" i="10" s="1"/>
  <c r="E99" i="1"/>
  <c r="E99" i="15"/>
  <c r="M99" i="15" s="1"/>
  <c r="E99" i="14"/>
  <c r="M99" i="14" s="1"/>
  <c r="E99" i="8"/>
  <c r="M99" i="8" s="1"/>
  <c r="E99" i="7"/>
  <c r="M99" i="7" s="1"/>
  <c r="E99" i="10"/>
  <c r="M99" i="10" s="1"/>
  <c r="E99" i="9"/>
  <c r="M99" i="9" s="1"/>
  <c r="E99" i="11"/>
  <c r="M99" i="11" s="1"/>
  <c r="D89" i="1"/>
  <c r="D89" i="15"/>
  <c r="L89" i="15" s="1"/>
  <c r="D89" i="14"/>
  <c r="L89" i="14" s="1"/>
  <c r="D89" i="8"/>
  <c r="L89" i="8" s="1"/>
  <c r="D89" i="7"/>
  <c r="L89" i="7" s="1"/>
  <c r="D89" i="11"/>
  <c r="L89" i="11" s="1"/>
  <c r="D89" i="10"/>
  <c r="L89" i="10" s="1"/>
  <c r="D89" i="9"/>
  <c r="L89" i="9" s="1"/>
  <c r="L14" i="11"/>
  <c r="L14" i="14"/>
  <c r="L13" i="10"/>
  <c r="L13" i="15"/>
  <c r="L19" i="10"/>
  <c r="L19" i="15"/>
  <c r="L20" i="8"/>
  <c r="L16" i="10"/>
  <c r="L16" i="8"/>
  <c r="L21" i="14"/>
  <c r="L18" i="11"/>
  <c r="L18" i="14"/>
  <c r="M43" i="10"/>
  <c r="M55" i="10"/>
  <c r="M43" i="8"/>
  <c r="M55" i="8"/>
  <c r="L17" i="9"/>
  <c r="L17" i="14"/>
  <c r="L15" i="9"/>
  <c r="L15" i="15"/>
  <c r="D78" i="15"/>
  <c r="L78" i="15" s="1"/>
  <c r="D78" i="14"/>
  <c r="L78" i="14" s="1"/>
  <c r="D78" i="7"/>
  <c r="L78" i="7" s="1"/>
  <c r="D78" i="8"/>
  <c r="L78" i="8" s="1"/>
  <c r="D78" i="11"/>
  <c r="L78" i="11" s="1"/>
  <c r="D78" i="10"/>
  <c r="L78" i="10" s="1"/>
  <c r="D78" i="9"/>
  <c r="L78" i="9" s="1"/>
  <c r="D28" i="15"/>
  <c r="L28" i="15" s="1"/>
  <c r="D28" i="14"/>
  <c r="L28" i="14" s="1"/>
  <c r="D28" i="8"/>
  <c r="L28" i="8" s="1"/>
  <c r="D28" i="7"/>
  <c r="L28" i="7" s="1"/>
  <c r="D28" i="11"/>
  <c r="L28" i="11" s="1"/>
  <c r="D28" i="9"/>
  <c r="L28" i="9" s="1"/>
  <c r="D28" i="10"/>
  <c r="L28" i="10" s="1"/>
  <c r="D85" i="15"/>
  <c r="L85" i="15" s="1"/>
  <c r="D85" i="14"/>
  <c r="L85" i="14" s="1"/>
  <c r="D85" i="8"/>
  <c r="L85" i="8" s="1"/>
  <c r="D85" i="7"/>
  <c r="L85" i="7" s="1"/>
  <c r="D85" i="10"/>
  <c r="L85" i="10" s="1"/>
  <c r="D85" i="9"/>
  <c r="L85" i="9" s="1"/>
  <c r="D85" i="11"/>
  <c r="L85" i="11" s="1"/>
  <c r="D88" i="15"/>
  <c r="L88" i="15" s="1"/>
  <c r="D88" i="14"/>
  <c r="L88" i="14" s="1"/>
  <c r="D88" i="8"/>
  <c r="L88" i="8" s="1"/>
  <c r="D88" i="7"/>
  <c r="L88" i="7" s="1"/>
  <c r="D88" i="10"/>
  <c r="L88" i="10" s="1"/>
  <c r="D88" i="9"/>
  <c r="L88" i="9" s="1"/>
  <c r="D88" i="11"/>
  <c r="L88" i="11" s="1"/>
  <c r="D90" i="15"/>
  <c r="L90" i="15" s="1"/>
  <c r="D90" i="14"/>
  <c r="L90" i="14" s="1"/>
  <c r="D90" i="8"/>
  <c r="L90" i="8" s="1"/>
  <c r="D90" i="7"/>
  <c r="L90" i="7" s="1"/>
  <c r="D90" i="11"/>
  <c r="L90" i="11" s="1"/>
  <c r="D90" i="10"/>
  <c r="L90" i="10" s="1"/>
  <c r="D90" i="9"/>
  <c r="L90" i="9" s="1"/>
  <c r="D65" i="15"/>
  <c r="L65" i="15" s="1"/>
  <c r="D65" i="14"/>
  <c r="L65" i="14" s="1"/>
  <c r="D65" i="8"/>
  <c r="L65" i="8" s="1"/>
  <c r="D65" i="7"/>
  <c r="L65" i="7" s="1"/>
  <c r="D65" i="11"/>
  <c r="L65" i="11" s="1"/>
  <c r="D65" i="9"/>
  <c r="L65" i="9" s="1"/>
  <c r="D65" i="10"/>
  <c r="L65" i="10" s="1"/>
  <c r="D30" i="4"/>
  <c r="D30" i="15"/>
  <c r="L30" i="15" s="1"/>
  <c r="D30" i="14"/>
  <c r="L30" i="14" s="1"/>
  <c r="D30" i="8"/>
  <c r="L30" i="8" s="1"/>
  <c r="D30" i="7"/>
  <c r="L30" i="7" s="1"/>
  <c r="D30" i="11"/>
  <c r="L30" i="11" s="1"/>
  <c r="D30" i="10"/>
  <c r="L30" i="10" s="1"/>
  <c r="D30" i="9"/>
  <c r="L30" i="9" s="1"/>
  <c r="E89" i="15"/>
  <c r="M89" i="15" s="1"/>
  <c r="E89" i="14"/>
  <c r="M89" i="14" s="1"/>
  <c r="E89" i="7"/>
  <c r="M89" i="7" s="1"/>
  <c r="E89" i="8"/>
  <c r="M89" i="8" s="1"/>
  <c r="E89" i="10"/>
  <c r="M89" i="10" s="1"/>
  <c r="E89" i="9"/>
  <c r="M89" i="9" s="1"/>
  <c r="E89" i="11"/>
  <c r="M89" i="11" s="1"/>
  <c r="E43" i="1"/>
  <c r="E43" i="15"/>
  <c r="M43" i="15" s="1"/>
  <c r="E43" i="14"/>
  <c r="M43" i="14" s="1"/>
  <c r="E43" i="8"/>
  <c r="E43" i="7"/>
  <c r="E43" i="10"/>
  <c r="E43" i="9"/>
  <c r="E43" i="11"/>
  <c r="E110" i="4"/>
  <c r="M110" i="4" s="1"/>
  <c r="E110" i="15"/>
  <c r="M110" i="15" s="1"/>
  <c r="E110" i="14"/>
  <c r="M110" i="14" s="1"/>
  <c r="E110" i="8"/>
  <c r="M110" i="8" s="1"/>
  <c r="E110" i="7"/>
  <c r="M110" i="7" s="1"/>
  <c r="E110" i="9"/>
  <c r="M110" i="9" s="1"/>
  <c r="E110" i="10"/>
  <c r="M110" i="10" s="1"/>
  <c r="E110" i="11"/>
  <c r="M110" i="11" s="1"/>
  <c r="E48" i="4"/>
  <c r="M48" i="4" s="1"/>
  <c r="E48" i="15"/>
  <c r="M48" i="15" s="1"/>
  <c r="E48" i="14"/>
  <c r="M48" i="14" s="1"/>
  <c r="E48" i="8"/>
  <c r="E48" i="7"/>
  <c r="E48" i="10"/>
  <c r="E48" i="9"/>
  <c r="E48" i="11"/>
  <c r="E67" i="1"/>
  <c r="E67" i="15"/>
  <c r="M67" i="15" s="1"/>
  <c r="E67" i="14"/>
  <c r="M67" i="14" s="1"/>
  <c r="E67" i="7"/>
  <c r="M67" i="7" s="1"/>
  <c r="E67" i="8"/>
  <c r="M67" i="8" s="1"/>
  <c r="E67" i="10"/>
  <c r="M67" i="10" s="1"/>
  <c r="E67" i="9"/>
  <c r="M67" i="9" s="1"/>
  <c r="E67" i="11"/>
  <c r="M67" i="11" s="1"/>
  <c r="D75" i="4"/>
  <c r="D75" i="15"/>
  <c r="L75" i="15" s="1"/>
  <c r="D75" i="14"/>
  <c r="L75" i="14" s="1"/>
  <c r="D75" i="8"/>
  <c r="L75" i="8" s="1"/>
  <c r="D75" i="7"/>
  <c r="L75" i="7" s="1"/>
  <c r="D75" i="10"/>
  <c r="L75" i="10" s="1"/>
  <c r="D75" i="9"/>
  <c r="L75" i="9" s="1"/>
  <c r="D75" i="11"/>
  <c r="L75" i="11" s="1"/>
  <c r="D82" i="1"/>
  <c r="D86" i="1"/>
  <c r="D29" i="15"/>
  <c r="L29" i="15" s="1"/>
  <c r="D29" i="14"/>
  <c r="L29" i="14" s="1"/>
  <c r="D29" i="7"/>
  <c r="L29" i="7" s="1"/>
  <c r="D29" i="8"/>
  <c r="L29" i="8" s="1"/>
  <c r="D29" i="10"/>
  <c r="L29" i="10" s="1"/>
  <c r="D29" i="11"/>
  <c r="L29" i="11" s="1"/>
  <c r="D29" i="9"/>
  <c r="L29" i="9" s="1"/>
  <c r="D34" i="4"/>
  <c r="D81" i="15"/>
  <c r="L81" i="15" s="1"/>
  <c r="D81" i="14"/>
  <c r="L81" i="14" s="1"/>
  <c r="D81" i="8"/>
  <c r="L81" i="8" s="1"/>
  <c r="D81" i="7"/>
  <c r="L81" i="7" s="1"/>
  <c r="D81" i="11"/>
  <c r="L81" i="11" s="1"/>
  <c r="D81" i="9"/>
  <c r="L81" i="9" s="1"/>
  <c r="D81" i="10"/>
  <c r="L81" i="10" s="1"/>
  <c r="D33" i="1"/>
  <c r="E86" i="4"/>
  <c r="M86" i="4" s="1"/>
  <c r="E23" i="4"/>
  <c r="M23" i="4" s="1"/>
  <c r="E57" i="4"/>
  <c r="M57" i="4" s="1"/>
  <c r="E110" i="1"/>
  <c r="D77" i="1"/>
  <c r="D77" i="15"/>
  <c r="L77" i="15" s="1"/>
  <c r="D77" i="14"/>
  <c r="L77" i="14" s="1"/>
  <c r="D77" i="7"/>
  <c r="L77" i="7" s="1"/>
  <c r="D77" i="8"/>
  <c r="L77" i="8" s="1"/>
  <c r="D77" i="10"/>
  <c r="L77" i="10" s="1"/>
  <c r="D77" i="11"/>
  <c r="L77" i="11" s="1"/>
  <c r="D77" i="9"/>
  <c r="L77" i="9" s="1"/>
  <c r="D107" i="4"/>
  <c r="D107" i="14"/>
  <c r="L107" i="14" s="1"/>
  <c r="D107" i="15"/>
  <c r="L107" i="15" s="1"/>
  <c r="D107" i="8"/>
  <c r="L107" i="8" s="1"/>
  <c r="D107" i="7"/>
  <c r="L107" i="7" s="1"/>
  <c r="D107" i="10"/>
  <c r="L107" i="10" s="1"/>
  <c r="D107" i="11"/>
  <c r="L107" i="11" s="1"/>
  <c r="D107" i="9"/>
  <c r="L107" i="9" s="1"/>
  <c r="E97" i="1"/>
  <c r="E97" i="15"/>
  <c r="M97" i="15" s="1"/>
  <c r="E97" i="14"/>
  <c r="M97" i="14" s="1"/>
  <c r="E97" i="8"/>
  <c r="M97" i="8" s="1"/>
  <c r="E97" i="7"/>
  <c r="M97" i="7" s="1"/>
  <c r="E97" i="9"/>
  <c r="M97" i="9" s="1"/>
  <c r="E97" i="10"/>
  <c r="M97" i="10" s="1"/>
  <c r="E97" i="11"/>
  <c r="M97" i="11" s="1"/>
  <c r="E64" i="4"/>
  <c r="M64" i="4" s="1"/>
  <c r="E64" i="15"/>
  <c r="M64" i="15" s="1"/>
  <c r="E64" i="14"/>
  <c r="M64" i="14" s="1"/>
  <c r="E64" i="8"/>
  <c r="M64" i="8" s="1"/>
  <c r="E64" i="7"/>
  <c r="M64" i="7" s="1"/>
  <c r="E64" i="10"/>
  <c r="M64" i="10" s="1"/>
  <c r="E64" i="11"/>
  <c r="M64" i="11" s="1"/>
  <c r="E64" i="9"/>
  <c r="M64" i="9" s="1"/>
  <c r="E38" i="4"/>
  <c r="M38" i="4" s="1"/>
  <c r="E38" i="15"/>
  <c r="M38" i="15" s="1"/>
  <c r="E38" i="14"/>
  <c r="M38" i="14" s="1"/>
  <c r="E38" i="8"/>
  <c r="E38" i="7"/>
  <c r="E38" i="9"/>
  <c r="E38" i="10"/>
  <c r="E38" i="11"/>
  <c r="E47" i="1"/>
  <c r="E47" i="15"/>
  <c r="M47" i="15" s="1"/>
  <c r="E47" i="14"/>
  <c r="M47" i="14" s="1"/>
  <c r="E47" i="8"/>
  <c r="E47" i="7"/>
  <c r="E47" i="11"/>
  <c r="E47" i="10"/>
  <c r="E47" i="9"/>
  <c r="E26" i="4"/>
  <c r="M26" i="4" s="1"/>
  <c r="E26" i="15"/>
  <c r="M26" i="15" s="1"/>
  <c r="E26" i="14"/>
  <c r="M26" i="14" s="1"/>
  <c r="E26" i="7"/>
  <c r="M26" i="7" s="1"/>
  <c r="E26" i="8"/>
  <c r="M26" i="8" s="1"/>
  <c r="E26" i="9"/>
  <c r="M26" i="9" s="1"/>
  <c r="E26" i="11"/>
  <c r="M26" i="11" s="1"/>
  <c r="E26" i="10"/>
  <c r="M26" i="10" s="1"/>
  <c r="E80" i="1"/>
  <c r="E80" i="15"/>
  <c r="M80" i="15" s="1"/>
  <c r="E80" i="14"/>
  <c r="M80" i="14" s="1"/>
  <c r="E80" i="7"/>
  <c r="M80" i="7" s="1"/>
  <c r="E80" i="8"/>
  <c r="M80" i="8" s="1"/>
  <c r="E80" i="10"/>
  <c r="M80" i="10" s="1"/>
  <c r="E80" i="9"/>
  <c r="M80" i="9" s="1"/>
  <c r="E80" i="11"/>
  <c r="M80" i="11" s="1"/>
  <c r="E49" i="4"/>
  <c r="M49" i="4" s="1"/>
  <c r="E49" i="15"/>
  <c r="M49" i="15" s="1"/>
  <c r="E49" i="14"/>
  <c r="M49" i="14" s="1"/>
  <c r="E49" i="8"/>
  <c r="E49" i="7"/>
  <c r="E49" i="9"/>
  <c r="E49" i="10"/>
  <c r="E49" i="11"/>
  <c r="E75" i="1"/>
  <c r="E75" i="15"/>
  <c r="M75" i="15" s="1"/>
  <c r="E75" i="14"/>
  <c r="M75" i="14" s="1"/>
  <c r="E75" i="7"/>
  <c r="M75" i="7" s="1"/>
  <c r="E75" i="8"/>
  <c r="M75" i="8" s="1"/>
  <c r="E75" i="10"/>
  <c r="M75" i="10" s="1"/>
  <c r="E75" i="9"/>
  <c r="M75" i="9" s="1"/>
  <c r="E75" i="11"/>
  <c r="M75" i="11" s="1"/>
  <c r="E85" i="4"/>
  <c r="M85" i="4" s="1"/>
  <c r="E85" i="15"/>
  <c r="M85" i="15" s="1"/>
  <c r="E85" i="14"/>
  <c r="M85" i="14" s="1"/>
  <c r="E85" i="7"/>
  <c r="M85" i="7" s="1"/>
  <c r="E85" i="8"/>
  <c r="M85" i="8" s="1"/>
  <c r="E85" i="11"/>
  <c r="M85" i="11" s="1"/>
  <c r="E85" i="10"/>
  <c r="M85" i="10" s="1"/>
  <c r="E85" i="9"/>
  <c r="M85" i="9" s="1"/>
  <c r="E41" i="1"/>
  <c r="E41" i="15"/>
  <c r="M41" i="15" s="1"/>
  <c r="E41" i="14"/>
  <c r="M41" i="14" s="1"/>
  <c r="E41" i="8"/>
  <c r="E41" i="7"/>
  <c r="E41" i="10"/>
  <c r="E41" i="9"/>
  <c r="E41" i="11"/>
  <c r="E83" i="1"/>
  <c r="E83" i="15"/>
  <c r="M83" i="15" s="1"/>
  <c r="E83" i="14"/>
  <c r="M83" i="14" s="1"/>
  <c r="E83" i="8"/>
  <c r="M83" i="8" s="1"/>
  <c r="E83" i="7"/>
  <c r="M83" i="7" s="1"/>
  <c r="E83" i="10"/>
  <c r="M83" i="10" s="1"/>
  <c r="E83" i="11"/>
  <c r="M83" i="11" s="1"/>
  <c r="E83" i="9"/>
  <c r="M83" i="9" s="1"/>
  <c r="E108" i="4"/>
  <c r="M108" i="4" s="1"/>
  <c r="E108" i="15"/>
  <c r="M108" i="15" s="1"/>
  <c r="E108" i="14"/>
  <c r="M108" i="14" s="1"/>
  <c r="E108" i="7"/>
  <c r="M108" i="7" s="1"/>
  <c r="E108" i="8"/>
  <c r="M108" i="8" s="1"/>
  <c r="E108" i="11"/>
  <c r="M108" i="11" s="1"/>
  <c r="E108" i="10"/>
  <c r="M108" i="10" s="1"/>
  <c r="E108" i="9"/>
  <c r="M108" i="9" s="1"/>
  <c r="E44" i="4"/>
  <c r="M44" i="4" s="1"/>
  <c r="E44" i="15"/>
  <c r="M44" i="15" s="1"/>
  <c r="E44" i="14"/>
  <c r="M44" i="14" s="1"/>
  <c r="E44" i="8"/>
  <c r="E44" i="7"/>
  <c r="E44" i="11"/>
  <c r="E44" i="10"/>
  <c r="E44" i="9"/>
  <c r="D32" i="4"/>
  <c r="D32" i="15"/>
  <c r="L32" i="15" s="1"/>
  <c r="D32" i="14"/>
  <c r="L32" i="14" s="1"/>
  <c r="D32" i="7"/>
  <c r="D32" i="8"/>
  <c r="D32" i="9"/>
  <c r="D32" i="11"/>
  <c r="D32" i="10"/>
  <c r="E77" i="1"/>
  <c r="E77" i="14"/>
  <c r="M77" i="14" s="1"/>
  <c r="E77" i="15"/>
  <c r="M77" i="15" s="1"/>
  <c r="E77" i="7"/>
  <c r="M77" i="7" s="1"/>
  <c r="E77" i="8"/>
  <c r="M77" i="8" s="1"/>
  <c r="E77" i="11"/>
  <c r="M77" i="11" s="1"/>
  <c r="E77" i="9"/>
  <c r="M77" i="9" s="1"/>
  <c r="E77" i="10"/>
  <c r="M77" i="10" s="1"/>
  <c r="E32" i="4"/>
  <c r="M32" i="4" s="1"/>
  <c r="E32" i="15"/>
  <c r="M32" i="15" s="1"/>
  <c r="E32" i="14"/>
  <c r="M32" i="14" s="1"/>
  <c r="E32" i="8"/>
  <c r="E32" i="7"/>
  <c r="E32" i="10"/>
  <c r="E32" i="11"/>
  <c r="E32" i="9"/>
  <c r="D24" i="1"/>
  <c r="L24" i="1" s="1"/>
  <c r="D24" i="15"/>
  <c r="D24" i="14"/>
  <c r="D24" i="7"/>
  <c r="L24" i="7" s="1"/>
  <c r="D24" i="8"/>
  <c r="L24" i="8" s="1"/>
  <c r="D24" i="10"/>
  <c r="D24" i="11"/>
  <c r="D24" i="9"/>
  <c r="L24" i="9" s="1"/>
  <c r="D92" i="4"/>
  <c r="D92" i="15"/>
  <c r="L92" i="15" s="1"/>
  <c r="D92" i="14"/>
  <c r="L92" i="14" s="1"/>
  <c r="D92" i="8"/>
  <c r="L92" i="8" s="1"/>
  <c r="D92" i="7"/>
  <c r="L92" i="7" s="1"/>
  <c r="D92" i="11"/>
  <c r="L92" i="11" s="1"/>
  <c r="D92" i="9"/>
  <c r="L92" i="9" s="1"/>
  <c r="D92" i="10"/>
  <c r="L92" i="10" s="1"/>
  <c r="D71" i="1"/>
  <c r="D71" i="15"/>
  <c r="L71" i="15" s="1"/>
  <c r="D71" i="14"/>
  <c r="L71" i="14" s="1"/>
  <c r="D71" i="8"/>
  <c r="L71" i="8" s="1"/>
  <c r="D71" i="7"/>
  <c r="L71" i="7" s="1"/>
  <c r="D71" i="11"/>
  <c r="L71" i="11" s="1"/>
  <c r="D71" i="9"/>
  <c r="L71" i="9" s="1"/>
  <c r="D71" i="10"/>
  <c r="L71" i="10" s="1"/>
  <c r="D40" i="4"/>
  <c r="D40" i="15"/>
  <c r="L40" i="15" s="1"/>
  <c r="D40" i="14"/>
  <c r="L40" i="14" s="1"/>
  <c r="D40" i="8"/>
  <c r="D40" i="7"/>
  <c r="D40" i="10"/>
  <c r="D40" i="9"/>
  <c r="D40" i="11"/>
  <c r="D103" i="4"/>
  <c r="D103" i="15"/>
  <c r="L103" i="15" s="1"/>
  <c r="D103" i="14"/>
  <c r="L103" i="14" s="1"/>
  <c r="D103" i="8"/>
  <c r="L103" i="8" s="1"/>
  <c r="D103" i="7"/>
  <c r="L103" i="7" s="1"/>
  <c r="D103" i="11"/>
  <c r="L103" i="11" s="1"/>
  <c r="D103" i="9"/>
  <c r="L103" i="9" s="1"/>
  <c r="D103" i="10"/>
  <c r="L103" i="10" s="1"/>
  <c r="E37" i="1"/>
  <c r="E37" i="15"/>
  <c r="M37" i="15" s="1"/>
  <c r="E37" i="14"/>
  <c r="M37" i="14" s="1"/>
  <c r="E37" i="7"/>
  <c r="E37" i="8"/>
  <c r="E37" i="11"/>
  <c r="E37" i="10"/>
  <c r="E37" i="9"/>
  <c r="D98" i="4"/>
  <c r="D98" i="15"/>
  <c r="L98" i="15" s="1"/>
  <c r="D98" i="14"/>
  <c r="L98" i="14" s="1"/>
  <c r="D98" i="8"/>
  <c r="L98" i="8" s="1"/>
  <c r="D98" i="7"/>
  <c r="L98" i="7" s="1"/>
  <c r="D98" i="10"/>
  <c r="L98" i="10" s="1"/>
  <c r="D98" i="9"/>
  <c r="L98" i="9" s="1"/>
  <c r="D98" i="11"/>
  <c r="L98" i="11" s="1"/>
  <c r="D45" i="1"/>
  <c r="L33" i="1" s="1"/>
  <c r="D45" i="15"/>
  <c r="L45" i="15" s="1"/>
  <c r="D45" i="14"/>
  <c r="L45" i="14" s="1"/>
  <c r="D45" i="8"/>
  <c r="D45" i="7"/>
  <c r="D45" i="10"/>
  <c r="D45" i="11"/>
  <c r="D45" i="9"/>
  <c r="D74" i="1"/>
  <c r="D74" i="15"/>
  <c r="L74" i="15" s="1"/>
  <c r="D74" i="14"/>
  <c r="L74" i="14" s="1"/>
  <c r="D74" i="8"/>
  <c r="L74" i="8" s="1"/>
  <c r="D74" i="7"/>
  <c r="L74" i="7" s="1"/>
  <c r="D74" i="11"/>
  <c r="L74" i="11" s="1"/>
  <c r="D74" i="10"/>
  <c r="L74" i="10" s="1"/>
  <c r="D74" i="9"/>
  <c r="L74" i="9" s="1"/>
  <c r="D80" i="4"/>
  <c r="D80" i="15"/>
  <c r="L80" i="15" s="1"/>
  <c r="D80" i="14"/>
  <c r="L80" i="14" s="1"/>
  <c r="D80" i="7"/>
  <c r="L80" i="7" s="1"/>
  <c r="D80" i="8"/>
  <c r="L80" i="8" s="1"/>
  <c r="D80" i="9"/>
  <c r="L80" i="9" s="1"/>
  <c r="D80" i="10"/>
  <c r="L80" i="10" s="1"/>
  <c r="D80" i="11"/>
  <c r="L80" i="11" s="1"/>
  <c r="E52" i="4"/>
  <c r="M52" i="4" s="1"/>
  <c r="E52" i="15"/>
  <c r="M52" i="15" s="1"/>
  <c r="E52" i="14"/>
  <c r="M52" i="14" s="1"/>
  <c r="E52" i="8"/>
  <c r="E52" i="7"/>
  <c r="E52" i="11"/>
  <c r="E52" i="10"/>
  <c r="E52" i="9"/>
  <c r="D31" i="15"/>
  <c r="L31" i="15" s="1"/>
  <c r="D31" i="14"/>
  <c r="L31" i="14" s="1"/>
  <c r="D31" i="8"/>
  <c r="L31" i="8" s="1"/>
  <c r="D31" i="7"/>
  <c r="L31" i="7" s="1"/>
  <c r="D31" i="9"/>
  <c r="L31" i="9" s="1"/>
  <c r="D31" i="11"/>
  <c r="L31" i="11" s="1"/>
  <c r="D31" i="10"/>
  <c r="L31" i="10" s="1"/>
  <c r="D53" i="15"/>
  <c r="L53" i="15" s="1"/>
  <c r="D53" i="14"/>
  <c r="L53" i="14" s="1"/>
  <c r="D53" i="7"/>
  <c r="D53" i="8"/>
  <c r="D53" i="10"/>
  <c r="D53" i="9"/>
  <c r="D53" i="11"/>
  <c r="D82" i="4"/>
  <c r="D56" i="15"/>
  <c r="L56" i="15" s="1"/>
  <c r="D56" i="14"/>
  <c r="L56" i="14" s="1"/>
  <c r="D56" i="8"/>
  <c r="L56" i="8" s="1"/>
  <c r="D56" i="7"/>
  <c r="L56" i="7" s="1"/>
  <c r="D56" i="10"/>
  <c r="L56" i="10" s="1"/>
  <c r="D56" i="9"/>
  <c r="L56" i="9" s="1"/>
  <c r="D56" i="11"/>
  <c r="L56" i="11" s="1"/>
  <c r="D61" i="15"/>
  <c r="L61" i="15" s="1"/>
  <c r="D61" i="14"/>
  <c r="L61" i="14" s="1"/>
  <c r="D61" i="8"/>
  <c r="L61" i="8" s="1"/>
  <c r="D61" i="7"/>
  <c r="L61" i="7" s="1"/>
  <c r="D61" i="10"/>
  <c r="L61" i="10" s="1"/>
  <c r="D61" i="11"/>
  <c r="L61" i="11" s="1"/>
  <c r="D61" i="9"/>
  <c r="L61" i="9" s="1"/>
  <c r="D91" i="15"/>
  <c r="L91" i="15" s="1"/>
  <c r="D91" i="14"/>
  <c r="L91" i="14" s="1"/>
  <c r="D91" i="7"/>
  <c r="L91" i="7" s="1"/>
  <c r="D91" i="8"/>
  <c r="L91" i="8" s="1"/>
  <c r="D91" i="10"/>
  <c r="L91" i="10" s="1"/>
  <c r="D91" i="9"/>
  <c r="L91" i="9" s="1"/>
  <c r="D91" i="11"/>
  <c r="L91" i="11" s="1"/>
  <c r="D94" i="15"/>
  <c r="L94" i="15" s="1"/>
  <c r="D94" i="14"/>
  <c r="L94" i="14" s="1"/>
  <c r="D94" i="7"/>
  <c r="L94" i="7" s="1"/>
  <c r="D94" i="8"/>
  <c r="L94" i="8" s="1"/>
  <c r="D94" i="9"/>
  <c r="L94" i="9" s="1"/>
  <c r="D94" i="11"/>
  <c r="L94" i="11" s="1"/>
  <c r="D94" i="10"/>
  <c r="L94" i="10" s="1"/>
  <c r="D96" i="15"/>
  <c r="L96" i="15" s="1"/>
  <c r="D96" i="14"/>
  <c r="L96" i="14" s="1"/>
  <c r="D96" i="8"/>
  <c r="L96" i="8" s="1"/>
  <c r="D96" i="7"/>
  <c r="L96" i="7" s="1"/>
  <c r="D96" i="10"/>
  <c r="L96" i="10" s="1"/>
  <c r="D96" i="9"/>
  <c r="L96" i="9" s="1"/>
  <c r="D96" i="11"/>
  <c r="L96" i="11" s="1"/>
  <c r="D54" i="4"/>
  <c r="D57" i="4"/>
  <c r="E67" i="4"/>
  <c r="M67" i="4" s="1"/>
  <c r="E56" i="1"/>
  <c r="E72" i="4"/>
  <c r="M72" i="4" s="1"/>
  <c r="E93" i="4"/>
  <c r="M93" i="4" s="1"/>
  <c r="E30" i="4"/>
  <c r="M30" i="4" s="1"/>
  <c r="E89" i="4"/>
  <c r="M89" i="4" s="1"/>
  <c r="D55" i="1"/>
  <c r="D55" i="15"/>
  <c r="L55" i="15" s="1"/>
  <c r="D55" i="14"/>
  <c r="L55" i="14" s="1"/>
  <c r="D55" i="8"/>
  <c r="D55" i="7"/>
  <c r="D55" i="11"/>
  <c r="D55" i="9"/>
  <c r="D55" i="10"/>
  <c r="D76" i="1"/>
  <c r="D76" i="15"/>
  <c r="L76" i="15" s="1"/>
  <c r="D76" i="14"/>
  <c r="L76" i="14" s="1"/>
  <c r="D76" i="7"/>
  <c r="L76" i="7" s="1"/>
  <c r="D76" i="8"/>
  <c r="L76" i="8" s="1"/>
  <c r="D76" i="9"/>
  <c r="L76" i="9" s="1"/>
  <c r="D76" i="10"/>
  <c r="L76" i="10" s="1"/>
  <c r="D76" i="11"/>
  <c r="L76" i="11" s="1"/>
  <c r="E101" i="1"/>
  <c r="E101" i="15"/>
  <c r="M101" i="15" s="1"/>
  <c r="E101" i="14"/>
  <c r="M101" i="14" s="1"/>
  <c r="E101" i="8"/>
  <c r="M101" i="8" s="1"/>
  <c r="E101" i="7"/>
  <c r="M101" i="7" s="1"/>
  <c r="E101" i="11"/>
  <c r="M101" i="11" s="1"/>
  <c r="E101" i="10"/>
  <c r="M101" i="10" s="1"/>
  <c r="E101" i="9"/>
  <c r="M101" i="9" s="1"/>
  <c r="E53" i="1"/>
  <c r="E53" i="15"/>
  <c r="M53" i="15" s="1"/>
  <c r="E53" i="14"/>
  <c r="M53" i="14" s="1"/>
  <c r="E53" i="8"/>
  <c r="E53" i="7"/>
  <c r="E53" i="11"/>
  <c r="E53" i="10"/>
  <c r="E53" i="9"/>
  <c r="E35" i="4"/>
  <c r="M35" i="4" s="1"/>
  <c r="E35" i="15"/>
  <c r="M35" i="15" s="1"/>
  <c r="E35" i="14"/>
  <c r="M35" i="14" s="1"/>
  <c r="E35" i="8"/>
  <c r="E35" i="7"/>
  <c r="E35" i="10"/>
  <c r="E35" i="9"/>
  <c r="E35" i="11"/>
  <c r="E61" i="1"/>
  <c r="E61" i="15"/>
  <c r="M61" i="15" s="1"/>
  <c r="E61" i="14"/>
  <c r="M61" i="14" s="1"/>
  <c r="E61" i="8"/>
  <c r="M61" i="8" s="1"/>
  <c r="E61" i="7"/>
  <c r="M61" i="7" s="1"/>
  <c r="E61" i="11"/>
  <c r="M61" i="11" s="1"/>
  <c r="E61" i="9"/>
  <c r="M61" i="9" s="1"/>
  <c r="E61" i="10"/>
  <c r="M61" i="10" s="1"/>
  <c r="E34" i="4"/>
  <c r="M34" i="4" s="1"/>
  <c r="E34" i="15"/>
  <c r="M34" i="15" s="1"/>
  <c r="E34" i="14"/>
  <c r="M34" i="14" s="1"/>
  <c r="E34" i="8"/>
  <c r="E34" i="7"/>
  <c r="E34" i="11"/>
  <c r="E34" i="9"/>
  <c r="E34" i="10"/>
  <c r="E84" i="1"/>
  <c r="E84" i="15"/>
  <c r="M84" i="15" s="1"/>
  <c r="E84" i="14"/>
  <c r="M84" i="14" s="1"/>
  <c r="E84" i="8"/>
  <c r="M84" i="8" s="1"/>
  <c r="E84" i="7"/>
  <c r="M84" i="7" s="1"/>
  <c r="E84" i="11"/>
  <c r="M84" i="11" s="1"/>
  <c r="E84" i="10"/>
  <c r="M84" i="10" s="1"/>
  <c r="E84" i="9"/>
  <c r="M84" i="9" s="1"/>
  <c r="E66" i="4"/>
  <c r="M66" i="4" s="1"/>
  <c r="E66" i="14"/>
  <c r="M66" i="14" s="1"/>
  <c r="E66" i="15"/>
  <c r="M66" i="15" s="1"/>
  <c r="E66" i="8"/>
  <c r="M66" i="8" s="1"/>
  <c r="E66" i="7"/>
  <c r="M66" i="7" s="1"/>
  <c r="E66" i="11"/>
  <c r="M66" i="11" s="1"/>
  <c r="E66" i="9"/>
  <c r="M66" i="9" s="1"/>
  <c r="E66" i="10"/>
  <c r="M66" i="10" s="1"/>
  <c r="E111" i="1"/>
  <c r="E111" i="15"/>
  <c r="M111" i="15" s="1"/>
  <c r="E111" i="14"/>
  <c r="M111" i="14" s="1"/>
  <c r="E111" i="8"/>
  <c r="M111" i="8" s="1"/>
  <c r="E111" i="7"/>
  <c r="M111" i="7" s="1"/>
  <c r="E111" i="11"/>
  <c r="M111" i="11" s="1"/>
  <c r="E111" i="10"/>
  <c r="M111" i="10" s="1"/>
  <c r="E111" i="9"/>
  <c r="M111" i="9" s="1"/>
  <c r="E92" i="4"/>
  <c r="M92" i="4" s="1"/>
  <c r="E92" i="15"/>
  <c r="M92" i="15" s="1"/>
  <c r="E92" i="14"/>
  <c r="M92" i="14" s="1"/>
  <c r="E92" i="8"/>
  <c r="M92" i="8" s="1"/>
  <c r="E92" i="7"/>
  <c r="M92" i="7" s="1"/>
  <c r="E92" i="11"/>
  <c r="M92" i="11" s="1"/>
  <c r="E92" i="10"/>
  <c r="M92" i="10" s="1"/>
  <c r="E92" i="9"/>
  <c r="M92" i="9" s="1"/>
  <c r="E59" i="1"/>
  <c r="E59" i="15"/>
  <c r="M59" i="15" s="1"/>
  <c r="E59" i="14"/>
  <c r="M59" i="14" s="1"/>
  <c r="E59" i="8"/>
  <c r="M59" i="8" s="1"/>
  <c r="E59" i="7"/>
  <c r="M59" i="7" s="1"/>
  <c r="E59" i="10"/>
  <c r="M59" i="10" s="1"/>
  <c r="E59" i="11"/>
  <c r="M59" i="11" s="1"/>
  <c r="E59" i="9"/>
  <c r="M59" i="9" s="1"/>
  <c r="D102" i="1"/>
  <c r="D102" i="15"/>
  <c r="L102" i="15" s="1"/>
  <c r="D102" i="14"/>
  <c r="L102" i="14" s="1"/>
  <c r="D102" i="8"/>
  <c r="L102" i="8" s="1"/>
  <c r="D102" i="7"/>
  <c r="L102" i="7" s="1"/>
  <c r="D102" i="9"/>
  <c r="L102" i="9" s="1"/>
  <c r="D102" i="11"/>
  <c r="L102" i="11" s="1"/>
  <c r="D102" i="10"/>
  <c r="L102" i="10" s="1"/>
  <c r="D49" i="1"/>
  <c r="D49" i="15"/>
  <c r="L49" i="15" s="1"/>
  <c r="D49" i="14"/>
  <c r="L49" i="14" s="1"/>
  <c r="D49" i="8"/>
  <c r="D49" i="7"/>
  <c r="D49" i="11"/>
  <c r="D49" i="9"/>
  <c r="D49" i="10"/>
  <c r="E25" i="1"/>
  <c r="M25" i="1" s="1"/>
  <c r="E25" i="15"/>
  <c r="M25" i="15" s="1"/>
  <c r="E25" i="14"/>
  <c r="M25" i="14" s="1"/>
  <c r="E25" i="8"/>
  <c r="M25" i="8" s="1"/>
  <c r="E25" i="7"/>
  <c r="M25" i="7" s="1"/>
  <c r="E25" i="10"/>
  <c r="M25" i="10" s="1"/>
  <c r="E25" i="9"/>
  <c r="M25" i="9" s="1"/>
  <c r="E25" i="11"/>
  <c r="M25" i="11" s="1"/>
  <c r="E68" i="4"/>
  <c r="M68" i="4" s="1"/>
  <c r="E68" i="15"/>
  <c r="M68" i="15" s="1"/>
  <c r="E68" i="14"/>
  <c r="M68" i="14" s="1"/>
  <c r="E68" i="7"/>
  <c r="M68" i="7" s="1"/>
  <c r="E68" i="8"/>
  <c r="M68" i="8" s="1"/>
  <c r="E68" i="11"/>
  <c r="M68" i="11" s="1"/>
  <c r="E68" i="9"/>
  <c r="M68" i="9" s="1"/>
  <c r="E68" i="10"/>
  <c r="M68" i="10" s="1"/>
  <c r="E65" i="4"/>
  <c r="M65" i="4" s="1"/>
  <c r="E65" i="15"/>
  <c r="M65" i="15" s="1"/>
  <c r="E65" i="14"/>
  <c r="M65" i="14" s="1"/>
  <c r="E65" i="8"/>
  <c r="M65" i="8" s="1"/>
  <c r="E65" i="7"/>
  <c r="M65" i="7" s="1"/>
  <c r="E65" i="9"/>
  <c r="M65" i="9" s="1"/>
  <c r="E65" i="10"/>
  <c r="M65" i="10" s="1"/>
  <c r="E65" i="11"/>
  <c r="M65" i="11" s="1"/>
  <c r="E54" i="1"/>
  <c r="E54" i="15"/>
  <c r="M54" i="15" s="1"/>
  <c r="E54" i="14"/>
  <c r="M54" i="14" s="1"/>
  <c r="E54" i="8"/>
  <c r="E54" i="7"/>
  <c r="E54" i="10"/>
  <c r="E54" i="9"/>
  <c r="E54" i="11"/>
  <c r="E45" i="1"/>
  <c r="M33" i="1" s="1"/>
  <c r="E45" i="15"/>
  <c r="M45" i="15" s="1"/>
  <c r="E45" i="14"/>
  <c r="M45" i="14" s="1"/>
  <c r="E45" i="7"/>
  <c r="E45" i="8"/>
  <c r="E45" i="11"/>
  <c r="E45" i="9"/>
  <c r="E45" i="10"/>
  <c r="E71" i="4"/>
  <c r="M71" i="4" s="1"/>
  <c r="E71" i="15"/>
  <c r="M71" i="15" s="1"/>
  <c r="E71" i="14"/>
  <c r="M71" i="14" s="1"/>
  <c r="E71" i="8"/>
  <c r="M71" i="8" s="1"/>
  <c r="E71" i="7"/>
  <c r="M71" i="7" s="1"/>
  <c r="E71" i="11"/>
  <c r="M71" i="11" s="1"/>
  <c r="E71" i="10"/>
  <c r="M71" i="10" s="1"/>
  <c r="E71" i="9"/>
  <c r="M71" i="9" s="1"/>
  <c r="E60" i="15"/>
  <c r="M60" i="15" s="1"/>
  <c r="E60" i="14"/>
  <c r="M60" i="14" s="1"/>
  <c r="E60" i="8"/>
  <c r="M60" i="8" s="1"/>
  <c r="E60" i="7"/>
  <c r="M60" i="7" s="1"/>
  <c r="E60" i="11"/>
  <c r="M60" i="11" s="1"/>
  <c r="E60" i="9"/>
  <c r="M60" i="9" s="1"/>
  <c r="E60" i="10"/>
  <c r="M60" i="10" s="1"/>
  <c r="E82" i="1"/>
  <c r="E82" i="15"/>
  <c r="M82" i="15" s="1"/>
  <c r="E82" i="14"/>
  <c r="M82" i="14" s="1"/>
  <c r="E82" i="7"/>
  <c r="M82" i="7" s="1"/>
  <c r="E82" i="8"/>
  <c r="M82" i="8" s="1"/>
  <c r="E82" i="11"/>
  <c r="M82" i="11" s="1"/>
  <c r="E82" i="9"/>
  <c r="M82" i="9" s="1"/>
  <c r="E82" i="10"/>
  <c r="M82" i="10" s="1"/>
  <c r="D58" i="1"/>
  <c r="D58" i="14"/>
  <c r="L58" i="14" s="1"/>
  <c r="D58" i="15"/>
  <c r="L58" i="15" s="1"/>
  <c r="D58" i="7"/>
  <c r="L58" i="7" s="1"/>
  <c r="D58" i="8"/>
  <c r="L58" i="8" s="1"/>
  <c r="D58" i="11"/>
  <c r="L58" i="11" s="1"/>
  <c r="D58" i="9"/>
  <c r="L58" i="9" s="1"/>
  <c r="D58" i="10"/>
  <c r="L58" i="10" s="1"/>
  <c r="E103" i="15"/>
  <c r="M103" i="15" s="1"/>
  <c r="E103" i="14"/>
  <c r="M103" i="14" s="1"/>
  <c r="E103" i="8"/>
  <c r="M103" i="8" s="1"/>
  <c r="E103" i="7"/>
  <c r="M103" i="7" s="1"/>
  <c r="E103" i="11"/>
  <c r="M103" i="11" s="1"/>
  <c r="E103" i="10"/>
  <c r="M103" i="10" s="1"/>
  <c r="E103" i="9"/>
  <c r="M103" i="9" s="1"/>
  <c r="D106" i="4"/>
  <c r="D106" i="15"/>
  <c r="L106" i="15" s="1"/>
  <c r="D106" i="14"/>
  <c r="L106" i="14" s="1"/>
  <c r="D106" i="8"/>
  <c r="L106" i="8" s="1"/>
  <c r="D106" i="7"/>
  <c r="L106" i="7" s="1"/>
  <c r="D106" i="9"/>
  <c r="L106" i="9" s="1"/>
  <c r="D106" i="11"/>
  <c r="L106" i="11" s="1"/>
  <c r="D106" i="10"/>
  <c r="L106" i="10" s="1"/>
  <c r="D105" i="4"/>
  <c r="D105" i="15"/>
  <c r="L105" i="15" s="1"/>
  <c r="D105" i="14"/>
  <c r="L105" i="14" s="1"/>
  <c r="D105" i="8"/>
  <c r="L105" i="8" s="1"/>
  <c r="D105" i="7"/>
  <c r="L105" i="7" s="1"/>
  <c r="D105" i="11"/>
  <c r="L105" i="11" s="1"/>
  <c r="D105" i="10"/>
  <c r="L105" i="10" s="1"/>
  <c r="D105" i="9"/>
  <c r="L105" i="9" s="1"/>
  <c r="D26" i="4"/>
  <c r="L26" i="4" s="1"/>
  <c r="D26" i="15"/>
  <c r="D26" i="14"/>
  <c r="D26" i="8"/>
  <c r="L26" i="8" s="1"/>
  <c r="D26" i="7"/>
  <c r="L26" i="7" s="1"/>
  <c r="D26" i="10"/>
  <c r="L26" i="10" s="1"/>
  <c r="D26" i="11"/>
  <c r="L26" i="11" s="1"/>
  <c r="D26" i="9"/>
  <c r="L26" i="9" s="1"/>
  <c r="D48" i="4"/>
  <c r="D48" i="15"/>
  <c r="L48" i="15" s="1"/>
  <c r="D48" i="14"/>
  <c r="L48" i="14" s="1"/>
  <c r="D48" i="8"/>
  <c r="D48" i="7"/>
  <c r="D48" i="9"/>
  <c r="D48" i="11"/>
  <c r="D48" i="10"/>
  <c r="D25" i="4"/>
  <c r="D25" i="15"/>
  <c r="D25" i="14"/>
  <c r="D25" i="8"/>
  <c r="L25" i="8" s="1"/>
  <c r="D25" i="7"/>
  <c r="L25" i="7" s="1"/>
  <c r="D25" i="11"/>
  <c r="L25" i="11" s="1"/>
  <c r="D25" i="10"/>
  <c r="L25" i="10" s="1"/>
  <c r="D25" i="9"/>
  <c r="L25" i="9" s="1"/>
  <c r="D73" i="4"/>
  <c r="L73" i="4" s="1"/>
  <c r="D73" i="15"/>
  <c r="L73" i="15" s="1"/>
  <c r="D73" i="14"/>
  <c r="L73" i="14" s="1"/>
  <c r="D73" i="7"/>
  <c r="L73" i="7" s="1"/>
  <c r="D73" i="8"/>
  <c r="L73" i="8" s="1"/>
  <c r="D73" i="11"/>
  <c r="L73" i="11" s="1"/>
  <c r="D73" i="10"/>
  <c r="L73" i="10" s="1"/>
  <c r="D73" i="9"/>
  <c r="L73" i="9" s="1"/>
  <c r="D63" i="1"/>
  <c r="D63" i="15"/>
  <c r="L63" i="15" s="1"/>
  <c r="D63" i="14"/>
  <c r="L63" i="14" s="1"/>
  <c r="D63" i="8"/>
  <c r="L63" i="8" s="1"/>
  <c r="D63" i="7"/>
  <c r="L63" i="7" s="1"/>
  <c r="D63" i="9"/>
  <c r="L63" i="9" s="1"/>
  <c r="D63" i="11"/>
  <c r="L63" i="11" s="1"/>
  <c r="D63" i="10"/>
  <c r="L63" i="10" s="1"/>
  <c r="E50" i="4"/>
  <c r="M50" i="4" s="1"/>
  <c r="E50" i="15"/>
  <c r="M50" i="15" s="1"/>
  <c r="E50" i="14"/>
  <c r="M50" i="14" s="1"/>
  <c r="E50" i="8"/>
  <c r="E50" i="7"/>
  <c r="E50" i="11"/>
  <c r="E50" i="9"/>
  <c r="E50" i="10"/>
  <c r="D60" i="15"/>
  <c r="L60" i="15" s="1"/>
  <c r="D60" i="14"/>
  <c r="L60" i="14" s="1"/>
  <c r="D60" i="8"/>
  <c r="L60" i="8" s="1"/>
  <c r="D60" i="7"/>
  <c r="L60" i="7" s="1"/>
  <c r="D60" i="11"/>
  <c r="L60" i="11" s="1"/>
  <c r="D60" i="9"/>
  <c r="L60" i="9" s="1"/>
  <c r="D60" i="10"/>
  <c r="L60" i="10" s="1"/>
  <c r="D43" i="15"/>
  <c r="L43" i="15" s="1"/>
  <c r="D43" i="14"/>
  <c r="L43" i="14" s="1"/>
  <c r="D43" i="8"/>
  <c r="D43" i="7"/>
  <c r="D43" i="10"/>
  <c r="D43" i="9"/>
  <c r="D43" i="11"/>
  <c r="D111" i="14"/>
  <c r="L111" i="14" s="1"/>
  <c r="D111" i="15"/>
  <c r="L111" i="15" s="1"/>
  <c r="D111" i="8"/>
  <c r="L111" i="8" s="1"/>
  <c r="D111" i="7"/>
  <c r="L111" i="7" s="1"/>
  <c r="D111" i="9"/>
  <c r="L111" i="9" s="1"/>
  <c r="D111" i="11"/>
  <c r="L111" i="11" s="1"/>
  <c r="D111" i="10"/>
  <c r="L111" i="10" s="1"/>
  <c r="D112" i="15"/>
  <c r="L112" i="15" s="1"/>
  <c r="D112" i="14"/>
  <c r="L112" i="14" s="1"/>
  <c r="D112" i="8"/>
  <c r="L112" i="8" s="1"/>
  <c r="D112" i="7"/>
  <c r="L112" i="7" s="1"/>
  <c r="D112" i="9"/>
  <c r="L112" i="9" s="1"/>
  <c r="D112" i="11"/>
  <c r="L112" i="11" s="1"/>
  <c r="D112" i="10"/>
  <c r="L112" i="10" s="1"/>
  <c r="D100" i="4"/>
  <c r="D100" i="15"/>
  <c r="L100" i="15" s="1"/>
  <c r="D100" i="14"/>
  <c r="L100" i="14" s="1"/>
  <c r="D100" i="8"/>
  <c r="L100" i="8" s="1"/>
  <c r="D100" i="7"/>
  <c r="L100" i="7" s="1"/>
  <c r="D100" i="11"/>
  <c r="L100" i="11" s="1"/>
  <c r="D100" i="9"/>
  <c r="L100" i="9" s="1"/>
  <c r="D100" i="10"/>
  <c r="L100" i="10" s="1"/>
  <c r="L14" i="9"/>
  <c r="L14" i="15"/>
  <c r="L13" i="7"/>
  <c r="L19" i="7"/>
  <c r="L20" i="9"/>
  <c r="L20" i="7"/>
  <c r="L16" i="11"/>
  <c r="L16" i="14"/>
  <c r="L21" i="10"/>
  <c r="L21" i="15"/>
  <c r="L18" i="9"/>
  <c r="L18" i="15"/>
  <c r="M55" i="9"/>
  <c r="M43" i="9"/>
  <c r="L17" i="11"/>
  <c r="L17" i="15"/>
  <c r="L15" i="7"/>
  <c r="E36" i="15"/>
  <c r="M36" i="15" s="1"/>
  <c r="M11" i="15" s="1"/>
  <c r="E36" i="14"/>
  <c r="M36" i="14" s="1"/>
  <c r="E36" i="8"/>
  <c r="E36" i="7"/>
  <c r="E36" i="11"/>
  <c r="E36" i="9"/>
  <c r="E36" i="10"/>
  <c r="F33" i="15"/>
  <c r="N32" i="15"/>
  <c r="C28" i="15"/>
  <c r="K27" i="15"/>
  <c r="N32" i="14"/>
  <c r="F33" i="14"/>
  <c r="K28" i="14"/>
  <c r="C29" i="14"/>
  <c r="C15" i="4"/>
  <c r="K14" i="4"/>
  <c r="K25" i="11"/>
  <c r="C26" i="11"/>
  <c r="N29" i="11"/>
  <c r="F30" i="11"/>
  <c r="N31" i="10"/>
  <c r="K25" i="10"/>
  <c r="C26" i="10"/>
  <c r="K22" i="9"/>
  <c r="C23" i="9"/>
  <c r="N32" i="9"/>
  <c r="N31" i="8"/>
  <c r="C24" i="8"/>
  <c r="K23" i="8"/>
  <c r="O22" i="8"/>
  <c r="O11" i="8" s="1"/>
  <c r="C23" i="7"/>
  <c r="K22" i="7"/>
  <c r="N30" i="7"/>
  <c r="D42" i="1"/>
  <c r="E29" i="4"/>
  <c r="M29" i="4" s="1"/>
  <c r="E79" i="4"/>
  <c r="M79" i="4" s="1"/>
  <c r="D98" i="1"/>
  <c r="D45" i="4"/>
  <c r="D110" i="4"/>
  <c r="D80" i="1"/>
  <c r="E78" i="1"/>
  <c r="E95" i="4"/>
  <c r="M95" i="4" s="1"/>
  <c r="E37" i="4"/>
  <c r="M37" i="4" s="1"/>
  <c r="E87" i="4"/>
  <c r="M87" i="4" s="1"/>
  <c r="E77" i="4"/>
  <c r="M77" i="4" s="1"/>
  <c r="E52" i="1"/>
  <c r="D103" i="1"/>
  <c r="D79" i="4"/>
  <c r="L79" i="4" s="1"/>
  <c r="E49" i="1"/>
  <c r="E71" i="1"/>
  <c r="D22" i="1"/>
  <c r="L22" i="1" s="1"/>
  <c r="D67" i="4"/>
  <c r="D52" i="4"/>
  <c r="D39" i="4"/>
  <c r="D35" i="4"/>
  <c r="D41" i="4"/>
  <c r="L41" i="4" s="1"/>
  <c r="D84" i="1"/>
  <c r="D105" i="1"/>
  <c r="D40" i="1"/>
  <c r="D49" i="4"/>
  <c r="D58" i="4"/>
  <c r="D24" i="4"/>
  <c r="D26" i="1"/>
  <c r="L26" i="1" s="1"/>
  <c r="D71" i="4"/>
  <c r="D70" i="1"/>
  <c r="D30" i="1"/>
  <c r="L30" i="1" s="1"/>
  <c r="D23" i="4"/>
  <c r="L23" i="4" s="1"/>
  <c r="D32" i="1"/>
  <c r="E44" i="1"/>
  <c r="E85" i="1"/>
  <c r="D107" i="1"/>
  <c r="D102" i="4"/>
  <c r="D92" i="1"/>
  <c r="E45" i="4"/>
  <c r="M45" i="4" s="1"/>
  <c r="E99" i="4"/>
  <c r="M99" i="4" s="1"/>
  <c r="E68" i="1"/>
  <c r="E32" i="1"/>
  <c r="E70" i="1"/>
  <c r="E38" i="1"/>
  <c r="E94" i="4"/>
  <c r="M94" i="4" s="1"/>
  <c r="E75" i="4"/>
  <c r="M75" i="4" s="1"/>
  <c r="E24" i="1"/>
  <c r="M24" i="1" s="1"/>
  <c r="E41" i="4"/>
  <c r="M41" i="4" s="1"/>
  <c r="E83" i="4"/>
  <c r="M83" i="4" s="1"/>
  <c r="E47" i="4"/>
  <c r="M47" i="4" s="1"/>
  <c r="E97" i="4"/>
  <c r="M97" i="4" s="1"/>
  <c r="E61" i="4"/>
  <c r="M61" i="4" s="1"/>
  <c r="E64" i="1"/>
  <c r="E26" i="1"/>
  <c r="M26" i="1" s="1"/>
  <c r="E35" i="1"/>
  <c r="E84" i="4"/>
  <c r="M84" i="4" s="1"/>
  <c r="E76" i="1"/>
  <c r="E53" i="4"/>
  <c r="M53" i="4" s="1"/>
  <c r="D44" i="4"/>
  <c r="E92" i="1"/>
  <c r="E101" i="4"/>
  <c r="M101" i="4" s="1"/>
  <c r="E59" i="4"/>
  <c r="M59" i="4" s="1"/>
  <c r="E43" i="4"/>
  <c r="M43" i="4" s="1"/>
  <c r="E48" i="1"/>
  <c r="E111" i="4"/>
  <c r="M111" i="4" s="1"/>
  <c r="E98" i="1"/>
  <c r="E73" i="4"/>
  <c r="M73" i="4" s="1"/>
  <c r="D76" i="4"/>
  <c r="D55" i="4"/>
  <c r="L55" i="4" s="1"/>
  <c r="E81" i="4"/>
  <c r="M81" i="4" s="1"/>
  <c r="D77" i="4"/>
  <c r="D31" i="1"/>
  <c r="L31" i="1" s="1"/>
  <c r="D31" i="4"/>
  <c r="L100" i="4"/>
  <c r="D28" i="4"/>
  <c r="D28" i="1"/>
  <c r="L28" i="1" s="1"/>
  <c r="L109" i="4"/>
  <c r="D69" i="1"/>
  <c r="D69" i="4"/>
  <c r="D38" i="4"/>
  <c r="D38" i="1"/>
  <c r="D83" i="1"/>
  <c r="D83" i="4"/>
  <c r="L108" i="4"/>
  <c r="L54" i="4"/>
  <c r="L66" i="4"/>
  <c r="D81" i="1"/>
  <c r="D81" i="4"/>
  <c r="L33" i="4"/>
  <c r="L27" i="4"/>
  <c r="L43" i="4"/>
  <c r="L103" i="4"/>
  <c r="L87" i="4"/>
  <c r="D78" i="4"/>
  <c r="D78" i="1"/>
  <c r="D53" i="1"/>
  <c r="D53" i="4"/>
  <c r="D50" i="4"/>
  <c r="D50" i="1"/>
  <c r="D85" i="1"/>
  <c r="D85" i="4"/>
  <c r="L99" i="4"/>
  <c r="L75" i="4"/>
  <c r="D29" i="1"/>
  <c r="L29" i="1" s="1"/>
  <c r="D29" i="4"/>
  <c r="D64" i="4"/>
  <c r="D64" i="1"/>
  <c r="L47" i="4"/>
  <c r="D37" i="1"/>
  <c r="D37" i="4"/>
  <c r="D97" i="1"/>
  <c r="D97" i="4"/>
  <c r="L40" i="4"/>
  <c r="L74" i="4"/>
  <c r="L46" i="4"/>
  <c r="L48" i="4"/>
  <c r="L112" i="4"/>
  <c r="L106" i="4"/>
  <c r="L51" i="4"/>
  <c r="D36" i="4"/>
  <c r="D36" i="1"/>
  <c r="D101" i="1"/>
  <c r="D101" i="4"/>
  <c r="D56" i="4"/>
  <c r="D56" i="1"/>
  <c r="L86" i="4"/>
  <c r="D90" i="4"/>
  <c r="D90" i="1"/>
  <c r="D94" i="4"/>
  <c r="D94" i="1"/>
  <c r="D96" i="4"/>
  <c r="D96" i="1"/>
  <c r="D59" i="1"/>
  <c r="D59" i="4"/>
  <c r="L34" i="4"/>
  <c r="L98" i="4"/>
  <c r="L89" i="4"/>
  <c r="D72" i="4"/>
  <c r="D72" i="1"/>
  <c r="L57" i="4"/>
  <c r="L111" i="4"/>
  <c r="L95" i="4"/>
  <c r="L63" i="4"/>
  <c r="L25" i="4"/>
  <c r="L82" i="4"/>
  <c r="D62" i="4"/>
  <c r="D62" i="1"/>
  <c r="D88" i="4"/>
  <c r="D88" i="1"/>
  <c r="D61" i="1"/>
  <c r="D61" i="4"/>
  <c r="L32" i="4"/>
  <c r="L107" i="4"/>
  <c r="D91" i="1"/>
  <c r="D91" i="4"/>
  <c r="L105" i="4"/>
  <c r="D65" i="1"/>
  <c r="D65" i="4"/>
  <c r="L60" i="4"/>
  <c r="D104" i="4"/>
  <c r="D104" i="1"/>
  <c r="L92" i="4"/>
  <c r="L42" i="4"/>
  <c r="L68" i="4"/>
  <c r="L80" i="4"/>
  <c r="L30" i="4"/>
  <c r="L35" i="1"/>
  <c r="M34" i="1"/>
  <c r="N21" i="4"/>
  <c r="F22" i="4"/>
  <c r="G15" i="4"/>
  <c r="O15" i="4" s="1"/>
  <c r="H112" i="1"/>
  <c r="P112" i="1" s="1"/>
  <c r="H111" i="1"/>
  <c r="P111" i="1" s="1"/>
  <c r="H110" i="1"/>
  <c r="P110" i="1" s="1"/>
  <c r="H109" i="1"/>
  <c r="P109" i="1" s="1"/>
  <c r="H108" i="1"/>
  <c r="P108" i="1" s="1"/>
  <c r="H107" i="1"/>
  <c r="P107" i="1" s="1"/>
  <c r="H106" i="1"/>
  <c r="P106" i="1" s="1"/>
  <c r="H105" i="1"/>
  <c r="P105" i="1" s="1"/>
  <c r="H104" i="1"/>
  <c r="P104" i="1" s="1"/>
  <c r="H103" i="1"/>
  <c r="P103" i="1" s="1"/>
  <c r="H102" i="1"/>
  <c r="P102" i="1" s="1"/>
  <c r="H101" i="1"/>
  <c r="P101" i="1" s="1"/>
  <c r="H100" i="1"/>
  <c r="P100" i="1" s="1"/>
  <c r="H99" i="1"/>
  <c r="P99" i="1" s="1"/>
  <c r="H98" i="1"/>
  <c r="P98" i="1" s="1"/>
  <c r="H97" i="1"/>
  <c r="P97" i="1" s="1"/>
  <c r="H96" i="1"/>
  <c r="P96" i="1" s="1"/>
  <c r="H95" i="1"/>
  <c r="P95" i="1" s="1"/>
  <c r="H94" i="1"/>
  <c r="P94" i="1" s="1"/>
  <c r="H93" i="1"/>
  <c r="P93" i="1" s="1"/>
  <c r="H92" i="1"/>
  <c r="P92" i="1" s="1"/>
  <c r="H91" i="1"/>
  <c r="P91" i="1" s="1"/>
  <c r="H90" i="1"/>
  <c r="P90" i="1" s="1"/>
  <c r="H89" i="1"/>
  <c r="P89" i="1" s="1"/>
  <c r="H88" i="1"/>
  <c r="P88" i="1" s="1"/>
  <c r="H87" i="1"/>
  <c r="P87" i="1" s="1"/>
  <c r="H86" i="1"/>
  <c r="P86" i="1" s="1"/>
  <c r="H85" i="1"/>
  <c r="P85" i="1" s="1"/>
  <c r="H84" i="1"/>
  <c r="P84" i="1" s="1"/>
  <c r="H83" i="1"/>
  <c r="P83" i="1" s="1"/>
  <c r="H82" i="1"/>
  <c r="P82" i="1" s="1"/>
  <c r="H81" i="1"/>
  <c r="P81" i="1" s="1"/>
  <c r="H80" i="1"/>
  <c r="P80" i="1" s="1"/>
  <c r="H79" i="1"/>
  <c r="P79" i="1" s="1"/>
  <c r="H78" i="1"/>
  <c r="P78" i="1" s="1"/>
  <c r="H77" i="1"/>
  <c r="P77" i="1" s="1"/>
  <c r="H76" i="1"/>
  <c r="P76" i="1" s="1"/>
  <c r="H75" i="1"/>
  <c r="P75" i="1" s="1"/>
  <c r="H74" i="1"/>
  <c r="P74" i="1" s="1"/>
  <c r="H73" i="1"/>
  <c r="P73" i="1" s="1"/>
  <c r="H72" i="1"/>
  <c r="P72" i="1" s="1"/>
  <c r="H71" i="1"/>
  <c r="P71" i="1" s="1"/>
  <c r="H70" i="1"/>
  <c r="P70" i="1" s="1"/>
  <c r="H69" i="1"/>
  <c r="P69" i="1" s="1"/>
  <c r="H68" i="1"/>
  <c r="P68" i="1" s="1"/>
  <c r="H67" i="1"/>
  <c r="P67" i="1" s="1"/>
  <c r="H66" i="1"/>
  <c r="P66" i="1" s="1"/>
  <c r="H65" i="1"/>
  <c r="P65" i="1" s="1"/>
  <c r="H64" i="1"/>
  <c r="P64" i="1" s="1"/>
  <c r="H63" i="1"/>
  <c r="P63" i="1" s="1"/>
  <c r="H62" i="1"/>
  <c r="P62" i="1" s="1"/>
  <c r="H61" i="1"/>
  <c r="P61" i="1" s="1"/>
  <c r="H60" i="1"/>
  <c r="P60" i="1" s="1"/>
  <c r="H59" i="1"/>
  <c r="P59" i="1" s="1"/>
  <c r="H58" i="1"/>
  <c r="P58" i="1" s="1"/>
  <c r="H57" i="1"/>
  <c r="P57" i="1" s="1"/>
  <c r="H56" i="1"/>
  <c r="P56" i="1" s="1"/>
  <c r="H55" i="1"/>
  <c r="P55" i="1" s="1"/>
  <c r="H54" i="1"/>
  <c r="P54" i="1" s="1"/>
  <c r="H53" i="1"/>
  <c r="P53" i="1" s="1"/>
  <c r="H52" i="1"/>
  <c r="P52" i="1" s="1"/>
  <c r="H51" i="1"/>
  <c r="P51" i="1" s="1"/>
  <c r="H50" i="1"/>
  <c r="P50" i="1" s="1"/>
  <c r="H49" i="1"/>
  <c r="P49" i="1" s="1"/>
  <c r="H48" i="1"/>
  <c r="P48" i="1" s="1"/>
  <c r="H47" i="1"/>
  <c r="P47" i="1" s="1"/>
  <c r="H46" i="1"/>
  <c r="P46" i="1" s="1"/>
  <c r="H45" i="1"/>
  <c r="P45" i="1" s="1"/>
  <c r="H44" i="1"/>
  <c r="P44" i="1" s="1"/>
  <c r="H43" i="1"/>
  <c r="P43" i="1" s="1"/>
  <c r="H42" i="1"/>
  <c r="P42" i="1" s="1"/>
  <c r="H41" i="1"/>
  <c r="P41" i="1" s="1"/>
  <c r="H40" i="1"/>
  <c r="P40" i="1" s="1"/>
  <c r="H39" i="1"/>
  <c r="P39" i="1" s="1"/>
  <c r="H38" i="1"/>
  <c r="P38" i="1" s="1"/>
  <c r="H37" i="1"/>
  <c r="P37" i="1" s="1"/>
  <c r="H36" i="1"/>
  <c r="P36" i="1" s="1"/>
  <c r="H35" i="1"/>
  <c r="P35" i="1" s="1"/>
  <c r="H34" i="1"/>
  <c r="P34" i="1" s="1"/>
  <c r="H33" i="1"/>
  <c r="P33" i="1" s="1"/>
  <c r="H32" i="1"/>
  <c r="P32" i="1" s="1"/>
  <c r="H31" i="1"/>
  <c r="P31" i="1" s="1"/>
  <c r="H30" i="1"/>
  <c r="P30" i="1" s="1"/>
  <c r="H29" i="1"/>
  <c r="P29" i="1" s="1"/>
  <c r="H28" i="1"/>
  <c r="P28" i="1" s="1"/>
  <c r="H27" i="1"/>
  <c r="P27" i="1" s="1"/>
  <c r="H26" i="1"/>
  <c r="P26" i="1" s="1"/>
  <c r="H25" i="1"/>
  <c r="P25" i="1" s="1"/>
  <c r="H24" i="1"/>
  <c r="P24" i="1" s="1"/>
  <c r="H23" i="1"/>
  <c r="P23" i="1" s="1"/>
  <c r="H22" i="1"/>
  <c r="P22" i="1" s="1"/>
  <c r="H21" i="1"/>
  <c r="P21" i="1" s="1"/>
  <c r="H20" i="1"/>
  <c r="P20" i="1" s="1"/>
  <c r="G13" i="1"/>
  <c r="M11" i="14" l="1"/>
  <c r="P11" i="1"/>
  <c r="M38" i="9"/>
  <c r="M50" i="9"/>
  <c r="L25" i="14"/>
  <c r="L48" i="11"/>
  <c r="L36" i="11"/>
  <c r="L26" i="14"/>
  <c r="M33" i="8"/>
  <c r="M45" i="8"/>
  <c r="M54" i="7"/>
  <c r="M42" i="7"/>
  <c r="L49" i="7"/>
  <c r="L37" i="7"/>
  <c r="M41" i="7"/>
  <c r="M53" i="7"/>
  <c r="L55" i="7"/>
  <c r="L43" i="7"/>
  <c r="L53" i="8"/>
  <c r="L41" i="8"/>
  <c r="M52" i="10"/>
  <c r="M40" i="10"/>
  <c r="L45" i="11"/>
  <c r="L33" i="11"/>
  <c r="L24" i="11"/>
  <c r="L24" i="14"/>
  <c r="M44" i="10"/>
  <c r="M32" i="10"/>
  <c r="M37" i="10"/>
  <c r="M49" i="10"/>
  <c r="M35" i="10"/>
  <c r="M47" i="10"/>
  <c r="M48" i="7"/>
  <c r="M36" i="7"/>
  <c r="L23" i="10"/>
  <c r="M34" i="10"/>
  <c r="M46" i="10"/>
  <c r="M46" i="8"/>
  <c r="M34" i="8"/>
  <c r="M39" i="10"/>
  <c r="M51" i="10"/>
  <c r="L22" i="11"/>
  <c r="L22" i="15"/>
  <c r="L40" i="10"/>
  <c r="L52" i="10"/>
  <c r="L44" i="9"/>
  <c r="L32" i="9"/>
  <c r="L50" i="9"/>
  <c r="L38" i="9"/>
  <c r="L38" i="8"/>
  <c r="L50" i="8"/>
  <c r="L35" i="8"/>
  <c r="L47" i="8"/>
  <c r="L46" i="10"/>
  <c r="L34" i="10"/>
  <c r="L34" i="8"/>
  <c r="L46" i="8"/>
  <c r="L39" i="7"/>
  <c r="L51" i="7"/>
  <c r="L54" i="7"/>
  <c r="L42" i="7"/>
  <c r="M50" i="11"/>
  <c r="M38" i="11"/>
  <c r="L25" i="15"/>
  <c r="L36" i="9"/>
  <c r="L48" i="9"/>
  <c r="L26" i="15"/>
  <c r="M33" i="10"/>
  <c r="M45" i="10"/>
  <c r="M33" i="7"/>
  <c r="M45" i="7"/>
  <c r="M54" i="11"/>
  <c r="M42" i="11"/>
  <c r="M42" i="8"/>
  <c r="M54" i="8"/>
  <c r="L49" i="10"/>
  <c r="L37" i="10"/>
  <c r="L37" i="8"/>
  <c r="L49" i="8"/>
  <c r="M53" i="9"/>
  <c r="M41" i="9"/>
  <c r="M53" i="8"/>
  <c r="M41" i="8"/>
  <c r="L43" i="10"/>
  <c r="L55" i="10"/>
  <c r="L55" i="8"/>
  <c r="L43" i="8"/>
  <c r="L41" i="11"/>
  <c r="L53" i="11"/>
  <c r="L41" i="7"/>
  <c r="L53" i="7"/>
  <c r="M52" i="11"/>
  <c r="M40" i="11"/>
  <c r="L45" i="10"/>
  <c r="L33" i="10"/>
  <c r="L24" i="10"/>
  <c r="L24" i="15"/>
  <c r="M44" i="11"/>
  <c r="M32" i="11"/>
  <c r="M49" i="9"/>
  <c r="M37" i="9"/>
  <c r="M47" i="11"/>
  <c r="M35" i="11"/>
  <c r="M36" i="11"/>
  <c r="M48" i="11"/>
  <c r="M36" i="8"/>
  <c r="M48" i="8"/>
  <c r="L23" i="14"/>
  <c r="M46" i="11"/>
  <c r="M34" i="11"/>
  <c r="M39" i="7"/>
  <c r="M51" i="7"/>
  <c r="L40" i="7"/>
  <c r="L52" i="7"/>
  <c r="L32" i="7"/>
  <c r="L44" i="7"/>
  <c r="L38" i="10"/>
  <c r="L50" i="10"/>
  <c r="L47" i="10"/>
  <c r="L35" i="10"/>
  <c r="L47" i="7"/>
  <c r="L35" i="7"/>
  <c r="L34" i="9"/>
  <c r="L46" i="9"/>
  <c r="L51" i="9"/>
  <c r="L39" i="9"/>
  <c r="L51" i="8"/>
  <c r="L39" i="8"/>
  <c r="L42" i="9"/>
  <c r="L54" i="9"/>
  <c r="L42" i="8"/>
  <c r="L54" i="8"/>
  <c r="M38" i="7"/>
  <c r="M50" i="7"/>
  <c r="L36" i="7"/>
  <c r="L48" i="7"/>
  <c r="M33" i="9"/>
  <c r="M45" i="9"/>
  <c r="M42" i="9"/>
  <c r="M54" i="9"/>
  <c r="L37" i="9"/>
  <c r="L49" i="9"/>
  <c r="M41" i="10"/>
  <c r="M53" i="10"/>
  <c r="L43" i="9"/>
  <c r="L55" i="9"/>
  <c r="L41" i="9"/>
  <c r="L53" i="9"/>
  <c r="M52" i="7"/>
  <c r="M40" i="7"/>
  <c r="L33" i="7"/>
  <c r="L45" i="7"/>
  <c r="M44" i="7"/>
  <c r="M32" i="7"/>
  <c r="M37" i="7"/>
  <c r="M49" i="7"/>
  <c r="M35" i="7"/>
  <c r="M47" i="7"/>
  <c r="M36" i="9"/>
  <c r="M48" i="9"/>
  <c r="L11" i="15"/>
  <c r="L23" i="11"/>
  <c r="L23" i="15"/>
  <c r="M46" i="9"/>
  <c r="M34" i="9"/>
  <c r="M51" i="9"/>
  <c r="M39" i="9"/>
  <c r="M39" i="8"/>
  <c r="M51" i="8"/>
  <c r="L40" i="9"/>
  <c r="L52" i="9"/>
  <c r="L40" i="8"/>
  <c r="L52" i="8"/>
  <c r="L32" i="10"/>
  <c r="L44" i="10"/>
  <c r="L32" i="8"/>
  <c r="L44" i="8"/>
  <c r="L38" i="11"/>
  <c r="L50" i="11"/>
  <c r="L47" i="11"/>
  <c r="L35" i="11"/>
  <c r="L46" i="11"/>
  <c r="L34" i="11"/>
  <c r="L51" i="11"/>
  <c r="L39" i="11"/>
  <c r="L42" i="10"/>
  <c r="L54" i="10"/>
  <c r="M38" i="10"/>
  <c r="M50" i="10"/>
  <c r="M38" i="8"/>
  <c r="M50" i="8"/>
  <c r="L36" i="10"/>
  <c r="L48" i="10"/>
  <c r="L36" i="8"/>
  <c r="L48" i="8"/>
  <c r="M45" i="11"/>
  <c r="M33" i="11"/>
  <c r="M54" i="10"/>
  <c r="M42" i="10"/>
  <c r="L49" i="11"/>
  <c r="L37" i="11"/>
  <c r="M41" i="11"/>
  <c r="M53" i="11"/>
  <c r="L43" i="11"/>
  <c r="L55" i="11"/>
  <c r="L53" i="10"/>
  <c r="L41" i="10"/>
  <c r="M52" i="9"/>
  <c r="M40" i="9"/>
  <c r="M52" i="8"/>
  <c r="M40" i="8"/>
  <c r="L45" i="9"/>
  <c r="L33" i="9"/>
  <c r="L45" i="8"/>
  <c r="L33" i="8"/>
  <c r="M44" i="9"/>
  <c r="M32" i="9"/>
  <c r="M44" i="8"/>
  <c r="M32" i="8"/>
  <c r="M49" i="11"/>
  <c r="M37" i="11"/>
  <c r="M49" i="8"/>
  <c r="M37" i="8"/>
  <c r="M35" i="9"/>
  <c r="M47" i="9"/>
  <c r="M47" i="8"/>
  <c r="M35" i="8"/>
  <c r="M48" i="10"/>
  <c r="M36" i="10"/>
  <c r="M46" i="7"/>
  <c r="M34" i="7"/>
  <c r="M39" i="11"/>
  <c r="M51" i="11"/>
  <c r="L22" i="10"/>
  <c r="L22" i="14"/>
  <c r="L52" i="11"/>
  <c r="L40" i="11"/>
  <c r="L32" i="11"/>
  <c r="L44" i="11"/>
  <c r="L38" i="7"/>
  <c r="L50" i="7"/>
  <c r="L35" i="9"/>
  <c r="L47" i="9"/>
  <c r="L34" i="7"/>
  <c r="L46" i="7"/>
  <c r="L51" i="10"/>
  <c r="L39" i="10"/>
  <c r="L42" i="11"/>
  <c r="L54" i="11"/>
  <c r="C29" i="15"/>
  <c r="K28" i="15"/>
  <c r="F34" i="15"/>
  <c r="N33" i="15"/>
  <c r="F34" i="14"/>
  <c r="N33" i="14"/>
  <c r="C30" i="14"/>
  <c r="K29" i="14"/>
  <c r="M11" i="4"/>
  <c r="K15" i="4"/>
  <c r="C16" i="4"/>
  <c r="F31" i="11"/>
  <c r="N30" i="11"/>
  <c r="K26" i="11"/>
  <c r="C27" i="11"/>
  <c r="K26" i="10"/>
  <c r="C27" i="10"/>
  <c r="N32" i="10"/>
  <c r="C24" i="9"/>
  <c r="K23" i="9"/>
  <c r="N33" i="9"/>
  <c r="F34" i="9"/>
  <c r="C25" i="8"/>
  <c r="K24" i="8"/>
  <c r="N32" i="8"/>
  <c r="N31" i="7"/>
  <c r="C24" i="7"/>
  <c r="K23" i="7"/>
  <c r="G14" i="1"/>
  <c r="O14" i="1" s="1"/>
  <c r="L110" i="4"/>
  <c r="L71" i="4"/>
  <c r="L35" i="4"/>
  <c r="L45" i="4"/>
  <c r="L39" i="4"/>
  <c r="L58" i="4"/>
  <c r="L67" i="4"/>
  <c r="L49" i="4"/>
  <c r="L52" i="4"/>
  <c r="L24" i="4"/>
  <c r="L102" i="4"/>
  <c r="L44" i="4"/>
  <c r="L76" i="4"/>
  <c r="L77" i="4"/>
  <c r="L104" i="4"/>
  <c r="L62" i="4"/>
  <c r="L72" i="4"/>
  <c r="L59" i="4"/>
  <c r="L96" i="4"/>
  <c r="L90" i="4"/>
  <c r="L56" i="4"/>
  <c r="L64" i="4"/>
  <c r="L31" i="4"/>
  <c r="L97" i="4"/>
  <c r="L29" i="4"/>
  <c r="L50" i="4"/>
  <c r="L78" i="4"/>
  <c r="L65" i="4"/>
  <c r="L91" i="4"/>
  <c r="L61" i="4"/>
  <c r="L88" i="4"/>
  <c r="L94" i="4"/>
  <c r="L101" i="4"/>
  <c r="L36" i="4"/>
  <c r="L85" i="4"/>
  <c r="L53" i="4"/>
  <c r="L81" i="4"/>
  <c r="L69" i="4"/>
  <c r="L28" i="4"/>
  <c r="L37" i="4"/>
  <c r="L83" i="4"/>
  <c r="L38" i="4"/>
  <c r="M35" i="1"/>
  <c r="L36" i="1"/>
  <c r="G16" i="4"/>
  <c r="O16" i="4" s="1"/>
  <c r="N22" i="4"/>
  <c r="F23" i="4"/>
  <c r="N23" i="4" s="1"/>
  <c r="K16" i="4"/>
  <c r="E19" i="3"/>
  <c r="E18" i="3"/>
  <c r="F16" i="3"/>
  <c r="G16" i="3" s="1"/>
  <c r="F15" i="3"/>
  <c r="G15" i="3" s="1"/>
  <c r="F14" i="3"/>
  <c r="G14" i="3" s="1"/>
  <c r="F13" i="3"/>
  <c r="G13" i="3" s="1"/>
  <c r="F12" i="3"/>
  <c r="G12" i="3" s="1"/>
  <c r="F11" i="3"/>
  <c r="G11" i="3" s="1"/>
  <c r="F10" i="3"/>
  <c r="G10" i="3" s="1"/>
  <c r="F9" i="3"/>
  <c r="G9" i="3" s="1"/>
  <c r="F8" i="3"/>
  <c r="G8" i="3" s="1"/>
  <c r="F7" i="3"/>
  <c r="G7" i="3" s="1"/>
  <c r="F6" i="3"/>
  <c r="G6" i="3" s="1"/>
  <c r="F5" i="3"/>
  <c r="G5" i="3" s="1"/>
  <c r="F4" i="3"/>
  <c r="G4" i="3" s="1"/>
  <c r="F3" i="3"/>
  <c r="G3" i="3" s="1"/>
  <c r="F2" i="3"/>
  <c r="G2" i="3" s="1"/>
  <c r="L11" i="11" l="1"/>
  <c r="M11" i="10"/>
  <c r="L11" i="10"/>
  <c r="M11" i="7"/>
  <c r="M11" i="8"/>
  <c r="L11" i="9"/>
  <c r="L11" i="8"/>
  <c r="L11" i="14"/>
  <c r="M11" i="9"/>
  <c r="L11" i="7"/>
  <c r="B5" i="15"/>
  <c r="B5" i="14"/>
  <c r="B5" i="4"/>
  <c r="B4" i="15"/>
  <c r="B4" i="14"/>
  <c r="B4" i="4"/>
  <c r="M11" i="11"/>
  <c r="F35" i="15"/>
  <c r="N34" i="15"/>
  <c r="C30" i="15"/>
  <c r="K29" i="15"/>
  <c r="N34" i="14"/>
  <c r="F35" i="14"/>
  <c r="C31" i="14"/>
  <c r="K30" i="14"/>
  <c r="L11" i="4"/>
  <c r="C17" i="4"/>
  <c r="K27" i="11"/>
  <c r="C28" i="11"/>
  <c r="F32" i="11"/>
  <c r="N31" i="11"/>
  <c r="K27" i="10"/>
  <c r="C28" i="10"/>
  <c r="F34" i="10"/>
  <c r="N33" i="10"/>
  <c r="N34" i="9"/>
  <c r="F35" i="9"/>
  <c r="C25" i="9"/>
  <c r="K24" i="9"/>
  <c r="F34" i="8"/>
  <c r="N33" i="8"/>
  <c r="C26" i="8"/>
  <c r="K25" i="8"/>
  <c r="C25" i="7"/>
  <c r="K24" i="7"/>
  <c r="N32" i="7"/>
  <c r="G15" i="1"/>
  <c r="O15" i="1" s="1"/>
  <c r="L37" i="1"/>
  <c r="M36" i="1"/>
  <c r="G17" i="4"/>
  <c r="O17" i="4" s="1"/>
  <c r="C18" i="4"/>
  <c r="K17" i="4"/>
  <c r="F24" i="4"/>
  <c r="N21" i="1"/>
  <c r="C13" i="1"/>
  <c r="U16" i="2"/>
  <c r="U15" i="2"/>
  <c r="U14" i="2"/>
  <c r="U13" i="2"/>
  <c r="U12" i="2"/>
  <c r="U11" i="2"/>
  <c r="U10" i="2"/>
  <c r="U9" i="2"/>
  <c r="U8" i="2"/>
  <c r="U7" i="2"/>
  <c r="U6" i="2"/>
  <c r="U5" i="2"/>
  <c r="U4" i="2"/>
  <c r="U3" i="2"/>
  <c r="T17" i="2"/>
  <c r="S17" i="2"/>
  <c r="R17" i="2"/>
  <c r="Q17" i="2"/>
  <c r="P17" i="2"/>
  <c r="O17" i="2"/>
  <c r="N17" i="2"/>
  <c r="M17" i="2"/>
  <c r="L17" i="2"/>
  <c r="K17" i="2"/>
  <c r="J17" i="2"/>
  <c r="I17" i="2"/>
  <c r="H17" i="2"/>
  <c r="G17" i="2"/>
  <c r="F17" i="2"/>
  <c r="E17" i="2"/>
  <c r="D17" i="2"/>
  <c r="C17" i="2"/>
  <c r="B17" i="2"/>
  <c r="U17" i="2" l="1"/>
  <c r="C31" i="15"/>
  <c r="K30" i="15"/>
  <c r="F36" i="15"/>
  <c r="N35" i="15"/>
  <c r="C32" i="14"/>
  <c r="K31" i="14"/>
  <c r="F36" i="14"/>
  <c r="N35" i="14"/>
  <c r="F33" i="11"/>
  <c r="N32" i="11"/>
  <c r="K28" i="11"/>
  <c r="C29" i="11"/>
  <c r="N34" i="10"/>
  <c r="F35" i="10"/>
  <c r="K28" i="10"/>
  <c r="C29" i="10"/>
  <c r="K25" i="9"/>
  <c r="C26" i="9"/>
  <c r="N35" i="9"/>
  <c r="F36" i="9"/>
  <c r="C27" i="8"/>
  <c r="K26" i="8"/>
  <c r="F35" i="8"/>
  <c r="N34" i="8"/>
  <c r="F34" i="7"/>
  <c r="N33" i="7"/>
  <c r="C26" i="7"/>
  <c r="K25" i="7"/>
  <c r="G16" i="1"/>
  <c r="O16" i="1" s="1"/>
  <c r="C14" i="1"/>
  <c r="K13" i="1"/>
  <c r="M37" i="1"/>
  <c r="L38" i="1"/>
  <c r="G18" i="4"/>
  <c r="O18" i="4" s="1"/>
  <c r="N24" i="4"/>
  <c r="F25" i="4"/>
  <c r="K18" i="4"/>
  <c r="C19" i="4"/>
  <c r="N22" i="1"/>
  <c r="G17" i="1" l="1"/>
  <c r="O17" i="1" s="1"/>
  <c r="R18" i="2"/>
  <c r="C36" i="2" s="1"/>
  <c r="N18" i="2"/>
  <c r="C32" i="2" s="1"/>
  <c r="J18" i="2"/>
  <c r="C28" i="2" s="1"/>
  <c r="F18" i="2"/>
  <c r="C24" i="2" s="1"/>
  <c r="B18" i="2"/>
  <c r="C20" i="2" s="1"/>
  <c r="G18" i="2"/>
  <c r="C25" i="2" s="1"/>
  <c r="I18" i="2"/>
  <c r="C27" i="2" s="1"/>
  <c r="H18" i="2"/>
  <c r="C26" i="2" s="1"/>
  <c r="S18" i="2"/>
  <c r="C37" i="2" s="1"/>
  <c r="C18" i="2"/>
  <c r="C21" i="2" s="1"/>
  <c r="T18" i="2"/>
  <c r="C38" i="2" s="1"/>
  <c r="O18" i="2"/>
  <c r="C33" i="2" s="1"/>
  <c r="Q18" i="2"/>
  <c r="C35" i="2" s="1"/>
  <c r="L18" i="2"/>
  <c r="C30" i="2" s="1"/>
  <c r="E18" i="2"/>
  <c r="C23" i="2" s="1"/>
  <c r="K18" i="2"/>
  <c r="C29" i="2" s="1"/>
  <c r="M18" i="2"/>
  <c r="C31" i="2" s="1"/>
  <c r="D18" i="2"/>
  <c r="C22" i="2" s="1"/>
  <c r="P18" i="2"/>
  <c r="C34" i="2" s="1"/>
  <c r="F37" i="15"/>
  <c r="N36" i="15"/>
  <c r="C32" i="15"/>
  <c r="K31" i="15"/>
  <c r="K32" i="14"/>
  <c r="V32" i="14"/>
  <c r="S32" i="14"/>
  <c r="C33" i="14"/>
  <c r="Y32" i="14"/>
  <c r="U32" i="14"/>
  <c r="R32" i="14"/>
  <c r="W32" i="14"/>
  <c r="X32" i="14"/>
  <c r="T32" i="14"/>
  <c r="N36" i="14"/>
  <c r="F37" i="14"/>
  <c r="K29" i="11"/>
  <c r="C30" i="11"/>
  <c r="F34" i="11"/>
  <c r="N33" i="11"/>
  <c r="K29" i="10"/>
  <c r="C30" i="10"/>
  <c r="F36" i="10"/>
  <c r="N35" i="10"/>
  <c r="N36" i="9"/>
  <c r="F37" i="9"/>
  <c r="C27" i="9"/>
  <c r="K26" i="9"/>
  <c r="F36" i="8"/>
  <c r="N35" i="8"/>
  <c r="C28" i="8"/>
  <c r="K27" i="8"/>
  <c r="K26" i="7"/>
  <c r="C27" i="7"/>
  <c r="N34" i="7"/>
  <c r="F35" i="7"/>
  <c r="C15" i="1"/>
  <c r="K14" i="1"/>
  <c r="L39" i="1"/>
  <c r="M38" i="1"/>
  <c r="G19" i="4"/>
  <c r="O19" i="4" s="1"/>
  <c r="C20" i="4"/>
  <c r="K19" i="4"/>
  <c r="N25" i="4"/>
  <c r="F26" i="4"/>
  <c r="N23" i="1"/>
  <c r="G18" i="1"/>
  <c r="O18" i="1" s="1"/>
  <c r="B27" i="15" l="1"/>
  <c r="B27" i="14"/>
  <c r="B27" i="11"/>
  <c r="B27" i="10"/>
  <c r="B27" i="9"/>
  <c r="J27" i="9" s="1"/>
  <c r="B27" i="7"/>
  <c r="J27" i="7" s="1"/>
  <c r="B27" i="8"/>
  <c r="B27" i="4"/>
  <c r="J27" i="4" s="1"/>
  <c r="B27" i="1"/>
  <c r="J27" i="1" s="1"/>
  <c r="B28" i="15"/>
  <c r="B28" i="14"/>
  <c r="B28" i="11"/>
  <c r="B28" i="9"/>
  <c r="J28" i="9" s="1"/>
  <c r="B28" i="10"/>
  <c r="B28" i="8"/>
  <c r="J28" i="8" s="1"/>
  <c r="B28" i="7"/>
  <c r="J28" i="7" s="1"/>
  <c r="B28" i="4"/>
  <c r="J28" i="4" s="1"/>
  <c r="B28" i="1"/>
  <c r="J28" i="1" s="1"/>
  <c r="B31" i="15"/>
  <c r="B31" i="14"/>
  <c r="B31" i="11"/>
  <c r="J31" i="11" s="1"/>
  <c r="B31" i="10"/>
  <c r="J31" i="10" s="1"/>
  <c r="B31" i="9"/>
  <c r="J31" i="9" s="1"/>
  <c r="B31" i="8"/>
  <c r="J31" i="8" s="1"/>
  <c r="B31" i="7"/>
  <c r="J31" i="7" s="1"/>
  <c r="B31" i="4"/>
  <c r="J31" i="4" s="1"/>
  <c r="B31" i="1"/>
  <c r="J31" i="1" s="1"/>
  <c r="B18" i="15"/>
  <c r="B18" i="14"/>
  <c r="B18" i="11"/>
  <c r="B18" i="10"/>
  <c r="B18" i="9"/>
  <c r="B18" i="7"/>
  <c r="B18" i="8"/>
  <c r="B18" i="4"/>
  <c r="B18" i="1"/>
  <c r="J18" i="1" s="1"/>
  <c r="B25" i="15"/>
  <c r="B25" i="14"/>
  <c r="B25" i="11"/>
  <c r="B25" i="10"/>
  <c r="B25" i="9"/>
  <c r="B25" i="8"/>
  <c r="B25" i="7"/>
  <c r="B25" i="4"/>
  <c r="J25" i="4" s="1"/>
  <c r="B25" i="1"/>
  <c r="J25" i="1" s="1"/>
  <c r="B15" i="15"/>
  <c r="B15" i="14"/>
  <c r="B15" i="11"/>
  <c r="B15" i="10"/>
  <c r="B15" i="9"/>
  <c r="B15" i="8"/>
  <c r="B15" i="7"/>
  <c r="B15" i="4"/>
  <c r="B15" i="1"/>
  <c r="J15" i="1" s="1"/>
  <c r="B26" i="15"/>
  <c r="B26" i="14"/>
  <c r="B26" i="10"/>
  <c r="B26" i="9"/>
  <c r="B26" i="8"/>
  <c r="B26" i="11"/>
  <c r="B26" i="7"/>
  <c r="B26" i="4"/>
  <c r="J26" i="4" s="1"/>
  <c r="B26" i="1"/>
  <c r="J26" i="1" s="1"/>
  <c r="B14" i="15"/>
  <c r="B14" i="14"/>
  <c r="B14" i="9"/>
  <c r="B14" i="10"/>
  <c r="B14" i="11"/>
  <c r="B14" i="8"/>
  <c r="B14" i="7"/>
  <c r="B14" i="4"/>
  <c r="B14" i="1"/>
  <c r="B13" i="15"/>
  <c r="B13" i="14"/>
  <c r="B13" i="11"/>
  <c r="B13" i="10"/>
  <c r="B13" i="9"/>
  <c r="B13" i="8"/>
  <c r="B13" i="7"/>
  <c r="B13" i="4"/>
  <c r="B13" i="1"/>
  <c r="B29" i="15"/>
  <c r="B29" i="14"/>
  <c r="B29" i="10"/>
  <c r="B29" i="11"/>
  <c r="B29" i="9"/>
  <c r="J29" i="9" s="1"/>
  <c r="B29" i="7"/>
  <c r="J29" i="7" s="1"/>
  <c r="B29" i="8"/>
  <c r="J29" i="8" s="1"/>
  <c r="B29" i="4"/>
  <c r="J29" i="4" s="1"/>
  <c r="B29" i="1"/>
  <c r="J29" i="1" s="1"/>
  <c r="B24" i="15"/>
  <c r="B24" i="14"/>
  <c r="B24" i="11"/>
  <c r="B24" i="10"/>
  <c r="B24" i="9"/>
  <c r="B24" i="7"/>
  <c r="B24" i="8"/>
  <c r="B24" i="4"/>
  <c r="J24" i="4" s="1"/>
  <c r="B24" i="1"/>
  <c r="J24" i="1" s="1"/>
  <c r="B16" i="15"/>
  <c r="B16" i="14"/>
  <c r="B16" i="10"/>
  <c r="B16" i="9"/>
  <c r="B16" i="8"/>
  <c r="B16" i="7"/>
  <c r="B16" i="11"/>
  <c r="B16" i="4"/>
  <c r="B16" i="1"/>
  <c r="J16" i="1" s="1"/>
  <c r="B30" i="14"/>
  <c r="B30" i="15"/>
  <c r="B30" i="9"/>
  <c r="J30" i="9" s="1"/>
  <c r="B30" i="10"/>
  <c r="J30" i="10" s="1"/>
  <c r="B30" i="11"/>
  <c r="J30" i="11" s="1"/>
  <c r="B30" i="8"/>
  <c r="J30" i="8" s="1"/>
  <c r="B30" i="7"/>
  <c r="J30" i="7" s="1"/>
  <c r="B30" i="4"/>
  <c r="J30" i="4" s="1"/>
  <c r="B30" i="1"/>
  <c r="J30" i="1" s="1"/>
  <c r="B19" i="15"/>
  <c r="B19" i="14"/>
  <c r="B19" i="9"/>
  <c r="B19" i="11"/>
  <c r="B19" i="10"/>
  <c r="B19" i="8"/>
  <c r="B19" i="7"/>
  <c r="B19" i="4"/>
  <c r="U19" i="4" s="1"/>
  <c r="B19" i="1"/>
  <c r="J19" i="1" s="1"/>
  <c r="B17" i="15"/>
  <c r="B17" i="14"/>
  <c r="B17" i="11"/>
  <c r="B17" i="10"/>
  <c r="B17" i="9"/>
  <c r="B17" i="7"/>
  <c r="B17" i="8"/>
  <c r="B17" i="4"/>
  <c r="B17" i="1"/>
  <c r="J17" i="1" s="1"/>
  <c r="B22" i="15"/>
  <c r="B22" i="14"/>
  <c r="B22" i="10"/>
  <c r="B22" i="11"/>
  <c r="B22" i="9"/>
  <c r="B22" i="8"/>
  <c r="B22" i="7"/>
  <c r="B22" i="4"/>
  <c r="J22" i="4" s="1"/>
  <c r="B22" i="1"/>
  <c r="J22" i="1" s="1"/>
  <c r="B23" i="14"/>
  <c r="B23" i="15"/>
  <c r="B23" i="11"/>
  <c r="B23" i="10"/>
  <c r="B23" i="9"/>
  <c r="B23" i="8"/>
  <c r="B23" i="7"/>
  <c r="B23" i="4"/>
  <c r="J23" i="4" s="1"/>
  <c r="B23" i="1"/>
  <c r="J23" i="1" s="1"/>
  <c r="B20" i="15"/>
  <c r="B20" i="14"/>
  <c r="B20" i="11"/>
  <c r="B20" i="10"/>
  <c r="B20" i="9"/>
  <c r="B20" i="8"/>
  <c r="B20" i="7"/>
  <c r="B20" i="4"/>
  <c r="J20" i="4" s="1"/>
  <c r="B20" i="1"/>
  <c r="J20" i="1" s="1"/>
  <c r="B21" i="15"/>
  <c r="B21" i="14"/>
  <c r="B21" i="9"/>
  <c r="B21" i="11"/>
  <c r="B21" i="10"/>
  <c r="B21" i="8"/>
  <c r="B21" i="7"/>
  <c r="B21" i="4"/>
  <c r="J21" i="4" s="1"/>
  <c r="B21" i="1"/>
  <c r="J21" i="1" s="1"/>
  <c r="K32" i="15"/>
  <c r="C33" i="15"/>
  <c r="R32" i="15"/>
  <c r="W32" i="15"/>
  <c r="V32" i="15"/>
  <c r="S32" i="15"/>
  <c r="T32" i="15"/>
  <c r="Y32" i="15"/>
  <c r="X32" i="15"/>
  <c r="U32" i="15"/>
  <c r="N37" i="15"/>
  <c r="F38" i="15"/>
  <c r="N37" i="14"/>
  <c r="F38" i="14"/>
  <c r="C34" i="14"/>
  <c r="K33" i="14"/>
  <c r="W33" i="14"/>
  <c r="V33" i="14"/>
  <c r="X33" i="14"/>
  <c r="U33" i="14"/>
  <c r="R33" i="14"/>
  <c r="T33" i="14"/>
  <c r="S33" i="14"/>
  <c r="Y33" i="14"/>
  <c r="T20" i="4"/>
  <c r="F35" i="11"/>
  <c r="N34" i="11"/>
  <c r="K30" i="11"/>
  <c r="C31" i="11"/>
  <c r="X30" i="11"/>
  <c r="U30" i="11"/>
  <c r="Y30" i="11"/>
  <c r="W30" i="11"/>
  <c r="V30" i="11"/>
  <c r="R30" i="11"/>
  <c r="S30" i="11"/>
  <c r="T30" i="11"/>
  <c r="N36" i="10"/>
  <c r="F37" i="10"/>
  <c r="K30" i="10"/>
  <c r="C31" i="10"/>
  <c r="X30" i="10"/>
  <c r="U30" i="10"/>
  <c r="N37" i="9"/>
  <c r="F38" i="9"/>
  <c r="C28" i="9"/>
  <c r="K27" i="9"/>
  <c r="U27" i="9"/>
  <c r="S27" i="9"/>
  <c r="R27" i="9"/>
  <c r="F37" i="8"/>
  <c r="N36" i="8"/>
  <c r="C29" i="8"/>
  <c r="K28" i="8"/>
  <c r="U28" i="8"/>
  <c r="V28" i="8"/>
  <c r="W28" i="8"/>
  <c r="T28" i="8"/>
  <c r="X28" i="8"/>
  <c r="R28" i="8"/>
  <c r="S28" i="8"/>
  <c r="Y28" i="8"/>
  <c r="K27" i="7"/>
  <c r="C28" i="7"/>
  <c r="F36" i="7"/>
  <c r="N35" i="7"/>
  <c r="C16" i="1"/>
  <c r="K15" i="1"/>
  <c r="U15" i="1"/>
  <c r="R15" i="1"/>
  <c r="X15" i="1"/>
  <c r="S15" i="1"/>
  <c r="W15" i="1"/>
  <c r="Y15" i="1"/>
  <c r="V15" i="1"/>
  <c r="T15" i="1"/>
  <c r="M39" i="1"/>
  <c r="L40" i="1"/>
  <c r="G20" i="4"/>
  <c r="O20" i="4" s="1"/>
  <c r="N26" i="4"/>
  <c r="F27" i="4"/>
  <c r="K20" i="4"/>
  <c r="C21" i="4"/>
  <c r="N24" i="1"/>
  <c r="G19" i="1"/>
  <c r="O19" i="1" s="1"/>
  <c r="T27" i="7" l="1"/>
  <c r="T27" i="9"/>
  <c r="Y30" i="10"/>
  <c r="V19" i="4"/>
  <c r="X27" i="9"/>
  <c r="S30" i="10"/>
  <c r="V27" i="7"/>
  <c r="V27" i="9"/>
  <c r="V30" i="10"/>
  <c r="W30" i="10"/>
  <c r="W27" i="9"/>
  <c r="Y27" i="9"/>
  <c r="T30" i="10"/>
  <c r="R30" i="10"/>
  <c r="V20" i="4"/>
  <c r="J20" i="9"/>
  <c r="U20" i="9"/>
  <c r="S20" i="9"/>
  <c r="T20" i="9"/>
  <c r="R20" i="9"/>
  <c r="V20" i="9"/>
  <c r="Y20" i="9"/>
  <c r="X20" i="9"/>
  <c r="W20" i="9"/>
  <c r="J22" i="10"/>
  <c r="W22" i="10"/>
  <c r="X22" i="10"/>
  <c r="V22" i="10"/>
  <c r="U22" i="10"/>
  <c r="S22" i="10"/>
  <c r="Y22" i="10"/>
  <c r="T22" i="10"/>
  <c r="R22" i="10"/>
  <c r="J19" i="10"/>
  <c r="U19" i="10"/>
  <c r="T19" i="10"/>
  <c r="S19" i="10"/>
  <c r="R19" i="10"/>
  <c r="Y19" i="10"/>
  <c r="W19" i="10"/>
  <c r="V19" i="10"/>
  <c r="X19" i="10"/>
  <c r="J29" i="10"/>
  <c r="U29" i="10"/>
  <c r="Y29" i="10"/>
  <c r="X29" i="10"/>
  <c r="V29" i="10"/>
  <c r="S29" i="10"/>
  <c r="T29" i="10"/>
  <c r="W29" i="10"/>
  <c r="R29" i="10"/>
  <c r="J14" i="1"/>
  <c r="W14" i="1"/>
  <c r="T14" i="1"/>
  <c r="R14" i="1"/>
  <c r="S14" i="1"/>
  <c r="U14" i="1"/>
  <c r="V14" i="1"/>
  <c r="Y14" i="1"/>
  <c r="X14" i="1"/>
  <c r="J14" i="15"/>
  <c r="T14" i="15"/>
  <c r="V14" i="15"/>
  <c r="U14" i="15"/>
  <c r="S14" i="15"/>
  <c r="X14" i="15"/>
  <c r="R14" i="15"/>
  <c r="Y14" i="15"/>
  <c r="W14" i="15"/>
  <c r="J26" i="14"/>
  <c r="S26" i="14"/>
  <c r="R26" i="14"/>
  <c r="Y26" i="14"/>
  <c r="U26" i="14"/>
  <c r="T26" i="14"/>
  <c r="X26" i="14"/>
  <c r="V26" i="14"/>
  <c r="W26" i="14"/>
  <c r="J25" i="8"/>
  <c r="U25" i="8"/>
  <c r="W25" i="8"/>
  <c r="S25" i="8"/>
  <c r="Y25" i="8"/>
  <c r="V25" i="8"/>
  <c r="R25" i="8"/>
  <c r="T25" i="8"/>
  <c r="X25" i="8"/>
  <c r="J28" i="10"/>
  <c r="V28" i="10"/>
  <c r="X28" i="10"/>
  <c r="T28" i="10"/>
  <c r="S28" i="10"/>
  <c r="W28" i="10"/>
  <c r="Y28" i="10"/>
  <c r="R28" i="10"/>
  <c r="U28" i="10"/>
  <c r="J28" i="15"/>
  <c r="X28" i="15"/>
  <c r="V28" i="15"/>
  <c r="W28" i="15"/>
  <c r="T28" i="15"/>
  <c r="U28" i="15"/>
  <c r="S28" i="15"/>
  <c r="Y28" i="15"/>
  <c r="R28" i="15"/>
  <c r="X27" i="7"/>
  <c r="W20" i="4"/>
  <c r="U20" i="4"/>
  <c r="J21" i="7"/>
  <c r="S21" i="7"/>
  <c r="U21" i="7"/>
  <c r="V21" i="7"/>
  <c r="T21" i="7"/>
  <c r="X21" i="7"/>
  <c r="R21" i="7"/>
  <c r="Y21" i="7"/>
  <c r="W21" i="7"/>
  <c r="J21" i="9"/>
  <c r="V21" i="9"/>
  <c r="R21" i="9"/>
  <c r="S21" i="9"/>
  <c r="X21" i="9"/>
  <c r="W21" i="9"/>
  <c r="U21" i="9"/>
  <c r="T21" i="9"/>
  <c r="Y21" i="9"/>
  <c r="J20" i="10"/>
  <c r="T20" i="10"/>
  <c r="U20" i="10"/>
  <c r="X20" i="10"/>
  <c r="W20" i="10"/>
  <c r="V20" i="10"/>
  <c r="Y20" i="10"/>
  <c r="S20" i="10"/>
  <c r="R20" i="10"/>
  <c r="J23" i="9"/>
  <c r="W23" i="9"/>
  <c r="V23" i="9"/>
  <c r="Y23" i="9"/>
  <c r="S23" i="9"/>
  <c r="T23" i="9"/>
  <c r="R23" i="9"/>
  <c r="U23" i="9"/>
  <c r="X23" i="9"/>
  <c r="J23" i="14"/>
  <c r="Y23" i="14"/>
  <c r="R23" i="14"/>
  <c r="X23" i="14"/>
  <c r="V23" i="14"/>
  <c r="W23" i="14"/>
  <c r="S23" i="14"/>
  <c r="T23" i="14"/>
  <c r="U23" i="14"/>
  <c r="J22" i="8"/>
  <c r="T22" i="8"/>
  <c r="W22" i="8"/>
  <c r="Y22" i="8"/>
  <c r="X22" i="8"/>
  <c r="S22" i="8"/>
  <c r="V22" i="8"/>
  <c r="U22" i="8"/>
  <c r="R22" i="8"/>
  <c r="J22" i="14"/>
  <c r="V22" i="14"/>
  <c r="S22" i="14"/>
  <c r="U22" i="14"/>
  <c r="Y22" i="14"/>
  <c r="W22" i="14"/>
  <c r="X22" i="14"/>
  <c r="T22" i="14"/>
  <c r="R22" i="14"/>
  <c r="J17" i="8"/>
  <c r="R17" i="8"/>
  <c r="S17" i="8"/>
  <c r="U17" i="8"/>
  <c r="T17" i="8"/>
  <c r="V17" i="8"/>
  <c r="W17" i="8"/>
  <c r="Y17" i="8"/>
  <c r="X17" i="8"/>
  <c r="J17" i="11"/>
  <c r="Y17" i="11"/>
  <c r="S17" i="11"/>
  <c r="T17" i="11"/>
  <c r="W17" i="11"/>
  <c r="U17" i="11"/>
  <c r="X17" i="11"/>
  <c r="V17" i="11"/>
  <c r="R17" i="11"/>
  <c r="J19" i="4"/>
  <c r="Y19" i="4"/>
  <c r="S19" i="4"/>
  <c r="J19" i="11"/>
  <c r="S19" i="11"/>
  <c r="W19" i="11"/>
  <c r="U19" i="11"/>
  <c r="V19" i="11"/>
  <c r="X19" i="11"/>
  <c r="Y19" i="11"/>
  <c r="R19" i="11"/>
  <c r="T19" i="11"/>
  <c r="J30" i="14"/>
  <c r="W30" i="14"/>
  <c r="R30" i="14"/>
  <c r="U30" i="14"/>
  <c r="T30" i="14"/>
  <c r="X30" i="14"/>
  <c r="V30" i="14"/>
  <c r="S30" i="14"/>
  <c r="Y30" i="14"/>
  <c r="J16" i="7"/>
  <c r="U16" i="7"/>
  <c r="W16" i="7"/>
  <c r="X16" i="7"/>
  <c r="R16" i="7"/>
  <c r="T16" i="7"/>
  <c r="V16" i="7"/>
  <c r="Y16" i="7"/>
  <c r="S16" i="7"/>
  <c r="J16" i="14"/>
  <c r="U16" i="14"/>
  <c r="V16" i="14"/>
  <c r="T16" i="14"/>
  <c r="Y16" i="14"/>
  <c r="W16" i="14"/>
  <c r="X16" i="14"/>
  <c r="R16" i="14"/>
  <c r="S16" i="14"/>
  <c r="J24" i="8"/>
  <c r="V24" i="8"/>
  <c r="S24" i="8"/>
  <c r="U24" i="8"/>
  <c r="W24" i="8"/>
  <c r="R24" i="8"/>
  <c r="Y24" i="8"/>
  <c r="T24" i="8"/>
  <c r="X24" i="8"/>
  <c r="J24" i="11"/>
  <c r="V24" i="11"/>
  <c r="T24" i="11"/>
  <c r="Y24" i="11"/>
  <c r="R24" i="11"/>
  <c r="W24" i="11"/>
  <c r="X24" i="11"/>
  <c r="U24" i="11"/>
  <c r="S24" i="11"/>
  <c r="X19" i="4"/>
  <c r="J29" i="14"/>
  <c r="V29" i="14"/>
  <c r="S29" i="14"/>
  <c r="W29" i="14"/>
  <c r="Y29" i="14"/>
  <c r="X29" i="14"/>
  <c r="R29" i="14"/>
  <c r="U29" i="14"/>
  <c r="T29" i="14"/>
  <c r="J13" i="7"/>
  <c r="Y13" i="7"/>
  <c r="W13" i="7"/>
  <c r="X13" i="7"/>
  <c r="R13" i="7"/>
  <c r="U13" i="7"/>
  <c r="S13" i="7"/>
  <c r="V13" i="7"/>
  <c r="T13" i="7"/>
  <c r="J13" i="11"/>
  <c r="R13" i="11"/>
  <c r="S13" i="11"/>
  <c r="U13" i="11"/>
  <c r="V13" i="11"/>
  <c r="T13" i="11"/>
  <c r="Y13" i="11"/>
  <c r="W13" i="11"/>
  <c r="X13" i="11"/>
  <c r="J14" i="4"/>
  <c r="Y14" i="4"/>
  <c r="X14" i="4"/>
  <c r="U14" i="4"/>
  <c r="R14" i="4"/>
  <c r="T14" i="4"/>
  <c r="V14" i="4"/>
  <c r="W14" i="4"/>
  <c r="S14" i="4"/>
  <c r="J14" i="10"/>
  <c r="T14" i="10"/>
  <c r="V14" i="10"/>
  <c r="X14" i="10"/>
  <c r="Y14" i="10"/>
  <c r="W14" i="10"/>
  <c r="R14" i="10"/>
  <c r="U14" i="10"/>
  <c r="S14" i="10"/>
  <c r="J26" i="8"/>
  <c r="W26" i="8"/>
  <c r="T26" i="8"/>
  <c r="S26" i="8"/>
  <c r="X26" i="8"/>
  <c r="Y26" i="8"/>
  <c r="R26" i="8"/>
  <c r="U26" i="8"/>
  <c r="V26" i="8"/>
  <c r="J26" i="15"/>
  <c r="V26" i="15"/>
  <c r="X26" i="15"/>
  <c r="Y26" i="15"/>
  <c r="U26" i="15"/>
  <c r="S26" i="15"/>
  <c r="T26" i="15"/>
  <c r="R26" i="15"/>
  <c r="W26" i="15"/>
  <c r="J15" i="8"/>
  <c r="U15" i="8"/>
  <c r="V15" i="8"/>
  <c r="S15" i="8"/>
  <c r="T15" i="8"/>
  <c r="X15" i="8"/>
  <c r="R15" i="8"/>
  <c r="W15" i="8"/>
  <c r="Y15" i="8"/>
  <c r="J15" i="14"/>
  <c r="W15" i="14"/>
  <c r="V15" i="14"/>
  <c r="S15" i="14"/>
  <c r="Y15" i="14"/>
  <c r="T15" i="14"/>
  <c r="X15" i="14"/>
  <c r="U15" i="14"/>
  <c r="R15" i="14"/>
  <c r="J25" i="9"/>
  <c r="X25" i="9"/>
  <c r="S25" i="9"/>
  <c r="T25" i="9"/>
  <c r="R25" i="9"/>
  <c r="V25" i="9"/>
  <c r="W25" i="9"/>
  <c r="Y25" i="9"/>
  <c r="U25" i="9"/>
  <c r="J25" i="15"/>
  <c r="X25" i="15"/>
  <c r="W25" i="15"/>
  <c r="Y25" i="15"/>
  <c r="V25" i="15"/>
  <c r="T25" i="15"/>
  <c r="S25" i="15"/>
  <c r="R25" i="15"/>
  <c r="U25" i="15"/>
  <c r="J18" i="7"/>
  <c r="W18" i="7"/>
  <c r="X18" i="7"/>
  <c r="V18" i="7"/>
  <c r="T18" i="7"/>
  <c r="R18" i="7"/>
  <c r="S18" i="7"/>
  <c r="U18" i="7"/>
  <c r="Y18" i="7"/>
  <c r="J18" i="14"/>
  <c r="U18" i="14"/>
  <c r="S18" i="14"/>
  <c r="W18" i="14"/>
  <c r="Y18" i="14"/>
  <c r="X18" i="14"/>
  <c r="T18" i="14"/>
  <c r="V18" i="14"/>
  <c r="R18" i="14"/>
  <c r="J27" i="15"/>
  <c r="Y27" i="15"/>
  <c r="R27" i="15"/>
  <c r="W27" i="15"/>
  <c r="S27" i="15"/>
  <c r="X27" i="15"/>
  <c r="V27" i="15"/>
  <c r="T27" i="15"/>
  <c r="U27" i="15"/>
  <c r="J23" i="8"/>
  <c r="W23" i="8"/>
  <c r="T23" i="8"/>
  <c r="U23" i="8"/>
  <c r="V23" i="8"/>
  <c r="X23" i="8"/>
  <c r="S23" i="8"/>
  <c r="Y23" i="8"/>
  <c r="R23" i="8"/>
  <c r="J23" i="15"/>
  <c r="X23" i="15"/>
  <c r="Y23" i="15"/>
  <c r="S23" i="15"/>
  <c r="W23" i="15"/>
  <c r="T23" i="15"/>
  <c r="R23" i="15"/>
  <c r="V23" i="15"/>
  <c r="U23" i="15"/>
  <c r="J19" i="15"/>
  <c r="X19" i="15"/>
  <c r="V19" i="15"/>
  <c r="U19" i="15"/>
  <c r="Y19" i="15"/>
  <c r="R19" i="15"/>
  <c r="T19" i="15"/>
  <c r="W19" i="15"/>
  <c r="S19" i="15"/>
  <c r="J30" i="15"/>
  <c r="V30" i="15"/>
  <c r="R30" i="15"/>
  <c r="Y30" i="15"/>
  <c r="S30" i="15"/>
  <c r="W30" i="15"/>
  <c r="U30" i="15"/>
  <c r="T30" i="15"/>
  <c r="X30" i="15"/>
  <c r="J13" i="4"/>
  <c r="X13" i="4"/>
  <c r="V13" i="4"/>
  <c r="Y13" i="4"/>
  <c r="W13" i="4"/>
  <c r="T13" i="4"/>
  <c r="U13" i="4"/>
  <c r="S13" i="4"/>
  <c r="R13" i="4"/>
  <c r="J13" i="10"/>
  <c r="U13" i="10"/>
  <c r="S13" i="10"/>
  <c r="V13" i="10"/>
  <c r="W13" i="10"/>
  <c r="R13" i="10"/>
  <c r="X13" i="10"/>
  <c r="Y13" i="10"/>
  <c r="T13" i="10"/>
  <c r="J14" i="11"/>
  <c r="V14" i="11"/>
  <c r="Y14" i="11"/>
  <c r="R14" i="11"/>
  <c r="S14" i="11"/>
  <c r="X14" i="11"/>
  <c r="T14" i="11"/>
  <c r="U14" i="11"/>
  <c r="W14" i="11"/>
  <c r="J26" i="11"/>
  <c r="X26" i="11"/>
  <c r="S26" i="11"/>
  <c r="V26" i="11"/>
  <c r="R26" i="11"/>
  <c r="W26" i="11"/>
  <c r="T26" i="11"/>
  <c r="U26" i="11"/>
  <c r="Y26" i="11"/>
  <c r="J15" i="7"/>
  <c r="U15" i="7"/>
  <c r="X15" i="7"/>
  <c r="V15" i="7"/>
  <c r="R15" i="7"/>
  <c r="Y15" i="7"/>
  <c r="T15" i="7"/>
  <c r="W15" i="7"/>
  <c r="S15" i="7"/>
  <c r="J15" i="11"/>
  <c r="T15" i="11"/>
  <c r="Y15" i="11"/>
  <c r="W15" i="11"/>
  <c r="X15" i="11"/>
  <c r="R15" i="11"/>
  <c r="V15" i="11"/>
  <c r="U15" i="11"/>
  <c r="S15" i="11"/>
  <c r="J25" i="14"/>
  <c r="Y25" i="14"/>
  <c r="S25" i="14"/>
  <c r="W25" i="14"/>
  <c r="T25" i="14"/>
  <c r="U25" i="14"/>
  <c r="V25" i="14"/>
  <c r="X25" i="14"/>
  <c r="R25" i="14"/>
  <c r="J18" i="11"/>
  <c r="R18" i="11"/>
  <c r="S18" i="11"/>
  <c r="V18" i="11"/>
  <c r="Y18" i="11"/>
  <c r="X18" i="11"/>
  <c r="U18" i="11"/>
  <c r="W18" i="11"/>
  <c r="T18" i="11"/>
  <c r="U27" i="7"/>
  <c r="S27" i="7"/>
  <c r="R20" i="4"/>
  <c r="Y20" i="4"/>
  <c r="J21" i="8"/>
  <c r="T21" i="8"/>
  <c r="U21" i="8"/>
  <c r="Y21" i="8"/>
  <c r="R21" i="8"/>
  <c r="S21" i="8"/>
  <c r="X21" i="8"/>
  <c r="V21" i="8"/>
  <c r="W21" i="8"/>
  <c r="J21" i="14"/>
  <c r="W21" i="14"/>
  <c r="T21" i="14"/>
  <c r="Y21" i="14"/>
  <c r="S21" i="14"/>
  <c r="U21" i="14"/>
  <c r="X21" i="14"/>
  <c r="V21" i="14"/>
  <c r="R21" i="14"/>
  <c r="J20" i="7"/>
  <c r="U20" i="7"/>
  <c r="S20" i="7"/>
  <c r="R20" i="7"/>
  <c r="Y20" i="7"/>
  <c r="X20" i="7"/>
  <c r="V20" i="7"/>
  <c r="T20" i="7"/>
  <c r="W20" i="7"/>
  <c r="J20" i="11"/>
  <c r="W20" i="11"/>
  <c r="R20" i="11"/>
  <c r="Y20" i="11"/>
  <c r="S20" i="11"/>
  <c r="V20" i="11"/>
  <c r="U20" i="11"/>
  <c r="T20" i="11"/>
  <c r="X20" i="11"/>
  <c r="J23" i="10"/>
  <c r="T23" i="10"/>
  <c r="S23" i="10"/>
  <c r="U23" i="10"/>
  <c r="W23" i="10"/>
  <c r="V23" i="10"/>
  <c r="X23" i="10"/>
  <c r="R23" i="10"/>
  <c r="Y23" i="10"/>
  <c r="J22" i="9"/>
  <c r="S22" i="9"/>
  <c r="T22" i="9"/>
  <c r="W22" i="9"/>
  <c r="R22" i="9"/>
  <c r="U22" i="9"/>
  <c r="X22" i="9"/>
  <c r="Y22" i="9"/>
  <c r="V22" i="9"/>
  <c r="J22" i="15"/>
  <c r="Y22" i="15"/>
  <c r="U22" i="15"/>
  <c r="X22" i="15"/>
  <c r="R22" i="15"/>
  <c r="T22" i="15"/>
  <c r="S22" i="15"/>
  <c r="W22" i="15"/>
  <c r="V22" i="15"/>
  <c r="J17" i="7"/>
  <c r="Y17" i="7"/>
  <c r="W17" i="7"/>
  <c r="R17" i="7"/>
  <c r="V17" i="7"/>
  <c r="T17" i="7"/>
  <c r="S17" i="7"/>
  <c r="X17" i="7"/>
  <c r="U17" i="7"/>
  <c r="J17" i="14"/>
  <c r="W17" i="14"/>
  <c r="T17" i="14"/>
  <c r="X17" i="14"/>
  <c r="S17" i="14"/>
  <c r="Y17" i="14"/>
  <c r="R17" i="14"/>
  <c r="V17" i="14"/>
  <c r="U17" i="14"/>
  <c r="J19" i="7"/>
  <c r="W19" i="7"/>
  <c r="X19" i="7"/>
  <c r="S19" i="7"/>
  <c r="R19" i="7"/>
  <c r="U19" i="7"/>
  <c r="Y19" i="7"/>
  <c r="V19" i="7"/>
  <c r="T19" i="7"/>
  <c r="J19" i="9"/>
  <c r="U19" i="9"/>
  <c r="S19" i="9"/>
  <c r="T19" i="9"/>
  <c r="W19" i="9"/>
  <c r="X19" i="9"/>
  <c r="Y19" i="9"/>
  <c r="R19" i="9"/>
  <c r="V19" i="9"/>
  <c r="J16" i="8"/>
  <c r="W16" i="8"/>
  <c r="X16" i="8"/>
  <c r="R16" i="8"/>
  <c r="S16" i="8"/>
  <c r="T16" i="8"/>
  <c r="U16" i="8"/>
  <c r="Y16" i="8"/>
  <c r="V16" i="8"/>
  <c r="J16" i="15"/>
  <c r="T16" i="15"/>
  <c r="S16" i="15"/>
  <c r="R16" i="15"/>
  <c r="Y16" i="15"/>
  <c r="V16" i="15"/>
  <c r="W16" i="15"/>
  <c r="U16" i="15"/>
  <c r="X16" i="15"/>
  <c r="J24" i="7"/>
  <c r="W24" i="7"/>
  <c r="R24" i="7"/>
  <c r="Y24" i="7"/>
  <c r="V24" i="7"/>
  <c r="T24" i="7"/>
  <c r="X24" i="7"/>
  <c r="S24" i="7"/>
  <c r="U24" i="7"/>
  <c r="J24" i="14"/>
  <c r="Y24" i="14"/>
  <c r="T24" i="14"/>
  <c r="S24" i="14"/>
  <c r="W24" i="14"/>
  <c r="R24" i="14"/>
  <c r="V24" i="14"/>
  <c r="U24" i="14"/>
  <c r="X24" i="14"/>
  <c r="J29" i="15"/>
  <c r="W29" i="15"/>
  <c r="U29" i="15"/>
  <c r="Y29" i="15"/>
  <c r="V29" i="15"/>
  <c r="R29" i="15"/>
  <c r="X29" i="15"/>
  <c r="T29" i="15"/>
  <c r="S29" i="15"/>
  <c r="J13" i="8"/>
  <c r="U13" i="8"/>
  <c r="T13" i="8"/>
  <c r="Y13" i="8"/>
  <c r="V13" i="8"/>
  <c r="R13" i="8"/>
  <c r="X13" i="8"/>
  <c r="W13" i="8"/>
  <c r="S13" i="8"/>
  <c r="J13" i="14"/>
  <c r="S13" i="14"/>
  <c r="R13" i="14"/>
  <c r="W13" i="14"/>
  <c r="X13" i="14"/>
  <c r="T13" i="14"/>
  <c r="V13" i="14"/>
  <c r="U13" i="14"/>
  <c r="Y13" i="14"/>
  <c r="J14" i="7"/>
  <c r="X14" i="7"/>
  <c r="R14" i="7"/>
  <c r="W14" i="7"/>
  <c r="V14" i="7"/>
  <c r="Y14" i="7"/>
  <c r="U14" i="7"/>
  <c r="T14" i="7"/>
  <c r="S14" i="7"/>
  <c r="J14" i="9"/>
  <c r="U14" i="9"/>
  <c r="S14" i="9"/>
  <c r="R14" i="9"/>
  <c r="W14" i="9"/>
  <c r="Y14" i="9"/>
  <c r="V14" i="9"/>
  <c r="T14" i="9"/>
  <c r="X14" i="9"/>
  <c r="J26" i="9"/>
  <c r="X26" i="9"/>
  <c r="R26" i="9"/>
  <c r="W26" i="9"/>
  <c r="U26" i="9"/>
  <c r="S26" i="9"/>
  <c r="T26" i="9"/>
  <c r="Y26" i="9"/>
  <c r="V26" i="9"/>
  <c r="J15" i="9"/>
  <c r="X15" i="9"/>
  <c r="T15" i="9"/>
  <c r="V15" i="9"/>
  <c r="S15" i="9"/>
  <c r="Y15" i="9"/>
  <c r="R15" i="9"/>
  <c r="U15" i="9"/>
  <c r="W15" i="9"/>
  <c r="J15" i="15"/>
  <c r="U15" i="15"/>
  <c r="V15" i="15"/>
  <c r="R15" i="15"/>
  <c r="S15" i="15"/>
  <c r="T15" i="15"/>
  <c r="Y15" i="15"/>
  <c r="W15" i="15"/>
  <c r="X15" i="15"/>
  <c r="J25" i="10"/>
  <c r="S25" i="10"/>
  <c r="X25" i="10"/>
  <c r="Y25" i="10"/>
  <c r="T25" i="10"/>
  <c r="W25" i="10"/>
  <c r="U25" i="10"/>
  <c r="V25" i="10"/>
  <c r="R25" i="10"/>
  <c r="J18" i="9"/>
  <c r="S18" i="9"/>
  <c r="Y18" i="9"/>
  <c r="W18" i="9"/>
  <c r="X18" i="9"/>
  <c r="V18" i="9"/>
  <c r="R18" i="9"/>
  <c r="U18" i="9"/>
  <c r="T18" i="9"/>
  <c r="J18" i="15"/>
  <c r="V18" i="15"/>
  <c r="S18" i="15"/>
  <c r="Y18" i="15"/>
  <c r="U18" i="15"/>
  <c r="X18" i="15"/>
  <c r="R18" i="15"/>
  <c r="T18" i="15"/>
  <c r="W18" i="15"/>
  <c r="J31" i="14"/>
  <c r="U31" i="14"/>
  <c r="T31" i="14"/>
  <c r="V31" i="14"/>
  <c r="X31" i="14"/>
  <c r="W31" i="14"/>
  <c r="Y31" i="14"/>
  <c r="S31" i="14"/>
  <c r="R31" i="14"/>
  <c r="J28" i="11"/>
  <c r="X28" i="11"/>
  <c r="R28" i="11"/>
  <c r="U28" i="11"/>
  <c r="T28" i="11"/>
  <c r="Y28" i="11"/>
  <c r="V28" i="11"/>
  <c r="S28" i="11"/>
  <c r="W28" i="11"/>
  <c r="J27" i="10"/>
  <c r="X27" i="10"/>
  <c r="S27" i="10"/>
  <c r="U27" i="10"/>
  <c r="W27" i="10"/>
  <c r="T27" i="10"/>
  <c r="Y27" i="10"/>
  <c r="V27" i="10"/>
  <c r="R27" i="10"/>
  <c r="R19" i="4"/>
  <c r="J21" i="11"/>
  <c r="V21" i="11"/>
  <c r="T21" i="11"/>
  <c r="S21" i="11"/>
  <c r="W21" i="11"/>
  <c r="X21" i="11"/>
  <c r="R21" i="11"/>
  <c r="U21" i="11"/>
  <c r="Y21" i="11"/>
  <c r="J20" i="15"/>
  <c r="U20" i="15"/>
  <c r="V20" i="15"/>
  <c r="R20" i="15"/>
  <c r="T20" i="15"/>
  <c r="W20" i="15"/>
  <c r="S20" i="15"/>
  <c r="Y20" i="15"/>
  <c r="X20" i="15"/>
  <c r="J22" i="7"/>
  <c r="R22" i="7"/>
  <c r="X22" i="7"/>
  <c r="Y22" i="7"/>
  <c r="U22" i="7"/>
  <c r="W22" i="7"/>
  <c r="S22" i="7"/>
  <c r="T22" i="7"/>
  <c r="V22" i="7"/>
  <c r="J17" i="4"/>
  <c r="X17" i="4"/>
  <c r="U17" i="4"/>
  <c r="S17" i="4"/>
  <c r="Y17" i="4"/>
  <c r="T17" i="4"/>
  <c r="V17" i="4"/>
  <c r="R17" i="4"/>
  <c r="W17" i="4"/>
  <c r="J17" i="10"/>
  <c r="W17" i="10"/>
  <c r="R17" i="10"/>
  <c r="T17" i="10"/>
  <c r="X17" i="10"/>
  <c r="Y17" i="10"/>
  <c r="S17" i="10"/>
  <c r="V17" i="10"/>
  <c r="U17" i="10"/>
  <c r="J16" i="11"/>
  <c r="X16" i="11"/>
  <c r="U16" i="11"/>
  <c r="R16" i="11"/>
  <c r="Y16" i="11"/>
  <c r="S16" i="11"/>
  <c r="T16" i="11"/>
  <c r="V16" i="11"/>
  <c r="W16" i="11"/>
  <c r="J16" i="10"/>
  <c r="U16" i="10"/>
  <c r="X16" i="10"/>
  <c r="R16" i="10"/>
  <c r="Y16" i="10"/>
  <c r="T16" i="10"/>
  <c r="S16" i="10"/>
  <c r="W16" i="10"/>
  <c r="V16" i="10"/>
  <c r="J24" i="10"/>
  <c r="Y24" i="10"/>
  <c r="V24" i="10"/>
  <c r="X24" i="10"/>
  <c r="T24" i="10"/>
  <c r="S24" i="10"/>
  <c r="R24" i="10"/>
  <c r="W24" i="10"/>
  <c r="U24" i="10"/>
  <c r="J18" i="8"/>
  <c r="X18" i="8"/>
  <c r="R18" i="8"/>
  <c r="V18" i="8"/>
  <c r="S18" i="8"/>
  <c r="U18" i="8"/>
  <c r="T18" i="8"/>
  <c r="Y18" i="8"/>
  <c r="W18" i="8"/>
  <c r="J27" i="14"/>
  <c r="S27" i="14"/>
  <c r="T27" i="14"/>
  <c r="W27" i="14"/>
  <c r="X27" i="14"/>
  <c r="R27" i="14"/>
  <c r="U27" i="14"/>
  <c r="V27" i="14"/>
  <c r="Y27" i="14"/>
  <c r="W27" i="7"/>
  <c r="Y27" i="7"/>
  <c r="R27" i="7"/>
  <c r="S20" i="4"/>
  <c r="X20" i="4"/>
  <c r="J21" i="10"/>
  <c r="U21" i="10"/>
  <c r="Y21" i="10"/>
  <c r="T21" i="10"/>
  <c r="W21" i="10"/>
  <c r="V21" i="10"/>
  <c r="R21" i="10"/>
  <c r="S21" i="10"/>
  <c r="X21" i="10"/>
  <c r="J21" i="15"/>
  <c r="X21" i="15"/>
  <c r="V21" i="15"/>
  <c r="Y21" i="15"/>
  <c r="R21" i="15"/>
  <c r="T21" i="15"/>
  <c r="U21" i="15"/>
  <c r="S21" i="15"/>
  <c r="W21" i="15"/>
  <c r="J20" i="8"/>
  <c r="V20" i="8"/>
  <c r="U20" i="8"/>
  <c r="Y20" i="8"/>
  <c r="X20" i="8"/>
  <c r="W20" i="8"/>
  <c r="T20" i="8"/>
  <c r="R20" i="8"/>
  <c r="S20" i="8"/>
  <c r="J20" i="14"/>
  <c r="S20" i="14"/>
  <c r="W20" i="14"/>
  <c r="T20" i="14"/>
  <c r="R20" i="14"/>
  <c r="V20" i="14"/>
  <c r="X20" i="14"/>
  <c r="U20" i="14"/>
  <c r="Y20" i="14"/>
  <c r="J23" i="7"/>
  <c r="R23" i="7"/>
  <c r="X23" i="7"/>
  <c r="T23" i="7"/>
  <c r="W23" i="7"/>
  <c r="S23" i="7"/>
  <c r="V23" i="7"/>
  <c r="Y23" i="7"/>
  <c r="U23" i="7"/>
  <c r="J23" i="11"/>
  <c r="U23" i="11"/>
  <c r="R23" i="11"/>
  <c r="W23" i="11"/>
  <c r="X23" i="11"/>
  <c r="T23" i="11"/>
  <c r="Y23" i="11"/>
  <c r="S23" i="11"/>
  <c r="V23" i="11"/>
  <c r="J22" i="11"/>
  <c r="V22" i="11"/>
  <c r="Y22" i="11"/>
  <c r="S22" i="11"/>
  <c r="R22" i="11"/>
  <c r="W22" i="11"/>
  <c r="T22" i="11"/>
  <c r="X22" i="11"/>
  <c r="U22" i="11"/>
  <c r="J17" i="9"/>
  <c r="T17" i="9"/>
  <c r="R17" i="9"/>
  <c r="Y17" i="9"/>
  <c r="W17" i="9"/>
  <c r="S17" i="9"/>
  <c r="X17" i="9"/>
  <c r="V17" i="9"/>
  <c r="U17" i="9"/>
  <c r="J17" i="15"/>
  <c r="V17" i="15"/>
  <c r="X17" i="15"/>
  <c r="R17" i="15"/>
  <c r="U17" i="15"/>
  <c r="T17" i="15"/>
  <c r="W17" i="15"/>
  <c r="S17" i="15"/>
  <c r="Y17" i="15"/>
  <c r="J19" i="8"/>
  <c r="S19" i="8"/>
  <c r="V19" i="8"/>
  <c r="U19" i="8"/>
  <c r="W19" i="8"/>
  <c r="R19" i="8"/>
  <c r="Y19" i="8"/>
  <c r="X19" i="8"/>
  <c r="T19" i="8"/>
  <c r="J19" i="14"/>
  <c r="Y19" i="14"/>
  <c r="T19" i="14"/>
  <c r="V19" i="14"/>
  <c r="X19" i="14"/>
  <c r="U19" i="14"/>
  <c r="R19" i="14"/>
  <c r="W19" i="14"/>
  <c r="S19" i="14"/>
  <c r="J16" i="4"/>
  <c r="T16" i="4"/>
  <c r="X16" i="4"/>
  <c r="V16" i="4"/>
  <c r="S16" i="4"/>
  <c r="U16" i="4"/>
  <c r="R16" i="4"/>
  <c r="Y16" i="4"/>
  <c r="W16" i="4"/>
  <c r="J16" i="9"/>
  <c r="R16" i="9"/>
  <c r="U16" i="9"/>
  <c r="T16" i="9"/>
  <c r="X16" i="9"/>
  <c r="W16" i="9"/>
  <c r="V16" i="9"/>
  <c r="Y16" i="9"/>
  <c r="S16" i="9"/>
  <c r="J24" i="9"/>
  <c r="U24" i="9"/>
  <c r="V24" i="9"/>
  <c r="X24" i="9"/>
  <c r="W24" i="9"/>
  <c r="T24" i="9"/>
  <c r="R24" i="9"/>
  <c r="Y24" i="9"/>
  <c r="S24" i="9"/>
  <c r="J24" i="15"/>
  <c r="V24" i="15"/>
  <c r="W24" i="15"/>
  <c r="X24" i="15"/>
  <c r="T24" i="15"/>
  <c r="U24" i="15"/>
  <c r="R24" i="15"/>
  <c r="Y24" i="15"/>
  <c r="S24" i="15"/>
  <c r="J29" i="11"/>
  <c r="W29" i="11"/>
  <c r="S29" i="11"/>
  <c r="Y29" i="11"/>
  <c r="R29" i="11"/>
  <c r="V29" i="11"/>
  <c r="U29" i="11"/>
  <c r="X29" i="11"/>
  <c r="T29" i="11"/>
  <c r="J13" i="1"/>
  <c r="J11" i="1" s="1"/>
  <c r="U13" i="1"/>
  <c r="X13" i="1"/>
  <c r="R13" i="1"/>
  <c r="W13" i="1"/>
  <c r="T13" i="1"/>
  <c r="V13" i="1"/>
  <c r="S13" i="1"/>
  <c r="Y13" i="1"/>
  <c r="J13" i="9"/>
  <c r="X13" i="9"/>
  <c r="T13" i="9"/>
  <c r="W13" i="9"/>
  <c r="S13" i="9"/>
  <c r="R13" i="9"/>
  <c r="Y13" i="9"/>
  <c r="V13" i="9"/>
  <c r="U13" i="9"/>
  <c r="J13" i="15"/>
  <c r="X13" i="15"/>
  <c r="S13" i="15"/>
  <c r="W13" i="15"/>
  <c r="T13" i="15"/>
  <c r="Y13" i="15"/>
  <c r="U13" i="15"/>
  <c r="R13" i="15"/>
  <c r="V13" i="15"/>
  <c r="J14" i="8"/>
  <c r="S14" i="8"/>
  <c r="Y14" i="8"/>
  <c r="T14" i="8"/>
  <c r="V14" i="8"/>
  <c r="R14" i="8"/>
  <c r="X14" i="8"/>
  <c r="W14" i="8"/>
  <c r="U14" i="8"/>
  <c r="J14" i="14"/>
  <c r="U14" i="14"/>
  <c r="T14" i="14"/>
  <c r="X14" i="14"/>
  <c r="R14" i="14"/>
  <c r="Y14" i="14"/>
  <c r="W14" i="14"/>
  <c r="S14" i="14"/>
  <c r="V14" i="14"/>
  <c r="J26" i="7"/>
  <c r="Y26" i="7"/>
  <c r="T26" i="7"/>
  <c r="V26" i="7"/>
  <c r="X26" i="7"/>
  <c r="R26" i="7"/>
  <c r="S26" i="7"/>
  <c r="U26" i="7"/>
  <c r="W26" i="7"/>
  <c r="J26" i="10"/>
  <c r="W26" i="10"/>
  <c r="V26" i="10"/>
  <c r="S26" i="10"/>
  <c r="R26" i="10"/>
  <c r="U26" i="10"/>
  <c r="X26" i="10"/>
  <c r="Y26" i="10"/>
  <c r="T26" i="10"/>
  <c r="J15" i="4"/>
  <c r="U15" i="4"/>
  <c r="Y15" i="4"/>
  <c r="S15" i="4"/>
  <c r="T15" i="4"/>
  <c r="W15" i="4"/>
  <c r="X15" i="4"/>
  <c r="V15" i="4"/>
  <c r="R15" i="4"/>
  <c r="J15" i="10"/>
  <c r="T15" i="10"/>
  <c r="Y15" i="10"/>
  <c r="S15" i="10"/>
  <c r="U15" i="10"/>
  <c r="X15" i="10"/>
  <c r="R15" i="10"/>
  <c r="W15" i="10"/>
  <c r="V15" i="10"/>
  <c r="W19" i="4"/>
  <c r="J25" i="7"/>
  <c r="W25" i="7"/>
  <c r="T25" i="7"/>
  <c r="Y25" i="7"/>
  <c r="R25" i="7"/>
  <c r="S25" i="7"/>
  <c r="U25" i="7"/>
  <c r="V25" i="7"/>
  <c r="X25" i="7"/>
  <c r="J25" i="11"/>
  <c r="V25" i="11"/>
  <c r="Y25" i="11"/>
  <c r="X25" i="11"/>
  <c r="S25" i="11"/>
  <c r="T25" i="11"/>
  <c r="R25" i="11"/>
  <c r="U25" i="11"/>
  <c r="W25" i="11"/>
  <c r="J18" i="4"/>
  <c r="W18" i="4"/>
  <c r="U18" i="4"/>
  <c r="X18" i="4"/>
  <c r="T18" i="4"/>
  <c r="Y18" i="4"/>
  <c r="V18" i="4"/>
  <c r="R18" i="4"/>
  <c r="S18" i="4"/>
  <c r="J18" i="10"/>
  <c r="T18" i="10"/>
  <c r="X18" i="10"/>
  <c r="S18" i="10"/>
  <c r="V18" i="10"/>
  <c r="U18" i="10"/>
  <c r="Y18" i="10"/>
  <c r="R18" i="10"/>
  <c r="W18" i="10"/>
  <c r="J31" i="15"/>
  <c r="S31" i="15"/>
  <c r="Y31" i="15"/>
  <c r="U31" i="15"/>
  <c r="W31" i="15"/>
  <c r="V31" i="15"/>
  <c r="T31" i="15"/>
  <c r="X31" i="15"/>
  <c r="R31" i="15"/>
  <c r="J28" i="14"/>
  <c r="S28" i="14"/>
  <c r="R28" i="14"/>
  <c r="U28" i="14"/>
  <c r="T28" i="14"/>
  <c r="V28" i="14"/>
  <c r="Y28" i="14"/>
  <c r="W28" i="14"/>
  <c r="X28" i="14"/>
  <c r="J27" i="8"/>
  <c r="Y27" i="8"/>
  <c r="X27" i="8"/>
  <c r="U27" i="8"/>
  <c r="V27" i="8"/>
  <c r="R27" i="8"/>
  <c r="W27" i="8"/>
  <c r="S27" i="8"/>
  <c r="T27" i="8"/>
  <c r="J27" i="11"/>
  <c r="S27" i="11"/>
  <c r="Y27" i="11"/>
  <c r="X27" i="11"/>
  <c r="W27" i="11"/>
  <c r="U27" i="11"/>
  <c r="R27" i="11"/>
  <c r="T27" i="11"/>
  <c r="V27" i="11"/>
  <c r="T19" i="4"/>
  <c r="F39" i="15"/>
  <c r="N38" i="15"/>
  <c r="C34" i="15"/>
  <c r="K33" i="15"/>
  <c r="Y33" i="15"/>
  <c r="R33" i="15"/>
  <c r="X33" i="15"/>
  <c r="T33" i="15"/>
  <c r="V33" i="15"/>
  <c r="W33" i="15"/>
  <c r="U33" i="15"/>
  <c r="S33" i="15"/>
  <c r="C35" i="14"/>
  <c r="K34" i="14"/>
  <c r="U34" i="14"/>
  <c r="S34" i="14"/>
  <c r="X34" i="14"/>
  <c r="Y34" i="14"/>
  <c r="T34" i="14"/>
  <c r="W34" i="14"/>
  <c r="R34" i="14"/>
  <c r="V34" i="14"/>
  <c r="N38" i="14"/>
  <c r="F39" i="14"/>
  <c r="K31" i="11"/>
  <c r="C32" i="11"/>
  <c r="R31" i="11"/>
  <c r="X31" i="11"/>
  <c r="T31" i="11"/>
  <c r="V31" i="11"/>
  <c r="W31" i="11"/>
  <c r="S31" i="11"/>
  <c r="Y31" i="11"/>
  <c r="U31" i="11"/>
  <c r="F36" i="11"/>
  <c r="N35" i="11"/>
  <c r="C32" i="10"/>
  <c r="K31" i="10"/>
  <c r="V31" i="10"/>
  <c r="U31" i="10"/>
  <c r="X31" i="10"/>
  <c r="R31" i="10"/>
  <c r="S31" i="10"/>
  <c r="T31" i="10"/>
  <c r="W31" i="10"/>
  <c r="Y31" i="10"/>
  <c r="F38" i="10"/>
  <c r="N37" i="10"/>
  <c r="C29" i="9"/>
  <c r="K28" i="9"/>
  <c r="S28" i="9"/>
  <c r="T28" i="9"/>
  <c r="X28" i="9"/>
  <c r="R28" i="9"/>
  <c r="U28" i="9"/>
  <c r="W28" i="9"/>
  <c r="Y28" i="9"/>
  <c r="V28" i="9"/>
  <c r="N38" i="9"/>
  <c r="F39" i="9"/>
  <c r="F38" i="8"/>
  <c r="N37" i="8"/>
  <c r="C30" i="8"/>
  <c r="K29" i="8"/>
  <c r="X29" i="8"/>
  <c r="W29" i="8"/>
  <c r="Y29" i="8"/>
  <c r="R29" i="8"/>
  <c r="V29" i="8"/>
  <c r="U29" i="8"/>
  <c r="S29" i="8"/>
  <c r="T29" i="8"/>
  <c r="N36" i="7"/>
  <c r="F37" i="7"/>
  <c r="K28" i="7"/>
  <c r="C29" i="7"/>
  <c r="W28" i="7"/>
  <c r="U28" i="7"/>
  <c r="R28" i="7"/>
  <c r="T28" i="7"/>
  <c r="X28" i="7"/>
  <c r="Y28" i="7"/>
  <c r="S28" i="7"/>
  <c r="V28" i="7"/>
  <c r="C17" i="1"/>
  <c r="K16" i="1"/>
  <c r="U16" i="1"/>
  <c r="X16" i="1"/>
  <c r="W16" i="1"/>
  <c r="V16" i="1"/>
  <c r="S16" i="1"/>
  <c r="Y16" i="1"/>
  <c r="R16" i="1"/>
  <c r="T16" i="1"/>
  <c r="M40" i="1"/>
  <c r="L41" i="1"/>
  <c r="M32" i="1"/>
  <c r="G21" i="4"/>
  <c r="O21" i="4" s="1"/>
  <c r="F28" i="4"/>
  <c r="N27" i="4"/>
  <c r="C22" i="4"/>
  <c r="K21" i="4"/>
  <c r="N25" i="1"/>
  <c r="G20" i="1"/>
  <c r="O20" i="1" s="1"/>
  <c r="J11" i="8" l="1"/>
  <c r="J11" i="4"/>
  <c r="J11" i="11"/>
  <c r="V21" i="4"/>
  <c r="U21" i="4"/>
  <c r="J11" i="14"/>
  <c r="X21" i="4"/>
  <c r="S21" i="4"/>
  <c r="R21" i="4"/>
  <c r="J11" i="15"/>
  <c r="J11" i="7"/>
  <c r="J11" i="10"/>
  <c r="Y21" i="4"/>
  <c r="T21" i="4"/>
  <c r="W21" i="4"/>
  <c r="J11" i="9"/>
  <c r="K34" i="15"/>
  <c r="W34" i="15"/>
  <c r="C35" i="15"/>
  <c r="V34" i="15"/>
  <c r="S34" i="15"/>
  <c r="R34" i="15"/>
  <c r="Y34" i="15"/>
  <c r="T34" i="15"/>
  <c r="U34" i="15"/>
  <c r="X34" i="15"/>
  <c r="N39" i="15"/>
  <c r="F40" i="15"/>
  <c r="C36" i="14"/>
  <c r="K35" i="14"/>
  <c r="Y35" i="14"/>
  <c r="U35" i="14"/>
  <c r="T35" i="14"/>
  <c r="V35" i="14"/>
  <c r="X35" i="14"/>
  <c r="R35" i="14"/>
  <c r="W35" i="14"/>
  <c r="S35" i="14"/>
  <c r="N39" i="14"/>
  <c r="F40" i="14"/>
  <c r="S22" i="4"/>
  <c r="F37" i="11"/>
  <c r="N36" i="11"/>
  <c r="K32" i="11"/>
  <c r="C33" i="11"/>
  <c r="R32" i="11"/>
  <c r="V32" i="11"/>
  <c r="S32" i="11"/>
  <c r="W32" i="11"/>
  <c r="T32" i="11"/>
  <c r="U32" i="11"/>
  <c r="X32" i="11"/>
  <c r="Y32" i="11"/>
  <c r="C33" i="10"/>
  <c r="K32" i="10"/>
  <c r="T32" i="10"/>
  <c r="V32" i="10"/>
  <c r="W32" i="10"/>
  <c r="S32" i="10"/>
  <c r="U32" i="10"/>
  <c r="Y32" i="10"/>
  <c r="R32" i="10"/>
  <c r="X32" i="10"/>
  <c r="N38" i="10"/>
  <c r="F39" i="10"/>
  <c r="N39" i="9"/>
  <c r="F40" i="9"/>
  <c r="K29" i="9"/>
  <c r="C30" i="9"/>
  <c r="W29" i="9"/>
  <c r="S29" i="9"/>
  <c r="R29" i="9"/>
  <c r="U29" i="9"/>
  <c r="X29" i="9"/>
  <c r="T29" i="9"/>
  <c r="V29" i="9"/>
  <c r="Y29" i="9"/>
  <c r="F39" i="8"/>
  <c r="N38" i="8"/>
  <c r="C31" i="8"/>
  <c r="K30" i="8"/>
  <c r="R30" i="8"/>
  <c r="V30" i="8"/>
  <c r="T30" i="8"/>
  <c r="Y30" i="8"/>
  <c r="S30" i="8"/>
  <c r="X30" i="8"/>
  <c r="W30" i="8"/>
  <c r="U30" i="8"/>
  <c r="K29" i="7"/>
  <c r="C30" i="7"/>
  <c r="T29" i="7"/>
  <c r="U29" i="7"/>
  <c r="V29" i="7"/>
  <c r="S29" i="7"/>
  <c r="R29" i="7"/>
  <c r="X29" i="7"/>
  <c r="W29" i="7"/>
  <c r="Y29" i="7"/>
  <c r="F38" i="7"/>
  <c r="N37" i="7"/>
  <c r="C18" i="1"/>
  <c r="K17" i="1"/>
  <c r="X17" i="1"/>
  <c r="R17" i="1"/>
  <c r="Y17" i="1"/>
  <c r="W17" i="1"/>
  <c r="V17" i="1"/>
  <c r="T17" i="1"/>
  <c r="U17" i="1"/>
  <c r="S17" i="1"/>
  <c r="L42" i="1"/>
  <c r="M41" i="1"/>
  <c r="K22" i="4"/>
  <c r="C23" i="4"/>
  <c r="N28" i="4"/>
  <c r="F29" i="4"/>
  <c r="G22" i="4"/>
  <c r="O22" i="4" s="1"/>
  <c r="N26" i="1"/>
  <c r="G21" i="1"/>
  <c r="O21" i="1" s="1"/>
  <c r="X22" i="4" l="1"/>
  <c r="Y22" i="4"/>
  <c r="U22" i="4"/>
  <c r="T22" i="4"/>
  <c r="V22" i="4"/>
  <c r="W22" i="4"/>
  <c r="R22" i="4"/>
  <c r="N40" i="15"/>
  <c r="F41" i="15"/>
  <c r="C36" i="15"/>
  <c r="K35" i="15"/>
  <c r="U35" i="15"/>
  <c r="Y35" i="15"/>
  <c r="V35" i="15"/>
  <c r="W35" i="15"/>
  <c r="T35" i="15"/>
  <c r="S35" i="15"/>
  <c r="X35" i="15"/>
  <c r="R35" i="15"/>
  <c r="C37" i="14"/>
  <c r="W36" i="14"/>
  <c r="K36" i="14"/>
  <c r="V36" i="14"/>
  <c r="R36" i="14"/>
  <c r="Y36" i="14"/>
  <c r="X36" i="14"/>
  <c r="S36" i="14"/>
  <c r="T36" i="14"/>
  <c r="U36" i="14"/>
  <c r="N40" i="14"/>
  <c r="F41" i="14"/>
  <c r="R23" i="4"/>
  <c r="W23" i="4"/>
  <c r="S23" i="4"/>
  <c r="Y23" i="4"/>
  <c r="T23" i="4"/>
  <c r="K23" i="4"/>
  <c r="X23" i="4"/>
  <c r="V23" i="4"/>
  <c r="U23" i="4"/>
  <c r="K33" i="11"/>
  <c r="C34" i="11"/>
  <c r="T33" i="11"/>
  <c r="Y33" i="11"/>
  <c r="X33" i="11"/>
  <c r="U33" i="11"/>
  <c r="V33" i="11"/>
  <c r="W33" i="11"/>
  <c r="R33" i="11"/>
  <c r="S33" i="11"/>
  <c r="F38" i="11"/>
  <c r="N37" i="11"/>
  <c r="F40" i="10"/>
  <c r="N39" i="10"/>
  <c r="C34" i="10"/>
  <c r="K33" i="10"/>
  <c r="W33" i="10"/>
  <c r="R33" i="10"/>
  <c r="V33" i="10"/>
  <c r="S33" i="10"/>
  <c r="T33" i="10"/>
  <c r="X33" i="10"/>
  <c r="U33" i="10"/>
  <c r="Y33" i="10"/>
  <c r="C31" i="9"/>
  <c r="K30" i="9"/>
  <c r="U30" i="9"/>
  <c r="Y30" i="9"/>
  <c r="W30" i="9"/>
  <c r="S30" i="9"/>
  <c r="T30" i="9"/>
  <c r="X30" i="9"/>
  <c r="V30" i="9"/>
  <c r="R30" i="9"/>
  <c r="N40" i="9"/>
  <c r="F41" i="9"/>
  <c r="F40" i="8"/>
  <c r="N39" i="8"/>
  <c r="K31" i="8"/>
  <c r="C32" i="8"/>
  <c r="V31" i="8"/>
  <c r="W31" i="8"/>
  <c r="S31" i="8"/>
  <c r="R31" i="8"/>
  <c r="X31" i="8"/>
  <c r="Y31" i="8"/>
  <c r="T31" i="8"/>
  <c r="U31" i="8"/>
  <c r="N38" i="7"/>
  <c r="F39" i="7"/>
  <c r="K30" i="7"/>
  <c r="C31" i="7"/>
  <c r="X30" i="7"/>
  <c r="S30" i="7"/>
  <c r="Y30" i="7"/>
  <c r="V30" i="7"/>
  <c r="W30" i="7"/>
  <c r="U30" i="7"/>
  <c r="R30" i="7"/>
  <c r="T30" i="7"/>
  <c r="C19" i="1"/>
  <c r="K18" i="1"/>
  <c r="R18" i="1"/>
  <c r="X18" i="1"/>
  <c r="S18" i="1"/>
  <c r="Y18" i="1"/>
  <c r="W18" i="1"/>
  <c r="V18" i="1"/>
  <c r="U18" i="1"/>
  <c r="T18" i="1"/>
  <c r="M42" i="1"/>
  <c r="L43" i="1"/>
  <c r="L32" i="1"/>
  <c r="O11" i="4"/>
  <c r="N29" i="4"/>
  <c r="F30" i="4"/>
  <c r="C24" i="4"/>
  <c r="N27" i="1"/>
  <c r="G22" i="1"/>
  <c r="O22" i="1" s="1"/>
  <c r="C37" i="15" l="1"/>
  <c r="K36" i="15"/>
  <c r="V36" i="15"/>
  <c r="S36" i="15"/>
  <c r="R36" i="15"/>
  <c r="W36" i="15"/>
  <c r="T36" i="15"/>
  <c r="Y36" i="15"/>
  <c r="U36" i="15"/>
  <c r="X36" i="15"/>
  <c r="N41" i="15"/>
  <c r="F42" i="15"/>
  <c r="F42" i="14"/>
  <c r="N41" i="14"/>
  <c r="C38" i="14"/>
  <c r="X37" i="14"/>
  <c r="K37" i="14"/>
  <c r="T37" i="14"/>
  <c r="S37" i="14"/>
  <c r="R37" i="14"/>
  <c r="Y37" i="14"/>
  <c r="W37" i="14"/>
  <c r="V37" i="14"/>
  <c r="U37" i="14"/>
  <c r="X24" i="4"/>
  <c r="T24" i="4"/>
  <c r="R24" i="4"/>
  <c r="W24" i="4"/>
  <c r="Y24" i="4"/>
  <c r="V24" i="4"/>
  <c r="U24" i="4"/>
  <c r="S24" i="4"/>
  <c r="F39" i="11"/>
  <c r="N38" i="11"/>
  <c r="K34" i="11"/>
  <c r="C35" i="11"/>
  <c r="U34" i="11"/>
  <c r="V34" i="11"/>
  <c r="S34" i="11"/>
  <c r="W34" i="11"/>
  <c r="T34" i="11"/>
  <c r="Y34" i="11"/>
  <c r="X34" i="11"/>
  <c r="R34" i="11"/>
  <c r="C35" i="10"/>
  <c r="K34" i="10"/>
  <c r="Y34" i="10"/>
  <c r="W34" i="10"/>
  <c r="V34" i="10"/>
  <c r="R34" i="10"/>
  <c r="T34" i="10"/>
  <c r="X34" i="10"/>
  <c r="U34" i="10"/>
  <c r="S34" i="10"/>
  <c r="N40" i="10"/>
  <c r="F41" i="10"/>
  <c r="F42" i="9"/>
  <c r="N41" i="9"/>
  <c r="C32" i="9"/>
  <c r="K31" i="9"/>
  <c r="U31" i="9"/>
  <c r="T31" i="9"/>
  <c r="Y31" i="9"/>
  <c r="S31" i="9"/>
  <c r="W31" i="9"/>
  <c r="X31" i="9"/>
  <c r="V31" i="9"/>
  <c r="R31" i="9"/>
  <c r="F41" i="8"/>
  <c r="N40" i="8"/>
  <c r="K32" i="8"/>
  <c r="C33" i="8"/>
  <c r="Y32" i="8"/>
  <c r="T32" i="8"/>
  <c r="U32" i="8"/>
  <c r="V32" i="8"/>
  <c r="R32" i="8"/>
  <c r="W32" i="8"/>
  <c r="X32" i="8"/>
  <c r="S32" i="8"/>
  <c r="C32" i="7"/>
  <c r="K31" i="7"/>
  <c r="T31" i="7"/>
  <c r="V31" i="7"/>
  <c r="Y31" i="7"/>
  <c r="U31" i="7"/>
  <c r="S31" i="7"/>
  <c r="X31" i="7"/>
  <c r="R31" i="7"/>
  <c r="W31" i="7"/>
  <c r="F40" i="7"/>
  <c r="N39" i="7"/>
  <c r="C20" i="1"/>
  <c r="K19" i="1"/>
  <c r="R19" i="1"/>
  <c r="T19" i="1"/>
  <c r="V19" i="1"/>
  <c r="U19" i="1"/>
  <c r="S19" i="1"/>
  <c r="X19" i="1"/>
  <c r="Y19" i="1"/>
  <c r="W19" i="1"/>
  <c r="M43" i="1"/>
  <c r="N30" i="4"/>
  <c r="F31" i="4"/>
  <c r="K24" i="4"/>
  <c r="C25" i="4"/>
  <c r="O11" i="1"/>
  <c r="N28" i="1"/>
  <c r="N42" i="15" l="1"/>
  <c r="F43" i="15"/>
  <c r="C38" i="15"/>
  <c r="S37" i="15"/>
  <c r="K37" i="15"/>
  <c r="T37" i="15"/>
  <c r="R37" i="15"/>
  <c r="U37" i="15"/>
  <c r="Y37" i="15"/>
  <c r="V37" i="15"/>
  <c r="W37" i="15"/>
  <c r="X37" i="15"/>
  <c r="K38" i="14"/>
  <c r="V38" i="14"/>
  <c r="C39" i="14"/>
  <c r="U38" i="14"/>
  <c r="R38" i="14"/>
  <c r="W38" i="14"/>
  <c r="X38" i="14"/>
  <c r="S38" i="14"/>
  <c r="T38" i="14"/>
  <c r="Y38" i="14"/>
  <c r="N42" i="14"/>
  <c r="F43" i="14"/>
  <c r="X25" i="4"/>
  <c r="T25" i="4"/>
  <c r="U25" i="4"/>
  <c r="W25" i="4"/>
  <c r="V25" i="4"/>
  <c r="S25" i="4"/>
  <c r="Y25" i="4"/>
  <c r="R25" i="4"/>
  <c r="K35" i="11"/>
  <c r="C36" i="11"/>
  <c r="V35" i="11"/>
  <c r="W35" i="11"/>
  <c r="T35" i="11"/>
  <c r="U35" i="11"/>
  <c r="S35" i="11"/>
  <c r="R35" i="11"/>
  <c r="Y35" i="11"/>
  <c r="X35" i="11"/>
  <c r="F40" i="11"/>
  <c r="N39" i="11"/>
  <c r="F42" i="10"/>
  <c r="N41" i="10"/>
  <c r="C36" i="10"/>
  <c r="K35" i="10"/>
  <c r="U35" i="10"/>
  <c r="Y35" i="10"/>
  <c r="S35" i="10"/>
  <c r="R35" i="10"/>
  <c r="V35" i="10"/>
  <c r="T35" i="10"/>
  <c r="X35" i="10"/>
  <c r="W35" i="10"/>
  <c r="N42" i="9"/>
  <c r="F43" i="9"/>
  <c r="C33" i="9"/>
  <c r="K32" i="9"/>
  <c r="S32" i="9"/>
  <c r="V32" i="9"/>
  <c r="X32" i="9"/>
  <c r="W32" i="9"/>
  <c r="U32" i="9"/>
  <c r="R32" i="9"/>
  <c r="T32" i="9"/>
  <c r="Y32" i="9"/>
  <c r="K33" i="8"/>
  <c r="C34" i="8"/>
  <c r="Y33" i="8"/>
  <c r="T33" i="8"/>
  <c r="U33" i="8"/>
  <c r="S33" i="8"/>
  <c r="R33" i="8"/>
  <c r="V33" i="8"/>
  <c r="X33" i="8"/>
  <c r="W33" i="8"/>
  <c r="N41" i="8"/>
  <c r="F42" i="8"/>
  <c r="N40" i="7"/>
  <c r="F41" i="7"/>
  <c r="K32" i="7"/>
  <c r="C33" i="7"/>
  <c r="W32" i="7"/>
  <c r="T32" i="7"/>
  <c r="U32" i="7"/>
  <c r="V32" i="7"/>
  <c r="S32" i="7"/>
  <c r="X32" i="7"/>
  <c r="R32" i="7"/>
  <c r="Y32" i="7"/>
  <c r="C21" i="1"/>
  <c r="K20" i="1"/>
  <c r="X20" i="1"/>
  <c r="R20" i="1"/>
  <c r="U20" i="1"/>
  <c r="Y20" i="1"/>
  <c r="T20" i="1"/>
  <c r="V20" i="1"/>
  <c r="S20" i="1"/>
  <c r="W20" i="1"/>
  <c r="C26" i="4"/>
  <c r="K25" i="4"/>
  <c r="F32" i="4"/>
  <c r="N31" i="4"/>
  <c r="N29" i="1"/>
  <c r="C39" i="15" l="1"/>
  <c r="K38" i="15"/>
  <c r="Y38" i="15"/>
  <c r="U38" i="15"/>
  <c r="T38" i="15"/>
  <c r="V38" i="15"/>
  <c r="X38" i="15"/>
  <c r="W38" i="15"/>
  <c r="S38" i="15"/>
  <c r="R38" i="15"/>
  <c r="N43" i="15"/>
  <c r="F44" i="15"/>
  <c r="C40" i="14"/>
  <c r="K39" i="14"/>
  <c r="W39" i="14"/>
  <c r="S39" i="14"/>
  <c r="U39" i="14"/>
  <c r="V39" i="14"/>
  <c r="X39" i="14"/>
  <c r="T39" i="14"/>
  <c r="R39" i="14"/>
  <c r="Y39" i="14"/>
  <c r="F44" i="14"/>
  <c r="N43" i="14"/>
  <c r="X26" i="4"/>
  <c r="T26" i="4"/>
  <c r="W26" i="4"/>
  <c r="R26" i="4"/>
  <c r="V26" i="4"/>
  <c r="U26" i="4"/>
  <c r="S26" i="4"/>
  <c r="Y26" i="4"/>
  <c r="F41" i="11"/>
  <c r="N40" i="11"/>
  <c r="K36" i="11"/>
  <c r="C37" i="11"/>
  <c r="W36" i="11"/>
  <c r="V36" i="11"/>
  <c r="S36" i="11"/>
  <c r="Y36" i="11"/>
  <c r="T36" i="11"/>
  <c r="U36" i="11"/>
  <c r="X36" i="11"/>
  <c r="R36" i="11"/>
  <c r="C37" i="10"/>
  <c r="K36" i="10"/>
  <c r="S36" i="10"/>
  <c r="W36" i="10"/>
  <c r="R36" i="10"/>
  <c r="T36" i="10"/>
  <c r="U36" i="10"/>
  <c r="Y36" i="10"/>
  <c r="X36" i="10"/>
  <c r="V36" i="10"/>
  <c r="N42" i="10"/>
  <c r="F43" i="10"/>
  <c r="F44" i="9"/>
  <c r="N43" i="9"/>
  <c r="C34" i="9"/>
  <c r="K33" i="9"/>
  <c r="W33" i="9"/>
  <c r="R33" i="9"/>
  <c r="U33" i="9"/>
  <c r="X33" i="9"/>
  <c r="Y33" i="9"/>
  <c r="V33" i="9"/>
  <c r="T33" i="9"/>
  <c r="S33" i="9"/>
  <c r="N42" i="8"/>
  <c r="F43" i="8"/>
  <c r="K34" i="8"/>
  <c r="C35" i="8"/>
  <c r="W34" i="8"/>
  <c r="X34" i="8"/>
  <c r="V34" i="8"/>
  <c r="U34" i="8"/>
  <c r="R34" i="8"/>
  <c r="Y34" i="8"/>
  <c r="S34" i="8"/>
  <c r="T34" i="8"/>
  <c r="C34" i="7"/>
  <c r="K33" i="7"/>
  <c r="W33" i="7"/>
  <c r="V33" i="7"/>
  <c r="U33" i="7"/>
  <c r="R33" i="7"/>
  <c r="X33" i="7"/>
  <c r="S33" i="7"/>
  <c r="T33" i="7"/>
  <c r="Y33" i="7"/>
  <c r="F42" i="7"/>
  <c r="N41" i="7"/>
  <c r="C22" i="1"/>
  <c r="K21" i="1"/>
  <c r="U21" i="1"/>
  <c r="Y21" i="1"/>
  <c r="W21" i="1"/>
  <c r="X21" i="1"/>
  <c r="V21" i="1"/>
  <c r="T21" i="1"/>
  <c r="R21" i="1"/>
  <c r="S21" i="1"/>
  <c r="C27" i="4"/>
  <c r="K26" i="4"/>
  <c r="F33" i="4"/>
  <c r="N32" i="4"/>
  <c r="N30" i="1"/>
  <c r="F45" i="15" l="1"/>
  <c r="N44" i="15"/>
  <c r="C40" i="15"/>
  <c r="K39" i="15"/>
  <c r="T39" i="15"/>
  <c r="V39" i="15"/>
  <c r="X39" i="15"/>
  <c r="S39" i="15"/>
  <c r="U39" i="15"/>
  <c r="W39" i="15"/>
  <c r="Y39" i="15"/>
  <c r="R39" i="15"/>
  <c r="N44" i="14"/>
  <c r="F45" i="14"/>
  <c r="K40" i="14"/>
  <c r="U40" i="14"/>
  <c r="V40" i="14"/>
  <c r="C41" i="14"/>
  <c r="S40" i="14"/>
  <c r="Y40" i="14"/>
  <c r="W40" i="14"/>
  <c r="X40" i="14"/>
  <c r="T40" i="14"/>
  <c r="R40" i="14"/>
  <c r="X27" i="4"/>
  <c r="T27" i="4"/>
  <c r="U27" i="4"/>
  <c r="V27" i="4"/>
  <c r="S27" i="4"/>
  <c r="Y27" i="4"/>
  <c r="R27" i="4"/>
  <c r="W27" i="4"/>
  <c r="K37" i="11"/>
  <c r="C38" i="11"/>
  <c r="V37" i="11"/>
  <c r="X37" i="11"/>
  <c r="T37" i="11"/>
  <c r="W37" i="11"/>
  <c r="U37" i="11"/>
  <c r="Y37" i="11"/>
  <c r="R37" i="11"/>
  <c r="S37" i="11"/>
  <c r="F42" i="11"/>
  <c r="N41" i="11"/>
  <c r="F44" i="10"/>
  <c r="N43" i="10"/>
  <c r="C38" i="10"/>
  <c r="K37" i="10"/>
  <c r="T37" i="10"/>
  <c r="R37" i="10"/>
  <c r="W37" i="10"/>
  <c r="X37" i="10"/>
  <c r="V37" i="10"/>
  <c r="Y37" i="10"/>
  <c r="S37" i="10"/>
  <c r="U37" i="10"/>
  <c r="N44" i="9"/>
  <c r="F45" i="9"/>
  <c r="C35" i="9"/>
  <c r="K34" i="9"/>
  <c r="S34" i="9"/>
  <c r="R34" i="9"/>
  <c r="V34" i="9"/>
  <c r="U34" i="9"/>
  <c r="T34" i="9"/>
  <c r="X34" i="9"/>
  <c r="W34" i="9"/>
  <c r="Y34" i="9"/>
  <c r="K35" i="8"/>
  <c r="C36" i="8"/>
  <c r="T35" i="8"/>
  <c r="V35" i="8"/>
  <c r="R35" i="8"/>
  <c r="X35" i="8"/>
  <c r="W35" i="8"/>
  <c r="Y35" i="8"/>
  <c r="S35" i="8"/>
  <c r="U35" i="8"/>
  <c r="N43" i="8"/>
  <c r="F44" i="8"/>
  <c r="N42" i="7"/>
  <c r="F43" i="7"/>
  <c r="K34" i="7"/>
  <c r="C35" i="7"/>
  <c r="R34" i="7"/>
  <c r="T34" i="7"/>
  <c r="U34" i="7"/>
  <c r="V34" i="7"/>
  <c r="S34" i="7"/>
  <c r="X34" i="7"/>
  <c r="Y34" i="7"/>
  <c r="W34" i="7"/>
  <c r="C23" i="1"/>
  <c r="K22" i="1"/>
  <c r="S22" i="1"/>
  <c r="X22" i="1"/>
  <c r="U22" i="1"/>
  <c r="T22" i="1"/>
  <c r="Y22" i="1"/>
  <c r="R22" i="1"/>
  <c r="V22" i="1"/>
  <c r="W22" i="1"/>
  <c r="F34" i="4"/>
  <c r="N33" i="4"/>
  <c r="C28" i="4"/>
  <c r="K27" i="4"/>
  <c r="N31" i="1"/>
  <c r="C41" i="15" l="1"/>
  <c r="K40" i="15"/>
  <c r="S40" i="15"/>
  <c r="T40" i="15"/>
  <c r="V40" i="15"/>
  <c r="R40" i="15"/>
  <c r="W40" i="15"/>
  <c r="Y40" i="15"/>
  <c r="U40" i="15"/>
  <c r="X40" i="15"/>
  <c r="N45" i="15"/>
  <c r="F46" i="15"/>
  <c r="F46" i="14"/>
  <c r="N45" i="14"/>
  <c r="C42" i="14"/>
  <c r="K41" i="14"/>
  <c r="U41" i="14"/>
  <c r="W41" i="14"/>
  <c r="R41" i="14"/>
  <c r="T41" i="14"/>
  <c r="S41" i="14"/>
  <c r="Y41" i="14"/>
  <c r="V41" i="14"/>
  <c r="X41" i="14"/>
  <c r="X28" i="4"/>
  <c r="T28" i="4"/>
  <c r="W28" i="4"/>
  <c r="R28" i="4"/>
  <c r="U28" i="4"/>
  <c r="S28" i="4"/>
  <c r="Y28" i="4"/>
  <c r="V28" i="4"/>
  <c r="F43" i="11"/>
  <c r="N42" i="11"/>
  <c r="K38" i="11"/>
  <c r="C39" i="11"/>
  <c r="U38" i="11"/>
  <c r="V38" i="11"/>
  <c r="Y38" i="11"/>
  <c r="W38" i="11"/>
  <c r="T38" i="11"/>
  <c r="S38" i="11"/>
  <c r="X38" i="11"/>
  <c r="R38" i="11"/>
  <c r="K38" i="10"/>
  <c r="C39" i="10"/>
  <c r="R38" i="10"/>
  <c r="S38" i="10"/>
  <c r="V38" i="10"/>
  <c r="T38" i="10"/>
  <c r="Y38" i="10"/>
  <c r="X38" i="10"/>
  <c r="U38" i="10"/>
  <c r="W38" i="10"/>
  <c r="N44" i="10"/>
  <c r="F45" i="10"/>
  <c r="C36" i="9"/>
  <c r="K35" i="9"/>
  <c r="Y35" i="9"/>
  <c r="X35" i="9"/>
  <c r="S35" i="9"/>
  <c r="W35" i="9"/>
  <c r="U35" i="9"/>
  <c r="V35" i="9"/>
  <c r="T35" i="9"/>
  <c r="R35" i="9"/>
  <c r="F46" i="9"/>
  <c r="N45" i="9"/>
  <c r="K36" i="8"/>
  <c r="C37" i="8"/>
  <c r="Y36" i="8"/>
  <c r="S36" i="8"/>
  <c r="W36" i="8"/>
  <c r="R36" i="8"/>
  <c r="U36" i="8"/>
  <c r="X36" i="8"/>
  <c r="T36" i="8"/>
  <c r="V36" i="8"/>
  <c r="N44" i="8"/>
  <c r="F45" i="8"/>
  <c r="C36" i="7"/>
  <c r="K35" i="7"/>
  <c r="U35" i="7"/>
  <c r="S35" i="7"/>
  <c r="X35" i="7"/>
  <c r="R35" i="7"/>
  <c r="W35" i="7"/>
  <c r="Y35" i="7"/>
  <c r="V35" i="7"/>
  <c r="T35" i="7"/>
  <c r="F44" i="7"/>
  <c r="N43" i="7"/>
  <c r="C24" i="1"/>
  <c r="K23" i="1"/>
  <c r="S23" i="1"/>
  <c r="Y23" i="1"/>
  <c r="X23" i="1"/>
  <c r="W23" i="1"/>
  <c r="V23" i="1"/>
  <c r="R23" i="1"/>
  <c r="U23" i="1"/>
  <c r="T23" i="1"/>
  <c r="C29" i="4"/>
  <c r="K28" i="4"/>
  <c r="F35" i="4"/>
  <c r="N34" i="4"/>
  <c r="N32" i="1"/>
  <c r="F47" i="15" l="1"/>
  <c r="N46" i="15"/>
  <c r="K41" i="15"/>
  <c r="U41" i="15"/>
  <c r="C42" i="15"/>
  <c r="V41" i="15"/>
  <c r="T41" i="15"/>
  <c r="X41" i="15"/>
  <c r="R41" i="15"/>
  <c r="W41" i="15"/>
  <c r="S41" i="15"/>
  <c r="Y41" i="15"/>
  <c r="C43" i="14"/>
  <c r="K42" i="14"/>
  <c r="S42" i="14"/>
  <c r="S3" i="14" s="1"/>
  <c r="X42" i="14"/>
  <c r="X3" i="14" s="1"/>
  <c r="U42" i="14"/>
  <c r="U3" i="14" s="1"/>
  <c r="T42" i="14"/>
  <c r="T3" i="14" s="1"/>
  <c r="Y42" i="14"/>
  <c r="Y3" i="14" s="1"/>
  <c r="V42" i="14"/>
  <c r="V3" i="14" s="1"/>
  <c r="R42" i="14"/>
  <c r="R3" i="14" s="1"/>
  <c r="W42" i="14"/>
  <c r="W3" i="14" s="1"/>
  <c r="N46" i="14"/>
  <c r="F47" i="14"/>
  <c r="X29" i="4"/>
  <c r="T29" i="4"/>
  <c r="U29" i="4"/>
  <c r="S29" i="4"/>
  <c r="Y29" i="4"/>
  <c r="R29" i="4"/>
  <c r="W29" i="4"/>
  <c r="V29" i="4"/>
  <c r="K39" i="11"/>
  <c r="C40" i="11"/>
  <c r="V39" i="11"/>
  <c r="Y39" i="11"/>
  <c r="T39" i="11"/>
  <c r="R39" i="11"/>
  <c r="W39" i="11"/>
  <c r="S39" i="11"/>
  <c r="U39" i="11"/>
  <c r="X39" i="11"/>
  <c r="F44" i="11"/>
  <c r="N43" i="11"/>
  <c r="F46" i="10"/>
  <c r="N45" i="10"/>
  <c r="C40" i="10"/>
  <c r="K39" i="10"/>
  <c r="T39" i="10"/>
  <c r="Y39" i="10"/>
  <c r="X39" i="10"/>
  <c r="S39" i="10"/>
  <c r="R39" i="10"/>
  <c r="V39" i="10"/>
  <c r="W39" i="10"/>
  <c r="U39" i="10"/>
  <c r="C37" i="9"/>
  <c r="K36" i="9"/>
  <c r="Y36" i="9"/>
  <c r="U36" i="9"/>
  <c r="V36" i="9"/>
  <c r="R36" i="9"/>
  <c r="X36" i="9"/>
  <c r="W36" i="9"/>
  <c r="T36" i="9"/>
  <c r="S36" i="9"/>
  <c r="N46" i="9"/>
  <c r="F47" i="9"/>
  <c r="N45" i="8"/>
  <c r="F46" i="8"/>
  <c r="K37" i="8"/>
  <c r="C38" i="8"/>
  <c r="T37" i="8"/>
  <c r="W37" i="8"/>
  <c r="V37" i="8"/>
  <c r="U37" i="8"/>
  <c r="R37" i="8"/>
  <c r="Y37" i="8"/>
  <c r="X37" i="8"/>
  <c r="S37" i="8"/>
  <c r="N44" i="7"/>
  <c r="F45" i="7"/>
  <c r="K36" i="7"/>
  <c r="C37" i="7"/>
  <c r="U36" i="7"/>
  <c r="Y36" i="7"/>
  <c r="R36" i="7"/>
  <c r="S36" i="7"/>
  <c r="V36" i="7"/>
  <c r="T36" i="7"/>
  <c r="W36" i="7"/>
  <c r="X36" i="7"/>
  <c r="C25" i="1"/>
  <c r="K24" i="1"/>
  <c r="X24" i="1"/>
  <c r="U24" i="1"/>
  <c r="V24" i="1"/>
  <c r="Y24" i="1"/>
  <c r="R24" i="1"/>
  <c r="S24" i="1"/>
  <c r="W24" i="1"/>
  <c r="T24" i="1"/>
  <c r="F36" i="4"/>
  <c r="N35" i="4"/>
  <c r="C30" i="4"/>
  <c r="K29" i="4"/>
  <c r="F34" i="1"/>
  <c r="N33" i="1"/>
  <c r="C43" i="15" l="1"/>
  <c r="K42" i="15"/>
  <c r="U42" i="15"/>
  <c r="U3" i="15" s="1"/>
  <c r="W42" i="15"/>
  <c r="W3" i="15" s="1"/>
  <c r="T42" i="15"/>
  <c r="T3" i="15" s="1"/>
  <c r="X42" i="15"/>
  <c r="X3" i="15" s="1"/>
  <c r="V42" i="15"/>
  <c r="V3" i="15" s="1"/>
  <c r="Y42" i="15"/>
  <c r="Y3" i="15" s="1"/>
  <c r="R42" i="15"/>
  <c r="R3" i="15" s="1"/>
  <c r="S42" i="15"/>
  <c r="S3" i="15" s="1"/>
  <c r="N47" i="15"/>
  <c r="F48" i="15"/>
  <c r="C44" i="14"/>
  <c r="K43" i="14"/>
  <c r="U43" i="14"/>
  <c r="T43" i="14"/>
  <c r="Y43" i="14"/>
  <c r="W43" i="14"/>
  <c r="R43" i="14"/>
  <c r="S43" i="14"/>
  <c r="V43" i="14"/>
  <c r="X43" i="14"/>
  <c r="F48" i="14"/>
  <c r="N47" i="14"/>
  <c r="X30" i="4"/>
  <c r="T30" i="4"/>
  <c r="W30" i="4"/>
  <c r="R30" i="4"/>
  <c r="S30" i="4"/>
  <c r="Y30" i="4"/>
  <c r="V30" i="4"/>
  <c r="U30" i="4"/>
  <c r="F45" i="11"/>
  <c r="N44" i="11"/>
  <c r="K40" i="11"/>
  <c r="C41" i="11"/>
  <c r="W40" i="11"/>
  <c r="Y40" i="11"/>
  <c r="U40" i="11"/>
  <c r="S40" i="11"/>
  <c r="X40" i="11"/>
  <c r="V40" i="11"/>
  <c r="T40" i="11"/>
  <c r="R40" i="11"/>
  <c r="C41" i="10"/>
  <c r="K40" i="10"/>
  <c r="X40" i="10"/>
  <c r="W40" i="10"/>
  <c r="R40" i="10"/>
  <c r="Y40" i="10"/>
  <c r="S40" i="10"/>
  <c r="T40" i="10"/>
  <c r="U40" i="10"/>
  <c r="V40" i="10"/>
  <c r="N46" i="10"/>
  <c r="F47" i="10"/>
  <c r="C38" i="9"/>
  <c r="K37" i="9"/>
  <c r="X37" i="9"/>
  <c r="R37" i="9"/>
  <c r="Y37" i="9"/>
  <c r="U37" i="9"/>
  <c r="T37" i="9"/>
  <c r="S37" i="9"/>
  <c r="V37" i="9"/>
  <c r="W37" i="9"/>
  <c r="F48" i="9"/>
  <c r="N47" i="9"/>
  <c r="F47" i="8"/>
  <c r="N46" i="8"/>
  <c r="K38" i="8"/>
  <c r="C39" i="8"/>
  <c r="V38" i="8"/>
  <c r="X38" i="8"/>
  <c r="W38" i="8"/>
  <c r="T38" i="8"/>
  <c r="R38" i="8"/>
  <c r="S38" i="8"/>
  <c r="Y38" i="8"/>
  <c r="U38" i="8"/>
  <c r="C38" i="7"/>
  <c r="K37" i="7"/>
  <c r="T37" i="7"/>
  <c r="U37" i="7"/>
  <c r="W37" i="7"/>
  <c r="Y37" i="7"/>
  <c r="X37" i="7"/>
  <c r="R37" i="7"/>
  <c r="V37" i="7"/>
  <c r="S37" i="7"/>
  <c r="F46" i="7"/>
  <c r="N45" i="7"/>
  <c r="C26" i="1"/>
  <c r="K25" i="1"/>
  <c r="V25" i="1"/>
  <c r="U25" i="1"/>
  <c r="Y25" i="1"/>
  <c r="X25" i="1"/>
  <c r="W25" i="1"/>
  <c r="R25" i="1"/>
  <c r="T25" i="1"/>
  <c r="S25" i="1"/>
  <c r="C31" i="4"/>
  <c r="K30" i="4"/>
  <c r="F37" i="4"/>
  <c r="N36" i="4"/>
  <c r="F35" i="1"/>
  <c r="N34" i="1"/>
  <c r="N48" i="15" l="1"/>
  <c r="F49" i="15"/>
  <c r="K43" i="15"/>
  <c r="V43" i="15"/>
  <c r="U43" i="15"/>
  <c r="C44" i="15"/>
  <c r="Y43" i="15"/>
  <c r="S43" i="15"/>
  <c r="X43" i="15"/>
  <c r="R43" i="15"/>
  <c r="W43" i="15"/>
  <c r="T43" i="15"/>
  <c r="C45" i="14"/>
  <c r="K44" i="14"/>
  <c r="V44" i="14"/>
  <c r="X44" i="14"/>
  <c r="U44" i="14"/>
  <c r="T44" i="14"/>
  <c r="W44" i="14"/>
  <c r="R44" i="14"/>
  <c r="S44" i="14"/>
  <c r="Y44" i="14"/>
  <c r="F49" i="14"/>
  <c r="N48" i="14"/>
  <c r="X31" i="4"/>
  <c r="T31" i="4"/>
  <c r="U31" i="4"/>
  <c r="Y31" i="4"/>
  <c r="R31" i="4"/>
  <c r="W31" i="4"/>
  <c r="V31" i="4"/>
  <c r="S31" i="4"/>
  <c r="K41" i="11"/>
  <c r="C42" i="11"/>
  <c r="R41" i="11"/>
  <c r="X41" i="11"/>
  <c r="U41" i="11"/>
  <c r="V41" i="11"/>
  <c r="S41" i="11"/>
  <c r="T41" i="11"/>
  <c r="W41" i="11"/>
  <c r="Y41" i="11"/>
  <c r="F46" i="11"/>
  <c r="N45" i="11"/>
  <c r="F48" i="10"/>
  <c r="N47" i="10"/>
  <c r="C42" i="10"/>
  <c r="K41" i="10"/>
  <c r="U41" i="10"/>
  <c r="S41" i="10"/>
  <c r="T41" i="10"/>
  <c r="Y41" i="10"/>
  <c r="W41" i="10"/>
  <c r="V41" i="10"/>
  <c r="X41" i="10"/>
  <c r="R41" i="10"/>
  <c r="C39" i="9"/>
  <c r="K38" i="9"/>
  <c r="U38" i="9"/>
  <c r="S38" i="9"/>
  <c r="Y38" i="9"/>
  <c r="T38" i="9"/>
  <c r="V38" i="9"/>
  <c r="R38" i="9"/>
  <c r="W38" i="9"/>
  <c r="X38" i="9"/>
  <c r="F49" i="9"/>
  <c r="N48" i="9"/>
  <c r="N47" i="8"/>
  <c r="F48" i="8"/>
  <c r="K39" i="8"/>
  <c r="C40" i="8"/>
  <c r="X39" i="8"/>
  <c r="S39" i="8"/>
  <c r="U39" i="8"/>
  <c r="V39" i="8"/>
  <c r="T39" i="8"/>
  <c r="W39" i="8"/>
  <c r="R39" i="8"/>
  <c r="Y39" i="8"/>
  <c r="K38" i="7"/>
  <c r="C39" i="7"/>
  <c r="U38" i="7"/>
  <c r="Y38" i="7"/>
  <c r="R38" i="7"/>
  <c r="W38" i="7"/>
  <c r="X38" i="7"/>
  <c r="S38" i="7"/>
  <c r="V38" i="7"/>
  <c r="T38" i="7"/>
  <c r="N46" i="7"/>
  <c r="F47" i="7"/>
  <c r="C27" i="1"/>
  <c r="K26" i="1"/>
  <c r="R26" i="1"/>
  <c r="S26" i="1"/>
  <c r="X26" i="1"/>
  <c r="W26" i="1"/>
  <c r="T26" i="1"/>
  <c r="U26" i="1"/>
  <c r="Y26" i="1"/>
  <c r="V26" i="1"/>
  <c r="F38" i="4"/>
  <c r="N37" i="4"/>
  <c r="K31" i="4"/>
  <c r="C32" i="4"/>
  <c r="F36" i="1"/>
  <c r="N35" i="1"/>
  <c r="C45" i="15" l="1"/>
  <c r="K44" i="15"/>
  <c r="U44" i="15"/>
  <c r="R44" i="15"/>
  <c r="T44" i="15"/>
  <c r="S44" i="15"/>
  <c r="W44" i="15"/>
  <c r="X44" i="15"/>
  <c r="Y44" i="15"/>
  <c r="V44" i="15"/>
  <c r="N49" i="15"/>
  <c r="F50" i="15"/>
  <c r="C46" i="14"/>
  <c r="K45" i="14"/>
  <c r="V45" i="14"/>
  <c r="U45" i="14"/>
  <c r="W45" i="14"/>
  <c r="R45" i="14"/>
  <c r="T45" i="14"/>
  <c r="X45" i="14"/>
  <c r="Y45" i="14"/>
  <c r="S45" i="14"/>
  <c r="N49" i="14"/>
  <c r="F50" i="14"/>
  <c r="X32" i="4"/>
  <c r="T32" i="4"/>
  <c r="W32" i="4"/>
  <c r="R32" i="4"/>
  <c r="Y32" i="4"/>
  <c r="V32" i="4"/>
  <c r="U32" i="4"/>
  <c r="S32" i="4"/>
  <c r="F47" i="11"/>
  <c r="N46" i="11"/>
  <c r="K42" i="11"/>
  <c r="C43" i="11"/>
  <c r="R42" i="11"/>
  <c r="R3" i="11" s="1"/>
  <c r="U42" i="11"/>
  <c r="U3" i="11" s="1"/>
  <c r="T42" i="11"/>
  <c r="T3" i="11" s="1"/>
  <c r="Y42" i="11"/>
  <c r="Y3" i="11" s="1"/>
  <c r="X42" i="11"/>
  <c r="X3" i="11" s="1"/>
  <c r="S42" i="11"/>
  <c r="S3" i="11" s="1"/>
  <c r="W42" i="11"/>
  <c r="W3" i="11" s="1"/>
  <c r="V42" i="11"/>
  <c r="V3" i="11" s="1"/>
  <c r="C43" i="10"/>
  <c r="K42" i="10"/>
  <c r="T42" i="10"/>
  <c r="T3" i="10" s="1"/>
  <c r="R42" i="10"/>
  <c r="R3" i="10" s="1"/>
  <c r="Y42" i="10"/>
  <c r="Y3" i="10" s="1"/>
  <c r="S42" i="10"/>
  <c r="S3" i="10" s="1"/>
  <c r="V42" i="10"/>
  <c r="V3" i="10" s="1"/>
  <c r="W42" i="10"/>
  <c r="W3" i="10" s="1"/>
  <c r="X42" i="10"/>
  <c r="X3" i="10" s="1"/>
  <c r="U42" i="10"/>
  <c r="U3" i="10" s="1"/>
  <c r="N48" i="10"/>
  <c r="F49" i="10"/>
  <c r="N49" i="9"/>
  <c r="F50" i="9"/>
  <c r="C40" i="9"/>
  <c r="K39" i="9"/>
  <c r="V39" i="9"/>
  <c r="W39" i="9"/>
  <c r="Y39" i="9"/>
  <c r="U39" i="9"/>
  <c r="T39" i="9"/>
  <c r="R39" i="9"/>
  <c r="S39" i="9"/>
  <c r="X39" i="9"/>
  <c r="K40" i="8"/>
  <c r="C41" i="8"/>
  <c r="Y40" i="8"/>
  <c r="W40" i="8"/>
  <c r="X40" i="8"/>
  <c r="V40" i="8"/>
  <c r="T40" i="8"/>
  <c r="S40" i="8"/>
  <c r="R40" i="8"/>
  <c r="U40" i="8"/>
  <c r="F49" i="8"/>
  <c r="N48" i="8"/>
  <c r="C40" i="7"/>
  <c r="K39" i="7"/>
  <c r="T39" i="7"/>
  <c r="V39" i="7"/>
  <c r="Y39" i="7"/>
  <c r="U39" i="7"/>
  <c r="W39" i="7"/>
  <c r="S39" i="7"/>
  <c r="X39" i="7"/>
  <c r="R39" i="7"/>
  <c r="F48" i="7"/>
  <c r="N47" i="7"/>
  <c r="C28" i="1"/>
  <c r="K27" i="1"/>
  <c r="V27" i="1"/>
  <c r="W27" i="1"/>
  <c r="U27" i="1"/>
  <c r="R27" i="1"/>
  <c r="S27" i="1"/>
  <c r="Y27" i="1"/>
  <c r="X27" i="1"/>
  <c r="T27" i="1"/>
  <c r="K32" i="4"/>
  <c r="C33" i="4"/>
  <c r="F39" i="4"/>
  <c r="N38" i="4"/>
  <c r="F37" i="1"/>
  <c r="N36" i="1"/>
  <c r="N50" i="15" l="1"/>
  <c r="F51" i="15"/>
  <c r="C46" i="15"/>
  <c r="R45" i="15"/>
  <c r="Y45" i="15"/>
  <c r="S45" i="15"/>
  <c r="K45" i="15"/>
  <c r="T45" i="15"/>
  <c r="W45" i="15"/>
  <c r="U45" i="15"/>
  <c r="V45" i="15"/>
  <c r="X45" i="15"/>
  <c r="K46" i="14"/>
  <c r="U46" i="14"/>
  <c r="R46" i="14"/>
  <c r="C47" i="14"/>
  <c r="X46" i="14"/>
  <c r="T46" i="14"/>
  <c r="V46" i="14"/>
  <c r="Y46" i="14"/>
  <c r="W46" i="14"/>
  <c r="S46" i="14"/>
  <c r="N50" i="14"/>
  <c r="F51" i="14"/>
  <c r="X33" i="4"/>
  <c r="T33" i="4"/>
  <c r="U33" i="4"/>
  <c r="W33" i="4"/>
  <c r="V33" i="4"/>
  <c r="S33" i="4"/>
  <c r="Y33" i="4"/>
  <c r="R33" i="4"/>
  <c r="K43" i="11"/>
  <c r="C44" i="11"/>
  <c r="V43" i="11"/>
  <c r="Y43" i="11"/>
  <c r="T43" i="11"/>
  <c r="R43" i="11"/>
  <c r="S43" i="11"/>
  <c r="X43" i="11"/>
  <c r="U43" i="11"/>
  <c r="W43" i="11"/>
  <c r="F48" i="11"/>
  <c r="N47" i="11"/>
  <c r="F50" i="10"/>
  <c r="N49" i="10"/>
  <c r="C44" i="10"/>
  <c r="K43" i="10"/>
  <c r="V43" i="10"/>
  <c r="T43" i="10"/>
  <c r="Y43" i="10"/>
  <c r="X43" i="10"/>
  <c r="U43" i="10"/>
  <c r="W43" i="10"/>
  <c r="S43" i="10"/>
  <c r="R43" i="10"/>
  <c r="C41" i="9"/>
  <c r="K40" i="9"/>
  <c r="V40" i="9"/>
  <c r="W40" i="9"/>
  <c r="R40" i="9"/>
  <c r="S40" i="9"/>
  <c r="U40" i="9"/>
  <c r="Y40" i="9"/>
  <c r="T40" i="9"/>
  <c r="X40" i="9"/>
  <c r="F51" i="9"/>
  <c r="N50" i="9"/>
  <c r="C42" i="8"/>
  <c r="K41" i="8"/>
  <c r="V41" i="8"/>
  <c r="Y41" i="8"/>
  <c r="S41" i="8"/>
  <c r="X41" i="8"/>
  <c r="W41" i="8"/>
  <c r="U41" i="8"/>
  <c r="T41" i="8"/>
  <c r="R41" i="8"/>
  <c r="N49" i="8"/>
  <c r="F50" i="8"/>
  <c r="N48" i="7"/>
  <c r="F49" i="7"/>
  <c r="K40" i="7"/>
  <c r="C41" i="7"/>
  <c r="W40" i="7"/>
  <c r="X40" i="7"/>
  <c r="U40" i="7"/>
  <c r="Y40" i="7"/>
  <c r="R40" i="7"/>
  <c r="S40" i="7"/>
  <c r="V40" i="7"/>
  <c r="T40" i="7"/>
  <c r="C29" i="1"/>
  <c r="K28" i="1"/>
  <c r="U28" i="1"/>
  <c r="S28" i="1"/>
  <c r="V28" i="1"/>
  <c r="Y28" i="1"/>
  <c r="T28" i="1"/>
  <c r="W28" i="1"/>
  <c r="R28" i="1"/>
  <c r="X28" i="1"/>
  <c r="F40" i="4"/>
  <c r="N39" i="4"/>
  <c r="K33" i="4"/>
  <c r="C34" i="4"/>
  <c r="F38" i="1"/>
  <c r="N37" i="1"/>
  <c r="C47" i="15" l="1"/>
  <c r="K46" i="15"/>
  <c r="T46" i="15"/>
  <c r="Y46" i="15"/>
  <c r="U46" i="15"/>
  <c r="W46" i="15"/>
  <c r="X46" i="15"/>
  <c r="S46" i="15"/>
  <c r="V46" i="15"/>
  <c r="R46" i="15"/>
  <c r="N51" i="15"/>
  <c r="F52" i="15"/>
  <c r="N51" i="14"/>
  <c r="F52" i="14"/>
  <c r="C48" i="14"/>
  <c r="K47" i="14"/>
  <c r="T47" i="14"/>
  <c r="W47" i="14"/>
  <c r="Y47" i="14"/>
  <c r="R47" i="14"/>
  <c r="S47" i="14"/>
  <c r="X47" i="14"/>
  <c r="V47" i="14"/>
  <c r="U47" i="14"/>
  <c r="X34" i="4"/>
  <c r="T34" i="4"/>
  <c r="W34" i="4"/>
  <c r="R34" i="4"/>
  <c r="V34" i="4"/>
  <c r="U34" i="4"/>
  <c r="S34" i="4"/>
  <c r="Y34" i="4"/>
  <c r="F49" i="11"/>
  <c r="N48" i="11"/>
  <c r="K44" i="11"/>
  <c r="C45" i="11"/>
  <c r="Y44" i="11"/>
  <c r="X44" i="11"/>
  <c r="W44" i="11"/>
  <c r="V44" i="11"/>
  <c r="U44" i="11"/>
  <c r="T44" i="11"/>
  <c r="R44" i="11"/>
  <c r="S44" i="11"/>
  <c r="C45" i="10"/>
  <c r="K44" i="10"/>
  <c r="X44" i="10"/>
  <c r="W44" i="10"/>
  <c r="S44" i="10"/>
  <c r="V44" i="10"/>
  <c r="U44" i="10"/>
  <c r="Y44" i="10"/>
  <c r="R44" i="10"/>
  <c r="T44" i="10"/>
  <c r="N50" i="10"/>
  <c r="F51" i="10"/>
  <c r="N51" i="9"/>
  <c r="F52" i="9"/>
  <c r="K41" i="9"/>
  <c r="C42" i="9"/>
  <c r="T41" i="9"/>
  <c r="S41" i="9"/>
  <c r="Y41" i="9"/>
  <c r="X41" i="9"/>
  <c r="U41" i="9"/>
  <c r="V41" i="9"/>
  <c r="R41" i="9"/>
  <c r="W41" i="9"/>
  <c r="C43" i="8"/>
  <c r="K42" i="8"/>
  <c r="V42" i="8"/>
  <c r="V3" i="8" s="1"/>
  <c r="S42" i="8"/>
  <c r="S3" i="8" s="1"/>
  <c r="T42" i="8"/>
  <c r="T3" i="8" s="1"/>
  <c r="W42" i="8"/>
  <c r="W3" i="8" s="1"/>
  <c r="R42" i="8"/>
  <c r="R3" i="8" s="1"/>
  <c r="U42" i="8"/>
  <c r="U3" i="8" s="1"/>
  <c r="Y42" i="8"/>
  <c r="Y3" i="8" s="1"/>
  <c r="X42" i="8"/>
  <c r="X3" i="8" s="1"/>
  <c r="F51" i="8"/>
  <c r="N50" i="8"/>
  <c r="C42" i="7"/>
  <c r="K41" i="7"/>
  <c r="X41" i="7"/>
  <c r="T41" i="7"/>
  <c r="S41" i="7"/>
  <c r="W41" i="7"/>
  <c r="R41" i="7"/>
  <c r="Y41" i="7"/>
  <c r="U41" i="7"/>
  <c r="V41" i="7"/>
  <c r="F50" i="7"/>
  <c r="N49" i="7"/>
  <c r="C30" i="1"/>
  <c r="K29" i="1"/>
  <c r="R29" i="1"/>
  <c r="X29" i="1"/>
  <c r="U29" i="1"/>
  <c r="T29" i="1"/>
  <c r="S29" i="1"/>
  <c r="W29" i="1"/>
  <c r="Y29" i="1"/>
  <c r="V29" i="1"/>
  <c r="F41" i="4"/>
  <c r="N40" i="4"/>
  <c r="K34" i="4"/>
  <c r="C35" i="4"/>
  <c r="F39" i="1"/>
  <c r="N38" i="1"/>
  <c r="F53" i="15" l="1"/>
  <c r="N52" i="15"/>
  <c r="C48" i="15"/>
  <c r="W47" i="15"/>
  <c r="V47" i="15"/>
  <c r="K47" i="15"/>
  <c r="X47" i="15"/>
  <c r="S47" i="15"/>
  <c r="Y47" i="15"/>
  <c r="T47" i="15"/>
  <c r="R47" i="15"/>
  <c r="U47" i="15"/>
  <c r="C49" i="14"/>
  <c r="R48" i="14"/>
  <c r="U48" i="14"/>
  <c r="K48" i="14"/>
  <c r="Y48" i="14"/>
  <c r="W48" i="14"/>
  <c r="S48" i="14"/>
  <c r="X48" i="14"/>
  <c r="T48" i="14"/>
  <c r="V48" i="14"/>
  <c r="N52" i="14"/>
  <c r="F53" i="14"/>
  <c r="X35" i="4"/>
  <c r="T35" i="4"/>
  <c r="U35" i="4"/>
  <c r="V35" i="4"/>
  <c r="S35" i="4"/>
  <c r="Y35" i="4"/>
  <c r="R35" i="4"/>
  <c r="W35" i="4"/>
  <c r="K45" i="11"/>
  <c r="C46" i="11"/>
  <c r="V45" i="11"/>
  <c r="W45" i="11"/>
  <c r="X45" i="11"/>
  <c r="S45" i="11"/>
  <c r="R45" i="11"/>
  <c r="U45" i="11"/>
  <c r="T45" i="11"/>
  <c r="Y45" i="11"/>
  <c r="F50" i="11"/>
  <c r="N49" i="11"/>
  <c r="F52" i="10"/>
  <c r="N51" i="10"/>
  <c r="K45" i="10"/>
  <c r="C46" i="10"/>
  <c r="Y45" i="10"/>
  <c r="V45" i="10"/>
  <c r="T45" i="10"/>
  <c r="U45" i="10"/>
  <c r="R45" i="10"/>
  <c r="W45" i="10"/>
  <c r="S45" i="10"/>
  <c r="X45" i="10"/>
  <c r="K42" i="9"/>
  <c r="C43" i="9"/>
  <c r="V42" i="9"/>
  <c r="V3" i="9" s="1"/>
  <c r="U42" i="9"/>
  <c r="U3" i="9" s="1"/>
  <c r="S42" i="9"/>
  <c r="S3" i="9" s="1"/>
  <c r="X42" i="9"/>
  <c r="X3" i="9" s="1"/>
  <c r="R42" i="9"/>
  <c r="R3" i="9" s="1"/>
  <c r="W42" i="9"/>
  <c r="W3" i="9" s="1"/>
  <c r="Y42" i="9"/>
  <c r="Y3" i="9" s="1"/>
  <c r="T42" i="9"/>
  <c r="T3" i="9" s="1"/>
  <c r="F53" i="9"/>
  <c r="N52" i="9"/>
  <c r="K43" i="8"/>
  <c r="C44" i="8"/>
  <c r="X43" i="8"/>
  <c r="U43" i="8"/>
  <c r="V43" i="8"/>
  <c r="S43" i="8"/>
  <c r="W43" i="8"/>
  <c r="R43" i="8"/>
  <c r="Y43" i="8"/>
  <c r="T43" i="8"/>
  <c r="N51" i="8"/>
  <c r="F52" i="8"/>
  <c r="N50" i="7"/>
  <c r="F51" i="7"/>
  <c r="K42" i="7"/>
  <c r="C43" i="7"/>
  <c r="R42" i="7"/>
  <c r="R3" i="7" s="1"/>
  <c r="Y42" i="7"/>
  <c r="Y3" i="7" s="1"/>
  <c r="T42" i="7"/>
  <c r="T3" i="7" s="1"/>
  <c r="W42" i="7"/>
  <c r="W3" i="7" s="1"/>
  <c r="V42" i="7"/>
  <c r="V3" i="7" s="1"/>
  <c r="S42" i="7"/>
  <c r="S3" i="7" s="1"/>
  <c r="U42" i="7"/>
  <c r="U3" i="7" s="1"/>
  <c r="X42" i="7"/>
  <c r="X3" i="7" s="1"/>
  <c r="C31" i="1"/>
  <c r="K30" i="1"/>
  <c r="T30" i="1"/>
  <c r="S30" i="1"/>
  <c r="X30" i="1"/>
  <c r="W30" i="1"/>
  <c r="V30" i="1"/>
  <c r="U30" i="1"/>
  <c r="Y30" i="1"/>
  <c r="R30" i="1"/>
  <c r="K35" i="4"/>
  <c r="C36" i="4"/>
  <c r="F42" i="4"/>
  <c r="N41" i="4"/>
  <c r="F40" i="1"/>
  <c r="N39" i="1"/>
  <c r="C49" i="15" l="1"/>
  <c r="K48" i="15"/>
  <c r="T48" i="15"/>
  <c r="X48" i="15"/>
  <c r="V48" i="15"/>
  <c r="Y48" i="15"/>
  <c r="W48" i="15"/>
  <c r="U48" i="15"/>
  <c r="S48" i="15"/>
  <c r="R48" i="15"/>
  <c r="N53" i="15"/>
  <c r="F54" i="15"/>
  <c r="C50" i="14"/>
  <c r="K49" i="14"/>
  <c r="W49" i="14"/>
  <c r="X49" i="14"/>
  <c r="S49" i="14"/>
  <c r="V49" i="14"/>
  <c r="T49" i="14"/>
  <c r="U49" i="14"/>
  <c r="R49" i="14"/>
  <c r="Y49" i="14"/>
  <c r="N53" i="14"/>
  <c r="F54" i="14"/>
  <c r="X36" i="4"/>
  <c r="T36" i="4"/>
  <c r="W36" i="4"/>
  <c r="R36" i="4"/>
  <c r="U36" i="4"/>
  <c r="S36" i="4"/>
  <c r="Y36" i="4"/>
  <c r="V36" i="4"/>
  <c r="N50" i="11"/>
  <c r="F51" i="11"/>
  <c r="K46" i="11"/>
  <c r="C47" i="11"/>
  <c r="S46" i="11"/>
  <c r="R46" i="11"/>
  <c r="T46" i="11"/>
  <c r="W46" i="11"/>
  <c r="X46" i="11"/>
  <c r="U46" i="11"/>
  <c r="Y46" i="11"/>
  <c r="V46" i="11"/>
  <c r="C47" i="10"/>
  <c r="K46" i="10"/>
  <c r="X46" i="10"/>
  <c r="Y46" i="10"/>
  <c r="U46" i="10"/>
  <c r="V46" i="10"/>
  <c r="W46" i="10"/>
  <c r="T46" i="10"/>
  <c r="S46" i="10"/>
  <c r="R46" i="10"/>
  <c r="N52" i="10"/>
  <c r="F53" i="10"/>
  <c r="N53" i="9"/>
  <c r="F54" i="9"/>
  <c r="K43" i="9"/>
  <c r="C44" i="9"/>
  <c r="V43" i="9"/>
  <c r="U43" i="9"/>
  <c r="X43" i="9"/>
  <c r="T43" i="9"/>
  <c r="S43" i="9"/>
  <c r="Y43" i="9"/>
  <c r="W43" i="9"/>
  <c r="R43" i="9"/>
  <c r="N52" i="8"/>
  <c r="F53" i="8"/>
  <c r="C45" i="8"/>
  <c r="K44" i="8"/>
  <c r="V44" i="8"/>
  <c r="U44" i="8"/>
  <c r="Y44" i="8"/>
  <c r="S44" i="8"/>
  <c r="W44" i="8"/>
  <c r="R44" i="8"/>
  <c r="T44" i="8"/>
  <c r="X44" i="8"/>
  <c r="C44" i="7"/>
  <c r="K43" i="7"/>
  <c r="X43" i="7"/>
  <c r="Y43" i="7"/>
  <c r="U43" i="7"/>
  <c r="W43" i="7"/>
  <c r="V43" i="7"/>
  <c r="T43" i="7"/>
  <c r="S43" i="7"/>
  <c r="R43" i="7"/>
  <c r="F52" i="7"/>
  <c r="N51" i="7"/>
  <c r="C32" i="1"/>
  <c r="K31" i="1"/>
  <c r="X31" i="1"/>
  <c r="Y31" i="1"/>
  <c r="T31" i="1"/>
  <c r="U31" i="1"/>
  <c r="R31" i="1"/>
  <c r="S31" i="1"/>
  <c r="V31" i="1"/>
  <c r="W31" i="1"/>
  <c r="K36" i="4"/>
  <c r="C37" i="4"/>
  <c r="F43" i="4"/>
  <c r="N42" i="4"/>
  <c r="F41" i="1"/>
  <c r="N40" i="1"/>
  <c r="F55" i="15" l="1"/>
  <c r="N54" i="15"/>
  <c r="K49" i="15"/>
  <c r="C50" i="15"/>
  <c r="U49" i="15"/>
  <c r="V49" i="15"/>
  <c r="W49" i="15"/>
  <c r="S49" i="15"/>
  <c r="T49" i="15"/>
  <c r="R49" i="15"/>
  <c r="X49" i="15"/>
  <c r="Y49" i="15"/>
  <c r="C51" i="14"/>
  <c r="X50" i="14"/>
  <c r="K50" i="14"/>
  <c r="W50" i="14"/>
  <c r="T50" i="14"/>
  <c r="V50" i="14"/>
  <c r="U50" i="14"/>
  <c r="Y50" i="14"/>
  <c r="R50" i="14"/>
  <c r="S50" i="14"/>
  <c r="F55" i="14"/>
  <c r="N54" i="14"/>
  <c r="X37" i="4"/>
  <c r="T37" i="4"/>
  <c r="U37" i="4"/>
  <c r="S37" i="4"/>
  <c r="Y37" i="4"/>
  <c r="R37" i="4"/>
  <c r="W37" i="4"/>
  <c r="V37" i="4"/>
  <c r="K47" i="11"/>
  <c r="C48" i="11"/>
  <c r="V47" i="11"/>
  <c r="T47" i="11"/>
  <c r="Y47" i="11"/>
  <c r="S47" i="11"/>
  <c r="W47" i="11"/>
  <c r="R47" i="11"/>
  <c r="U47" i="11"/>
  <c r="X47" i="11"/>
  <c r="F52" i="11"/>
  <c r="N51" i="11"/>
  <c r="F54" i="10"/>
  <c r="N53" i="10"/>
  <c r="K47" i="10"/>
  <c r="C48" i="10"/>
  <c r="S47" i="10"/>
  <c r="Y47" i="10"/>
  <c r="T47" i="10"/>
  <c r="U47" i="10"/>
  <c r="V47" i="10"/>
  <c r="R47" i="10"/>
  <c r="X47" i="10"/>
  <c r="W47" i="10"/>
  <c r="K44" i="9"/>
  <c r="C45" i="9"/>
  <c r="R44" i="9"/>
  <c r="T44" i="9"/>
  <c r="U44" i="9"/>
  <c r="V44" i="9"/>
  <c r="W44" i="9"/>
  <c r="S44" i="9"/>
  <c r="Y44" i="9"/>
  <c r="X44" i="9"/>
  <c r="F55" i="9"/>
  <c r="N54" i="9"/>
  <c r="K45" i="8"/>
  <c r="C46" i="8"/>
  <c r="V45" i="8"/>
  <c r="S45" i="8"/>
  <c r="Y45" i="8"/>
  <c r="W45" i="8"/>
  <c r="U45" i="8"/>
  <c r="X45" i="8"/>
  <c r="T45" i="8"/>
  <c r="R45" i="8"/>
  <c r="N53" i="8"/>
  <c r="F54" i="8"/>
  <c r="K44" i="7"/>
  <c r="C45" i="7"/>
  <c r="T44" i="7"/>
  <c r="Y44" i="7"/>
  <c r="X44" i="7"/>
  <c r="R44" i="7"/>
  <c r="U44" i="7"/>
  <c r="S44" i="7"/>
  <c r="V44" i="7"/>
  <c r="W44" i="7"/>
  <c r="N52" i="7"/>
  <c r="F53" i="7"/>
  <c r="C33" i="1"/>
  <c r="K32" i="1"/>
  <c r="T32" i="1"/>
  <c r="U32" i="1"/>
  <c r="Y32" i="1"/>
  <c r="X32" i="1"/>
  <c r="W32" i="1"/>
  <c r="V32" i="1"/>
  <c r="R32" i="1"/>
  <c r="S32" i="1"/>
  <c r="K37" i="4"/>
  <c r="C38" i="4"/>
  <c r="F44" i="4"/>
  <c r="N43" i="4"/>
  <c r="F42" i="1"/>
  <c r="N41" i="1"/>
  <c r="C51" i="15" l="1"/>
  <c r="K50" i="15"/>
  <c r="X50" i="15"/>
  <c r="V50" i="15"/>
  <c r="S50" i="15"/>
  <c r="R50" i="15"/>
  <c r="U50" i="15"/>
  <c r="Y50" i="15"/>
  <c r="T50" i="15"/>
  <c r="W50" i="15"/>
  <c r="N55" i="15"/>
  <c r="F56" i="15"/>
  <c r="K51" i="14"/>
  <c r="C52" i="14"/>
  <c r="V51" i="14"/>
  <c r="U51" i="14"/>
  <c r="W51" i="14"/>
  <c r="Y51" i="14"/>
  <c r="X51" i="14"/>
  <c r="T51" i="14"/>
  <c r="R51" i="14"/>
  <c r="S51" i="14"/>
  <c r="N55" i="14"/>
  <c r="F56" i="14"/>
  <c r="X38" i="4"/>
  <c r="T38" i="4"/>
  <c r="W38" i="4"/>
  <c r="R38" i="4"/>
  <c r="S38" i="4"/>
  <c r="Y38" i="4"/>
  <c r="V38" i="4"/>
  <c r="U38" i="4"/>
  <c r="N52" i="11"/>
  <c r="F53" i="11"/>
  <c r="K48" i="11"/>
  <c r="C49" i="11"/>
  <c r="T48" i="11"/>
  <c r="S48" i="11"/>
  <c r="Y48" i="11"/>
  <c r="V48" i="11"/>
  <c r="W48" i="11"/>
  <c r="U48" i="11"/>
  <c r="R48" i="11"/>
  <c r="X48" i="11"/>
  <c r="C49" i="10"/>
  <c r="K48" i="10"/>
  <c r="U48" i="10"/>
  <c r="V48" i="10"/>
  <c r="T48" i="10"/>
  <c r="Y48" i="10"/>
  <c r="S48" i="10"/>
  <c r="X48" i="10"/>
  <c r="W48" i="10"/>
  <c r="R48" i="10"/>
  <c r="N54" i="10"/>
  <c r="F55" i="10"/>
  <c r="N55" i="9"/>
  <c r="F56" i="9"/>
  <c r="K45" i="9"/>
  <c r="C46" i="9"/>
  <c r="X45" i="9"/>
  <c r="W45" i="9"/>
  <c r="V45" i="9"/>
  <c r="Y45" i="9"/>
  <c r="U45" i="9"/>
  <c r="R45" i="9"/>
  <c r="S45" i="9"/>
  <c r="T45" i="9"/>
  <c r="N54" i="8"/>
  <c r="F55" i="8"/>
  <c r="C47" i="8"/>
  <c r="K46" i="8"/>
  <c r="S46" i="8"/>
  <c r="W46" i="8"/>
  <c r="U46" i="8"/>
  <c r="X46" i="8"/>
  <c r="Y46" i="8"/>
  <c r="V46" i="8"/>
  <c r="R46" i="8"/>
  <c r="T46" i="8"/>
  <c r="C46" i="7"/>
  <c r="K45" i="7"/>
  <c r="W45" i="7"/>
  <c r="V45" i="7"/>
  <c r="R45" i="7"/>
  <c r="X45" i="7"/>
  <c r="S45" i="7"/>
  <c r="U45" i="7"/>
  <c r="T45" i="7"/>
  <c r="Y45" i="7"/>
  <c r="F54" i="7"/>
  <c r="N53" i="7"/>
  <c r="C34" i="1"/>
  <c r="K33" i="1"/>
  <c r="T33" i="1"/>
  <c r="S33" i="1"/>
  <c r="W33" i="1"/>
  <c r="V33" i="1"/>
  <c r="U33" i="1"/>
  <c r="R33" i="1"/>
  <c r="Y33" i="1"/>
  <c r="X33" i="1"/>
  <c r="F45" i="4"/>
  <c r="N44" i="4"/>
  <c r="K38" i="4"/>
  <c r="C39" i="4"/>
  <c r="F43" i="1"/>
  <c r="N42" i="1"/>
  <c r="N56" i="15" l="1"/>
  <c r="F57" i="15"/>
  <c r="K51" i="15"/>
  <c r="V51" i="15"/>
  <c r="C52" i="15"/>
  <c r="Y51" i="15"/>
  <c r="U51" i="15"/>
  <c r="S51" i="15"/>
  <c r="R51" i="15"/>
  <c r="T51" i="15"/>
  <c r="W51" i="15"/>
  <c r="X51" i="15"/>
  <c r="F57" i="14"/>
  <c r="N56" i="14"/>
  <c r="C53" i="14"/>
  <c r="K52" i="14"/>
  <c r="W52" i="14"/>
  <c r="W4" i="14" s="1"/>
  <c r="X52" i="14"/>
  <c r="X4" i="14" s="1"/>
  <c r="U52" i="14"/>
  <c r="U4" i="14" s="1"/>
  <c r="V52" i="14"/>
  <c r="V4" i="14" s="1"/>
  <c r="Y52" i="14"/>
  <c r="Y4" i="14" s="1"/>
  <c r="S52" i="14"/>
  <c r="S4" i="14" s="1"/>
  <c r="R52" i="14"/>
  <c r="R4" i="14" s="1"/>
  <c r="T52" i="14"/>
  <c r="T4" i="14" s="1"/>
  <c r="X39" i="4"/>
  <c r="T39" i="4"/>
  <c r="U39" i="4"/>
  <c r="Y39" i="4"/>
  <c r="R39" i="4"/>
  <c r="W39" i="4"/>
  <c r="V39" i="4"/>
  <c r="S39" i="4"/>
  <c r="K49" i="11"/>
  <c r="C50" i="11"/>
  <c r="V49" i="11"/>
  <c r="Y49" i="11"/>
  <c r="X49" i="11"/>
  <c r="W49" i="11"/>
  <c r="U49" i="11"/>
  <c r="R49" i="11"/>
  <c r="T49" i="11"/>
  <c r="S49" i="11"/>
  <c r="F54" i="11"/>
  <c r="N53" i="11"/>
  <c r="F56" i="10"/>
  <c r="N55" i="10"/>
  <c r="K49" i="10"/>
  <c r="C50" i="10"/>
  <c r="X49" i="10"/>
  <c r="R49" i="10"/>
  <c r="T49" i="10"/>
  <c r="U49" i="10"/>
  <c r="Y49" i="10"/>
  <c r="V49" i="10"/>
  <c r="W49" i="10"/>
  <c r="S49" i="10"/>
  <c r="K46" i="9"/>
  <c r="C47" i="9"/>
  <c r="Y46" i="9"/>
  <c r="T46" i="9"/>
  <c r="U46" i="9"/>
  <c r="X46" i="9"/>
  <c r="V46" i="9"/>
  <c r="S46" i="9"/>
  <c r="W46" i="9"/>
  <c r="R46" i="9"/>
  <c r="F57" i="9"/>
  <c r="N56" i="9"/>
  <c r="C48" i="8"/>
  <c r="K47" i="8"/>
  <c r="W47" i="8"/>
  <c r="V47" i="8"/>
  <c r="U47" i="8"/>
  <c r="R47" i="8"/>
  <c r="X47" i="8"/>
  <c r="Y47" i="8"/>
  <c r="S47" i="8"/>
  <c r="T47" i="8"/>
  <c r="N55" i="8"/>
  <c r="F56" i="8"/>
  <c r="N54" i="7"/>
  <c r="F55" i="7"/>
  <c r="K46" i="7"/>
  <c r="C47" i="7"/>
  <c r="R46" i="7"/>
  <c r="S46" i="7"/>
  <c r="X46" i="7"/>
  <c r="W46" i="7"/>
  <c r="V46" i="7"/>
  <c r="Y46" i="7"/>
  <c r="T46" i="7"/>
  <c r="U46" i="7"/>
  <c r="C35" i="1"/>
  <c r="K34" i="1"/>
  <c r="Y34" i="1"/>
  <c r="U34" i="1"/>
  <c r="T34" i="1"/>
  <c r="S34" i="1"/>
  <c r="V34" i="1"/>
  <c r="W34" i="1"/>
  <c r="R34" i="1"/>
  <c r="X34" i="1"/>
  <c r="F46" i="4"/>
  <c r="N45" i="4"/>
  <c r="K39" i="4"/>
  <c r="C40" i="4"/>
  <c r="F44" i="1"/>
  <c r="N43" i="1"/>
  <c r="N57" i="15" l="1"/>
  <c r="F58" i="15"/>
  <c r="C53" i="15"/>
  <c r="K52" i="15"/>
  <c r="W52" i="15"/>
  <c r="W4" i="15" s="1"/>
  <c r="U52" i="15"/>
  <c r="U4" i="15" s="1"/>
  <c r="S52" i="15"/>
  <c r="S4" i="15" s="1"/>
  <c r="T52" i="15"/>
  <c r="T4" i="15" s="1"/>
  <c r="V52" i="15"/>
  <c r="V4" i="15" s="1"/>
  <c r="X52" i="15"/>
  <c r="X4" i="15" s="1"/>
  <c r="R52" i="15"/>
  <c r="R4" i="15" s="1"/>
  <c r="Y52" i="15"/>
  <c r="Y4" i="15" s="1"/>
  <c r="N57" i="14"/>
  <c r="F58" i="14"/>
  <c r="K53" i="14"/>
  <c r="V53" i="14"/>
  <c r="S53" i="14"/>
  <c r="Y53" i="14"/>
  <c r="C54" i="14"/>
  <c r="U53" i="14"/>
  <c r="W53" i="14"/>
  <c r="X53" i="14"/>
  <c r="T53" i="14"/>
  <c r="R53" i="14"/>
  <c r="X40" i="4"/>
  <c r="T40" i="4"/>
  <c r="W40" i="4"/>
  <c r="R40" i="4"/>
  <c r="Y40" i="4"/>
  <c r="V40" i="4"/>
  <c r="U40" i="4"/>
  <c r="S40" i="4"/>
  <c r="F55" i="11"/>
  <c r="N54" i="11"/>
  <c r="C51" i="11"/>
  <c r="K50" i="11"/>
  <c r="Y50" i="11"/>
  <c r="R50" i="11"/>
  <c r="U50" i="11"/>
  <c r="V50" i="11"/>
  <c r="T50" i="11"/>
  <c r="S50" i="11"/>
  <c r="X50" i="11"/>
  <c r="W50" i="11"/>
  <c r="C51" i="10"/>
  <c r="K50" i="10"/>
  <c r="Y50" i="10"/>
  <c r="T50" i="10"/>
  <c r="S50" i="10"/>
  <c r="V50" i="10"/>
  <c r="R50" i="10"/>
  <c r="U50" i="10"/>
  <c r="X50" i="10"/>
  <c r="W50" i="10"/>
  <c r="N56" i="10"/>
  <c r="F57" i="10"/>
  <c r="N57" i="9"/>
  <c r="F58" i="9"/>
  <c r="C48" i="9"/>
  <c r="K47" i="9"/>
  <c r="S47" i="9"/>
  <c r="U47" i="9"/>
  <c r="V47" i="9"/>
  <c r="R47" i="9"/>
  <c r="T47" i="9"/>
  <c r="X47" i="9"/>
  <c r="Y47" i="9"/>
  <c r="W47" i="9"/>
  <c r="C49" i="8"/>
  <c r="K48" i="8"/>
  <c r="T48" i="8"/>
  <c r="V48" i="8"/>
  <c r="R48" i="8"/>
  <c r="X48" i="8"/>
  <c r="Y48" i="8"/>
  <c r="S48" i="8"/>
  <c r="W48" i="8"/>
  <c r="U48" i="8"/>
  <c r="F57" i="8"/>
  <c r="N56" i="8"/>
  <c r="C48" i="7"/>
  <c r="K47" i="7"/>
  <c r="S47" i="7"/>
  <c r="V47" i="7"/>
  <c r="X47" i="7"/>
  <c r="U47" i="7"/>
  <c r="R47" i="7"/>
  <c r="T47" i="7"/>
  <c r="Y47" i="7"/>
  <c r="W47" i="7"/>
  <c r="F56" i="7"/>
  <c r="N55" i="7"/>
  <c r="C36" i="1"/>
  <c r="K35" i="1"/>
  <c r="S35" i="1"/>
  <c r="X35" i="1"/>
  <c r="U35" i="1"/>
  <c r="Y35" i="1"/>
  <c r="W35" i="1"/>
  <c r="T35" i="1"/>
  <c r="R35" i="1"/>
  <c r="V35" i="1"/>
  <c r="F47" i="4"/>
  <c r="N46" i="4"/>
  <c r="K40" i="4"/>
  <c r="C41" i="4"/>
  <c r="F45" i="1"/>
  <c r="N44" i="1"/>
  <c r="M44" i="1"/>
  <c r="C54" i="15" l="1"/>
  <c r="S53" i="15"/>
  <c r="K53" i="15"/>
  <c r="U53" i="15"/>
  <c r="R53" i="15"/>
  <c r="T53" i="15"/>
  <c r="Y53" i="15"/>
  <c r="X53" i="15"/>
  <c r="W53" i="15"/>
  <c r="V53" i="15"/>
  <c r="N58" i="15"/>
  <c r="F59" i="15"/>
  <c r="C55" i="14"/>
  <c r="K54" i="14"/>
  <c r="U54" i="14"/>
  <c r="S54" i="14"/>
  <c r="W54" i="14"/>
  <c r="V54" i="14"/>
  <c r="X54" i="14"/>
  <c r="T54" i="14"/>
  <c r="R54" i="14"/>
  <c r="Y54" i="14"/>
  <c r="F59" i="14"/>
  <c r="N58" i="14"/>
  <c r="X41" i="4"/>
  <c r="T41" i="4"/>
  <c r="U41" i="4"/>
  <c r="W41" i="4"/>
  <c r="V41" i="4"/>
  <c r="S41" i="4"/>
  <c r="Y41" i="4"/>
  <c r="R41" i="4"/>
  <c r="K51" i="11"/>
  <c r="C52" i="11"/>
  <c r="R51" i="11"/>
  <c r="V51" i="11"/>
  <c r="W51" i="11"/>
  <c r="S51" i="11"/>
  <c r="Y51" i="11"/>
  <c r="T51" i="11"/>
  <c r="X51" i="11"/>
  <c r="U51" i="11"/>
  <c r="F56" i="11"/>
  <c r="N55" i="11"/>
  <c r="F58" i="10"/>
  <c r="N57" i="10"/>
  <c r="K51" i="10"/>
  <c r="C52" i="10"/>
  <c r="Y51" i="10"/>
  <c r="R51" i="10"/>
  <c r="V51" i="10"/>
  <c r="U51" i="10"/>
  <c r="S51" i="10"/>
  <c r="T51" i="10"/>
  <c r="X51" i="10"/>
  <c r="W51" i="10"/>
  <c r="K48" i="9"/>
  <c r="C49" i="9"/>
  <c r="S48" i="9"/>
  <c r="T48" i="9"/>
  <c r="V48" i="9"/>
  <c r="Y48" i="9"/>
  <c r="R48" i="9"/>
  <c r="W48" i="9"/>
  <c r="U48" i="9"/>
  <c r="X48" i="9"/>
  <c r="F59" i="9"/>
  <c r="N58" i="9"/>
  <c r="N57" i="8"/>
  <c r="F58" i="8"/>
  <c r="C50" i="8"/>
  <c r="K49" i="8"/>
  <c r="W49" i="8"/>
  <c r="S49" i="8"/>
  <c r="T49" i="8"/>
  <c r="X49" i="8"/>
  <c r="U49" i="8"/>
  <c r="Y49" i="8"/>
  <c r="V49" i="8"/>
  <c r="R49" i="8"/>
  <c r="N56" i="7"/>
  <c r="F57" i="7"/>
  <c r="K48" i="7"/>
  <c r="C49" i="7"/>
  <c r="S48" i="7"/>
  <c r="X48" i="7"/>
  <c r="T48" i="7"/>
  <c r="W48" i="7"/>
  <c r="R48" i="7"/>
  <c r="U48" i="7"/>
  <c r="Y48" i="7"/>
  <c r="V48" i="7"/>
  <c r="C37" i="1"/>
  <c r="K36" i="1"/>
  <c r="X36" i="1"/>
  <c r="W36" i="1"/>
  <c r="V36" i="1"/>
  <c r="U36" i="1"/>
  <c r="Y36" i="1"/>
  <c r="S36" i="1"/>
  <c r="T36" i="1"/>
  <c r="R36" i="1"/>
  <c r="K41" i="4"/>
  <c r="C42" i="4"/>
  <c r="F48" i="4"/>
  <c r="N47" i="4"/>
  <c r="F46" i="1"/>
  <c r="N45" i="1"/>
  <c r="M45" i="1"/>
  <c r="L44" i="1"/>
  <c r="N59" i="15" l="1"/>
  <c r="F60" i="15"/>
  <c r="C55" i="15"/>
  <c r="K54" i="15"/>
  <c r="Y54" i="15"/>
  <c r="U54" i="15"/>
  <c r="T54" i="15"/>
  <c r="W54" i="15"/>
  <c r="V54" i="15"/>
  <c r="X54" i="15"/>
  <c r="S54" i="15"/>
  <c r="R54" i="15"/>
  <c r="C56" i="14"/>
  <c r="K55" i="14"/>
  <c r="W55" i="14"/>
  <c r="V55" i="14"/>
  <c r="R55" i="14"/>
  <c r="U55" i="14"/>
  <c r="X55" i="14"/>
  <c r="S55" i="14"/>
  <c r="T55" i="14"/>
  <c r="Y55" i="14"/>
  <c r="N59" i="14"/>
  <c r="F60" i="14"/>
  <c r="X42" i="4"/>
  <c r="X3" i="4" s="1"/>
  <c r="T42" i="4"/>
  <c r="T3" i="4" s="1"/>
  <c r="W42" i="4"/>
  <c r="W3" i="4" s="1"/>
  <c r="R42" i="4"/>
  <c r="R3" i="4" s="1"/>
  <c r="V42" i="4"/>
  <c r="V3" i="4" s="1"/>
  <c r="U42" i="4"/>
  <c r="U3" i="4" s="1"/>
  <c r="S42" i="4"/>
  <c r="S3" i="4" s="1"/>
  <c r="Y42" i="4"/>
  <c r="Y3" i="4" s="1"/>
  <c r="F57" i="11"/>
  <c r="N56" i="11"/>
  <c r="C53" i="11"/>
  <c r="K52" i="11"/>
  <c r="W52" i="11"/>
  <c r="W4" i="11" s="1"/>
  <c r="V52" i="11"/>
  <c r="V4" i="11" s="1"/>
  <c r="R52" i="11"/>
  <c r="R4" i="11" s="1"/>
  <c r="S52" i="11"/>
  <c r="S4" i="11" s="1"/>
  <c r="U52" i="11"/>
  <c r="U4" i="11" s="1"/>
  <c r="Y52" i="11"/>
  <c r="Y4" i="11" s="1"/>
  <c r="T52" i="11"/>
  <c r="T4" i="11" s="1"/>
  <c r="X52" i="11"/>
  <c r="X4" i="11" s="1"/>
  <c r="C53" i="10"/>
  <c r="K52" i="10"/>
  <c r="T52" i="10"/>
  <c r="T4" i="10" s="1"/>
  <c r="S52" i="10"/>
  <c r="S4" i="10" s="1"/>
  <c r="Y52" i="10"/>
  <c r="Y4" i="10" s="1"/>
  <c r="U52" i="10"/>
  <c r="U4" i="10" s="1"/>
  <c r="V52" i="10"/>
  <c r="V4" i="10" s="1"/>
  <c r="R52" i="10"/>
  <c r="R4" i="10" s="1"/>
  <c r="X52" i="10"/>
  <c r="X4" i="10" s="1"/>
  <c r="W52" i="10"/>
  <c r="W4" i="10" s="1"/>
  <c r="N58" i="10"/>
  <c r="F59" i="10"/>
  <c r="N59" i="9"/>
  <c r="F60" i="9"/>
  <c r="C50" i="9"/>
  <c r="K49" i="9"/>
  <c r="R49" i="9"/>
  <c r="W49" i="9"/>
  <c r="V49" i="9"/>
  <c r="U49" i="9"/>
  <c r="T49" i="9"/>
  <c r="Y49" i="9"/>
  <c r="S49" i="9"/>
  <c r="X49" i="9"/>
  <c r="C51" i="8"/>
  <c r="K50" i="8"/>
  <c r="V50" i="8"/>
  <c r="T50" i="8"/>
  <c r="X50" i="8"/>
  <c r="Y50" i="8"/>
  <c r="R50" i="8"/>
  <c r="U50" i="8"/>
  <c r="S50" i="8"/>
  <c r="W50" i="8"/>
  <c r="N58" i="8"/>
  <c r="F59" i="8"/>
  <c r="C50" i="7"/>
  <c r="K49" i="7"/>
  <c r="T49" i="7"/>
  <c r="W49" i="7"/>
  <c r="Y49" i="7"/>
  <c r="R49" i="7"/>
  <c r="U49" i="7"/>
  <c r="V49" i="7"/>
  <c r="S49" i="7"/>
  <c r="X49" i="7"/>
  <c r="F58" i="7"/>
  <c r="N57" i="7"/>
  <c r="C38" i="1"/>
  <c r="K37" i="1"/>
  <c r="R37" i="1"/>
  <c r="S37" i="1"/>
  <c r="X37" i="1"/>
  <c r="T37" i="1"/>
  <c r="V37" i="1"/>
  <c r="Y37" i="1"/>
  <c r="W37" i="1"/>
  <c r="U37" i="1"/>
  <c r="F49" i="4"/>
  <c r="N48" i="4"/>
  <c r="K42" i="4"/>
  <c r="C43" i="4"/>
  <c r="F47" i="1"/>
  <c r="N46" i="1"/>
  <c r="M46" i="1"/>
  <c r="L45" i="1"/>
  <c r="C56" i="15" l="1"/>
  <c r="K55" i="15"/>
  <c r="Y55" i="15"/>
  <c r="T55" i="15"/>
  <c r="U55" i="15"/>
  <c r="R55" i="15"/>
  <c r="X55" i="15"/>
  <c r="S55" i="15"/>
  <c r="V55" i="15"/>
  <c r="W55" i="15"/>
  <c r="F61" i="15"/>
  <c r="N60" i="15"/>
  <c r="C57" i="14"/>
  <c r="K56" i="14"/>
  <c r="X56" i="14"/>
  <c r="S56" i="14"/>
  <c r="W56" i="14"/>
  <c r="U56" i="14"/>
  <c r="R56" i="14"/>
  <c r="T56" i="14"/>
  <c r="Y56" i="14"/>
  <c r="V56" i="14"/>
  <c r="F61" i="14"/>
  <c r="N60" i="14"/>
  <c r="X43" i="4"/>
  <c r="T43" i="4"/>
  <c r="U43" i="4"/>
  <c r="V43" i="4"/>
  <c r="S43" i="4"/>
  <c r="Y43" i="4"/>
  <c r="R43" i="4"/>
  <c r="W43" i="4"/>
  <c r="K53" i="11"/>
  <c r="C54" i="11"/>
  <c r="R53" i="11"/>
  <c r="V53" i="11"/>
  <c r="X53" i="11"/>
  <c r="U53" i="11"/>
  <c r="S53" i="11"/>
  <c r="W53" i="11"/>
  <c r="T53" i="11"/>
  <c r="Y53" i="11"/>
  <c r="F58" i="11"/>
  <c r="N57" i="11"/>
  <c r="F60" i="10"/>
  <c r="N59" i="10"/>
  <c r="K53" i="10"/>
  <c r="C54" i="10"/>
  <c r="R53" i="10"/>
  <c r="T53" i="10"/>
  <c r="V53" i="10"/>
  <c r="W53" i="10"/>
  <c r="Y53" i="10"/>
  <c r="U53" i="10"/>
  <c r="X53" i="10"/>
  <c r="S53" i="10"/>
  <c r="K50" i="9"/>
  <c r="C51" i="9"/>
  <c r="S50" i="9"/>
  <c r="U50" i="9"/>
  <c r="W50" i="9"/>
  <c r="T50" i="9"/>
  <c r="V50" i="9"/>
  <c r="Y50" i="9"/>
  <c r="X50" i="9"/>
  <c r="R50" i="9"/>
  <c r="F61" i="9"/>
  <c r="N60" i="9"/>
  <c r="N59" i="8"/>
  <c r="F60" i="8"/>
  <c r="C52" i="8"/>
  <c r="K51" i="8"/>
  <c r="S51" i="8"/>
  <c r="Y51" i="8"/>
  <c r="X51" i="8"/>
  <c r="W51" i="8"/>
  <c r="U51" i="8"/>
  <c r="T51" i="8"/>
  <c r="R51" i="8"/>
  <c r="V51" i="8"/>
  <c r="N58" i="7"/>
  <c r="F59" i="7"/>
  <c r="K50" i="7"/>
  <c r="C51" i="7"/>
  <c r="V50" i="7"/>
  <c r="W50" i="7"/>
  <c r="U50" i="7"/>
  <c r="S50" i="7"/>
  <c r="R50" i="7"/>
  <c r="T50" i="7"/>
  <c r="X50" i="7"/>
  <c r="Y50" i="7"/>
  <c r="C39" i="1"/>
  <c r="K38" i="1"/>
  <c r="T38" i="1"/>
  <c r="V38" i="1"/>
  <c r="W38" i="1"/>
  <c r="R38" i="1"/>
  <c r="X38" i="1"/>
  <c r="Y38" i="1"/>
  <c r="U38" i="1"/>
  <c r="S38" i="1"/>
  <c r="K43" i="4"/>
  <c r="C44" i="4"/>
  <c r="F50" i="4"/>
  <c r="N49" i="4"/>
  <c r="F48" i="1"/>
  <c r="N47" i="1"/>
  <c r="M47" i="1"/>
  <c r="L46" i="1"/>
  <c r="F62" i="15" l="1"/>
  <c r="N61" i="15"/>
  <c r="C57" i="15"/>
  <c r="K56" i="15"/>
  <c r="T56" i="15"/>
  <c r="W56" i="15"/>
  <c r="S56" i="15"/>
  <c r="R56" i="15"/>
  <c r="X56" i="15"/>
  <c r="V56" i="15"/>
  <c r="U56" i="15"/>
  <c r="Y56" i="15"/>
  <c r="C58" i="14"/>
  <c r="V57" i="14"/>
  <c r="K57" i="14"/>
  <c r="U57" i="14"/>
  <c r="S57" i="14"/>
  <c r="X57" i="14"/>
  <c r="R57" i="14"/>
  <c r="T57" i="14"/>
  <c r="Y57" i="14"/>
  <c r="W57" i="14"/>
  <c r="N61" i="14"/>
  <c r="F62" i="14"/>
  <c r="X44" i="4"/>
  <c r="T44" i="4"/>
  <c r="W44" i="4"/>
  <c r="R44" i="4"/>
  <c r="U44" i="4"/>
  <c r="S44" i="4"/>
  <c r="Y44" i="4"/>
  <c r="V44" i="4"/>
  <c r="F59" i="11"/>
  <c r="N58" i="11"/>
  <c r="K54" i="11"/>
  <c r="C55" i="11"/>
  <c r="Y54" i="11"/>
  <c r="T54" i="11"/>
  <c r="S54" i="11"/>
  <c r="R54" i="11"/>
  <c r="W54" i="11"/>
  <c r="V54" i="11"/>
  <c r="U54" i="11"/>
  <c r="X54" i="11"/>
  <c r="C55" i="10"/>
  <c r="K54" i="10"/>
  <c r="X54" i="10"/>
  <c r="T54" i="10"/>
  <c r="W54" i="10"/>
  <c r="Y54" i="10"/>
  <c r="S54" i="10"/>
  <c r="V54" i="10"/>
  <c r="U54" i="10"/>
  <c r="R54" i="10"/>
  <c r="N60" i="10"/>
  <c r="F61" i="10"/>
  <c r="N61" i="9"/>
  <c r="F62" i="9"/>
  <c r="C52" i="9"/>
  <c r="K51" i="9"/>
  <c r="R51" i="9"/>
  <c r="U51" i="9"/>
  <c r="V51" i="9"/>
  <c r="T51" i="9"/>
  <c r="W51" i="9"/>
  <c r="Y51" i="9"/>
  <c r="S51" i="9"/>
  <c r="X51" i="9"/>
  <c r="C53" i="8"/>
  <c r="K52" i="8"/>
  <c r="V52" i="8"/>
  <c r="V4" i="8" s="1"/>
  <c r="T52" i="8"/>
  <c r="T4" i="8" s="1"/>
  <c r="X52" i="8"/>
  <c r="X4" i="8" s="1"/>
  <c r="S52" i="8"/>
  <c r="S4" i="8" s="1"/>
  <c r="Y52" i="8"/>
  <c r="Y4" i="8" s="1"/>
  <c r="R52" i="8"/>
  <c r="R4" i="8" s="1"/>
  <c r="U52" i="8"/>
  <c r="U4" i="8" s="1"/>
  <c r="W52" i="8"/>
  <c r="W4" i="8" s="1"/>
  <c r="N60" i="8"/>
  <c r="F61" i="8"/>
  <c r="C52" i="7"/>
  <c r="K51" i="7"/>
  <c r="X51" i="7"/>
  <c r="R51" i="7"/>
  <c r="V51" i="7"/>
  <c r="Y51" i="7"/>
  <c r="T51" i="7"/>
  <c r="W51" i="7"/>
  <c r="S51" i="7"/>
  <c r="U51" i="7"/>
  <c r="F60" i="7"/>
  <c r="N59" i="7"/>
  <c r="C40" i="1"/>
  <c r="K39" i="1"/>
  <c r="X39" i="1"/>
  <c r="R39" i="1"/>
  <c r="W39" i="1"/>
  <c r="S39" i="1"/>
  <c r="U39" i="1"/>
  <c r="T39" i="1"/>
  <c r="V39" i="1"/>
  <c r="Y39" i="1"/>
  <c r="F51" i="4"/>
  <c r="N50" i="4"/>
  <c r="K44" i="4"/>
  <c r="C45" i="4"/>
  <c r="F49" i="1"/>
  <c r="N48" i="1"/>
  <c r="M48" i="1"/>
  <c r="L47" i="1"/>
  <c r="K57" i="15" l="1"/>
  <c r="U57" i="15"/>
  <c r="C58" i="15"/>
  <c r="V57" i="15"/>
  <c r="T57" i="15"/>
  <c r="X57" i="15"/>
  <c r="R57" i="15"/>
  <c r="W57" i="15"/>
  <c r="S57" i="15"/>
  <c r="Y57" i="15"/>
  <c r="F63" i="15"/>
  <c r="N62" i="15"/>
  <c r="C59" i="14"/>
  <c r="K58" i="14"/>
  <c r="S58" i="14"/>
  <c r="W58" i="14"/>
  <c r="X58" i="14"/>
  <c r="V58" i="14"/>
  <c r="Y58" i="14"/>
  <c r="T58" i="14"/>
  <c r="U58" i="14"/>
  <c r="R58" i="14"/>
  <c r="F63" i="14"/>
  <c r="N62" i="14"/>
  <c r="X45" i="4"/>
  <c r="T45" i="4"/>
  <c r="U45" i="4"/>
  <c r="S45" i="4"/>
  <c r="Y45" i="4"/>
  <c r="R45" i="4"/>
  <c r="W45" i="4"/>
  <c r="V45" i="4"/>
  <c r="K55" i="11"/>
  <c r="C56" i="11"/>
  <c r="X55" i="11"/>
  <c r="V55" i="11"/>
  <c r="R55" i="11"/>
  <c r="T55" i="11"/>
  <c r="S55" i="11"/>
  <c r="W55" i="11"/>
  <c r="U55" i="11"/>
  <c r="Y55" i="11"/>
  <c r="F60" i="11"/>
  <c r="N59" i="11"/>
  <c r="F62" i="10"/>
  <c r="N61" i="10"/>
  <c r="K55" i="10"/>
  <c r="C56" i="10"/>
  <c r="S55" i="10"/>
  <c r="X55" i="10"/>
  <c r="V55" i="10"/>
  <c r="Y55" i="10"/>
  <c r="T55" i="10"/>
  <c r="W55" i="10"/>
  <c r="R55" i="10"/>
  <c r="U55" i="10"/>
  <c r="K52" i="9"/>
  <c r="C53" i="9"/>
  <c r="X52" i="9"/>
  <c r="X4" i="9" s="1"/>
  <c r="S52" i="9"/>
  <c r="S4" i="9" s="1"/>
  <c r="R52" i="9"/>
  <c r="R4" i="9" s="1"/>
  <c r="T52" i="9"/>
  <c r="T4" i="9" s="1"/>
  <c r="U52" i="9"/>
  <c r="U4" i="9" s="1"/>
  <c r="V52" i="9"/>
  <c r="V4" i="9" s="1"/>
  <c r="W52" i="9"/>
  <c r="W4" i="9" s="1"/>
  <c r="Y52" i="9"/>
  <c r="Y4" i="9" s="1"/>
  <c r="F63" i="9"/>
  <c r="N62" i="9"/>
  <c r="N61" i="8"/>
  <c r="F62" i="8"/>
  <c r="K53" i="8"/>
  <c r="C54" i="8"/>
  <c r="X53" i="8"/>
  <c r="R53" i="8"/>
  <c r="U53" i="8"/>
  <c r="V53" i="8"/>
  <c r="T53" i="8"/>
  <c r="Y53" i="8"/>
  <c r="W53" i="8"/>
  <c r="S53" i="8"/>
  <c r="N60" i="7"/>
  <c r="F61" i="7"/>
  <c r="K52" i="7"/>
  <c r="C53" i="7"/>
  <c r="R52" i="7"/>
  <c r="R4" i="7" s="1"/>
  <c r="U52" i="7"/>
  <c r="U4" i="7" s="1"/>
  <c r="Y52" i="7"/>
  <c r="Y4" i="7" s="1"/>
  <c r="X52" i="7"/>
  <c r="X4" i="7" s="1"/>
  <c r="S52" i="7"/>
  <c r="S4" i="7" s="1"/>
  <c r="T52" i="7"/>
  <c r="T4" i="7" s="1"/>
  <c r="V52" i="7"/>
  <c r="V4" i="7" s="1"/>
  <c r="W52" i="7"/>
  <c r="W4" i="7" s="1"/>
  <c r="C41" i="1"/>
  <c r="K40" i="1"/>
  <c r="V40" i="1"/>
  <c r="R40" i="1"/>
  <c r="U40" i="1"/>
  <c r="S40" i="1"/>
  <c r="X40" i="1"/>
  <c r="T40" i="1"/>
  <c r="Y40" i="1"/>
  <c r="W40" i="1"/>
  <c r="F52" i="4"/>
  <c r="N51" i="4"/>
  <c r="K45" i="4"/>
  <c r="C46" i="4"/>
  <c r="F50" i="1"/>
  <c r="N49" i="1"/>
  <c r="M49" i="1"/>
  <c r="L48" i="1"/>
  <c r="F64" i="15" l="1"/>
  <c r="N63" i="15"/>
  <c r="C59" i="15"/>
  <c r="K58" i="15"/>
  <c r="S58" i="15"/>
  <c r="X58" i="15"/>
  <c r="V58" i="15"/>
  <c r="Y58" i="15"/>
  <c r="R58" i="15"/>
  <c r="U58" i="15"/>
  <c r="W58" i="15"/>
  <c r="T58" i="15"/>
  <c r="U59" i="14"/>
  <c r="R59" i="14"/>
  <c r="C60" i="14"/>
  <c r="K59" i="14"/>
  <c r="T59" i="14"/>
  <c r="V59" i="14"/>
  <c r="W59" i="14"/>
  <c r="S59" i="14"/>
  <c r="Y59" i="14"/>
  <c r="X59" i="14"/>
  <c r="N63" i="14"/>
  <c r="F64" i="14"/>
  <c r="X46" i="4"/>
  <c r="T46" i="4"/>
  <c r="W46" i="4"/>
  <c r="R46" i="4"/>
  <c r="S46" i="4"/>
  <c r="Y46" i="4"/>
  <c r="V46" i="4"/>
  <c r="U46" i="4"/>
  <c r="F61" i="11"/>
  <c r="N60" i="11"/>
  <c r="K56" i="11"/>
  <c r="C57" i="11"/>
  <c r="V56" i="11"/>
  <c r="R56" i="11"/>
  <c r="S56" i="11"/>
  <c r="T56" i="11"/>
  <c r="W56" i="11"/>
  <c r="U56" i="11"/>
  <c r="Y56" i="11"/>
  <c r="X56" i="11"/>
  <c r="C57" i="10"/>
  <c r="K56" i="10"/>
  <c r="S56" i="10"/>
  <c r="T56" i="10"/>
  <c r="Y56" i="10"/>
  <c r="R56" i="10"/>
  <c r="W56" i="10"/>
  <c r="X56" i="10"/>
  <c r="U56" i="10"/>
  <c r="V56" i="10"/>
  <c r="F63" i="10"/>
  <c r="N62" i="10"/>
  <c r="N63" i="9"/>
  <c r="F64" i="9"/>
  <c r="C54" i="9"/>
  <c r="K53" i="9"/>
  <c r="V53" i="9"/>
  <c r="X53" i="9"/>
  <c r="R53" i="9"/>
  <c r="T53" i="9"/>
  <c r="W53" i="9"/>
  <c r="Y53" i="9"/>
  <c r="S53" i="9"/>
  <c r="U53" i="9"/>
  <c r="C55" i="8"/>
  <c r="K54" i="8"/>
  <c r="V54" i="8"/>
  <c r="W54" i="8"/>
  <c r="U54" i="8"/>
  <c r="Y54" i="8"/>
  <c r="X54" i="8"/>
  <c r="R54" i="8"/>
  <c r="S54" i="8"/>
  <c r="T54" i="8"/>
  <c r="N62" i="8"/>
  <c r="F63" i="8"/>
  <c r="C54" i="7"/>
  <c r="K53" i="7"/>
  <c r="X53" i="7"/>
  <c r="Y53" i="7"/>
  <c r="W53" i="7"/>
  <c r="V53" i="7"/>
  <c r="R53" i="7"/>
  <c r="T53" i="7"/>
  <c r="S53" i="7"/>
  <c r="U53" i="7"/>
  <c r="F62" i="7"/>
  <c r="N61" i="7"/>
  <c r="C42" i="1"/>
  <c r="K41" i="1"/>
  <c r="X41" i="1"/>
  <c r="U41" i="1"/>
  <c r="V41" i="1"/>
  <c r="T41" i="1"/>
  <c r="R41" i="1"/>
  <c r="W41" i="1"/>
  <c r="Y41" i="1"/>
  <c r="S41" i="1"/>
  <c r="K46" i="4"/>
  <c r="C47" i="4"/>
  <c r="F53" i="4"/>
  <c r="N52" i="4"/>
  <c r="F51" i="1"/>
  <c r="N50" i="1"/>
  <c r="M50" i="1"/>
  <c r="L49" i="1"/>
  <c r="K59" i="15" l="1"/>
  <c r="V59" i="15"/>
  <c r="U59" i="15"/>
  <c r="S59" i="15"/>
  <c r="C60" i="15"/>
  <c r="Y59" i="15"/>
  <c r="X59" i="15"/>
  <c r="R59" i="15"/>
  <c r="W59" i="15"/>
  <c r="T59" i="15"/>
  <c r="F65" i="15"/>
  <c r="N64" i="15"/>
  <c r="F65" i="14"/>
  <c r="N64" i="14"/>
  <c r="C61" i="14"/>
  <c r="K60" i="14"/>
  <c r="W60" i="14"/>
  <c r="T60" i="14"/>
  <c r="U60" i="14"/>
  <c r="R60" i="14"/>
  <c r="S60" i="14"/>
  <c r="Y60" i="14"/>
  <c r="V60" i="14"/>
  <c r="X60" i="14"/>
  <c r="X47" i="4"/>
  <c r="T47" i="4"/>
  <c r="U47" i="4"/>
  <c r="Y47" i="4"/>
  <c r="R47" i="4"/>
  <c r="W47" i="4"/>
  <c r="V47" i="4"/>
  <c r="S47" i="4"/>
  <c r="K57" i="11"/>
  <c r="C58" i="11"/>
  <c r="R57" i="11"/>
  <c r="S57" i="11"/>
  <c r="X57" i="11"/>
  <c r="V57" i="11"/>
  <c r="T57" i="11"/>
  <c r="U57" i="11"/>
  <c r="W57" i="11"/>
  <c r="Y57" i="11"/>
  <c r="F62" i="11"/>
  <c r="N61" i="11"/>
  <c r="F64" i="10"/>
  <c r="N63" i="10"/>
  <c r="K57" i="10"/>
  <c r="C58" i="10"/>
  <c r="X57" i="10"/>
  <c r="S57" i="10"/>
  <c r="U57" i="10"/>
  <c r="V57" i="10"/>
  <c r="W57" i="10"/>
  <c r="Y57" i="10"/>
  <c r="T57" i="10"/>
  <c r="R57" i="10"/>
  <c r="K54" i="9"/>
  <c r="C55" i="9"/>
  <c r="V54" i="9"/>
  <c r="Y54" i="9"/>
  <c r="R54" i="9"/>
  <c r="T54" i="9"/>
  <c r="S54" i="9"/>
  <c r="X54" i="9"/>
  <c r="U54" i="9"/>
  <c r="W54" i="9"/>
  <c r="F65" i="9"/>
  <c r="N64" i="9"/>
  <c r="N63" i="8"/>
  <c r="F64" i="8"/>
  <c r="K55" i="8"/>
  <c r="C56" i="8"/>
  <c r="W55" i="8"/>
  <c r="R55" i="8"/>
  <c r="U55" i="8"/>
  <c r="T55" i="8"/>
  <c r="V55" i="8"/>
  <c r="X55" i="8"/>
  <c r="S55" i="8"/>
  <c r="Y55" i="8"/>
  <c r="N62" i="7"/>
  <c r="F63" i="7"/>
  <c r="K54" i="7"/>
  <c r="C55" i="7"/>
  <c r="T54" i="7"/>
  <c r="V54" i="7"/>
  <c r="Y54" i="7"/>
  <c r="X54" i="7"/>
  <c r="R54" i="7"/>
  <c r="S54" i="7"/>
  <c r="W54" i="7"/>
  <c r="U54" i="7"/>
  <c r="C43" i="1"/>
  <c r="K42" i="1"/>
  <c r="T42" i="1"/>
  <c r="T3" i="1" s="1"/>
  <c r="V42" i="1"/>
  <c r="V3" i="1" s="1"/>
  <c r="R42" i="1"/>
  <c r="R3" i="1" s="1"/>
  <c r="W42" i="1"/>
  <c r="W3" i="1" s="1"/>
  <c r="U42" i="1"/>
  <c r="U3" i="1" s="1"/>
  <c r="S42" i="1"/>
  <c r="S3" i="1" s="1"/>
  <c r="Y42" i="1"/>
  <c r="Y3" i="1" s="1"/>
  <c r="X42" i="1"/>
  <c r="X3" i="1" s="1"/>
  <c r="K47" i="4"/>
  <c r="C48" i="4"/>
  <c r="F54" i="4"/>
  <c r="N53" i="4"/>
  <c r="F52" i="1"/>
  <c r="N51" i="1"/>
  <c r="M51" i="1"/>
  <c r="L50" i="1"/>
  <c r="F66" i="15" l="1"/>
  <c r="N65" i="15"/>
  <c r="C61" i="15"/>
  <c r="K60" i="15"/>
  <c r="R60" i="15"/>
  <c r="T60" i="15"/>
  <c r="S60" i="15"/>
  <c r="V60" i="15"/>
  <c r="W60" i="15"/>
  <c r="U60" i="15"/>
  <c r="Y60" i="15"/>
  <c r="X60" i="15"/>
  <c r="N65" i="14"/>
  <c r="F66" i="14"/>
  <c r="U61" i="14"/>
  <c r="K61" i="14"/>
  <c r="R61" i="14"/>
  <c r="C62" i="14"/>
  <c r="Y61" i="14"/>
  <c r="T61" i="14"/>
  <c r="V61" i="14"/>
  <c r="W61" i="14"/>
  <c r="S61" i="14"/>
  <c r="X61" i="14"/>
  <c r="X48" i="4"/>
  <c r="T48" i="4"/>
  <c r="W48" i="4"/>
  <c r="R48" i="4"/>
  <c r="Y48" i="4"/>
  <c r="V48" i="4"/>
  <c r="U48" i="4"/>
  <c r="S48" i="4"/>
  <c r="F63" i="11"/>
  <c r="N62" i="11"/>
  <c r="K58" i="11"/>
  <c r="C59" i="11"/>
  <c r="S58" i="11"/>
  <c r="X58" i="11"/>
  <c r="W58" i="11"/>
  <c r="Y58" i="11"/>
  <c r="R58" i="11"/>
  <c r="U58" i="11"/>
  <c r="T58" i="11"/>
  <c r="V58" i="11"/>
  <c r="C59" i="10"/>
  <c r="K58" i="10"/>
  <c r="S58" i="10"/>
  <c r="X58" i="10"/>
  <c r="Y58" i="10"/>
  <c r="T58" i="10"/>
  <c r="W58" i="10"/>
  <c r="R58" i="10"/>
  <c r="U58" i="10"/>
  <c r="V58" i="10"/>
  <c r="F65" i="10"/>
  <c r="N64" i="10"/>
  <c r="N65" i="9"/>
  <c r="F66" i="9"/>
  <c r="K55" i="9"/>
  <c r="C56" i="9"/>
  <c r="V55" i="9"/>
  <c r="S55" i="9"/>
  <c r="R55" i="9"/>
  <c r="X55" i="9"/>
  <c r="T55" i="9"/>
  <c r="W55" i="9"/>
  <c r="Y55" i="9"/>
  <c r="U55" i="9"/>
  <c r="C57" i="8"/>
  <c r="K56" i="8"/>
  <c r="W56" i="8"/>
  <c r="X56" i="8"/>
  <c r="T56" i="8"/>
  <c r="R56" i="8"/>
  <c r="U56" i="8"/>
  <c r="Y56" i="8"/>
  <c r="S56" i="8"/>
  <c r="V56" i="8"/>
  <c r="N64" i="8"/>
  <c r="F65" i="8"/>
  <c r="C56" i="7"/>
  <c r="K55" i="7"/>
  <c r="S55" i="7"/>
  <c r="X55" i="7"/>
  <c r="V55" i="7"/>
  <c r="Y55" i="7"/>
  <c r="U55" i="7"/>
  <c r="W55" i="7"/>
  <c r="T55" i="7"/>
  <c r="R55" i="7"/>
  <c r="F64" i="7"/>
  <c r="N63" i="7"/>
  <c r="C44" i="1"/>
  <c r="K43" i="1"/>
  <c r="S43" i="1"/>
  <c r="V43" i="1"/>
  <c r="X43" i="1"/>
  <c r="R43" i="1"/>
  <c r="W43" i="1"/>
  <c r="U43" i="1"/>
  <c r="T43" i="1"/>
  <c r="Y43" i="1"/>
  <c r="F55" i="4"/>
  <c r="N54" i="4"/>
  <c r="K48" i="4"/>
  <c r="C49" i="4"/>
  <c r="F53" i="1"/>
  <c r="N52" i="1"/>
  <c r="M52" i="1"/>
  <c r="L51" i="1"/>
  <c r="U61" i="15" l="1"/>
  <c r="C62" i="15"/>
  <c r="K61" i="15"/>
  <c r="T61" i="15"/>
  <c r="S61" i="15"/>
  <c r="X61" i="15"/>
  <c r="W61" i="15"/>
  <c r="V61" i="15"/>
  <c r="Y61" i="15"/>
  <c r="R61" i="15"/>
  <c r="F67" i="15"/>
  <c r="N66" i="15"/>
  <c r="C63" i="14"/>
  <c r="K62" i="14"/>
  <c r="T62" i="14"/>
  <c r="T5" i="14" s="1"/>
  <c r="S62" i="14"/>
  <c r="S5" i="14" s="1"/>
  <c r="Y62" i="14"/>
  <c r="Y5" i="14" s="1"/>
  <c r="X62" i="14"/>
  <c r="X5" i="14" s="1"/>
  <c r="V62" i="14"/>
  <c r="V5" i="14" s="1"/>
  <c r="W62" i="14"/>
  <c r="W5" i="14" s="1"/>
  <c r="U62" i="14"/>
  <c r="U5" i="14" s="1"/>
  <c r="R62" i="14"/>
  <c r="R5" i="14" s="1"/>
  <c r="F67" i="14"/>
  <c r="N66" i="14"/>
  <c r="X49" i="4"/>
  <c r="T49" i="4"/>
  <c r="U49" i="4"/>
  <c r="W49" i="4"/>
  <c r="V49" i="4"/>
  <c r="S49" i="4"/>
  <c r="Y49" i="4"/>
  <c r="R49" i="4"/>
  <c r="K59" i="11"/>
  <c r="C60" i="11"/>
  <c r="X59" i="11"/>
  <c r="R59" i="11"/>
  <c r="Y59" i="11"/>
  <c r="U59" i="11"/>
  <c r="W59" i="11"/>
  <c r="T59" i="11"/>
  <c r="V59" i="11"/>
  <c r="S59" i="11"/>
  <c r="F64" i="11"/>
  <c r="N63" i="11"/>
  <c r="F66" i="10"/>
  <c r="N65" i="10"/>
  <c r="K59" i="10"/>
  <c r="C60" i="10"/>
  <c r="U59" i="10"/>
  <c r="T59" i="10"/>
  <c r="S59" i="10"/>
  <c r="V59" i="10"/>
  <c r="Y59" i="10"/>
  <c r="R59" i="10"/>
  <c r="W59" i="10"/>
  <c r="X59" i="10"/>
  <c r="F67" i="9"/>
  <c r="N66" i="9"/>
  <c r="K56" i="9"/>
  <c r="C57" i="9"/>
  <c r="V56" i="9"/>
  <c r="R56" i="9"/>
  <c r="U56" i="9"/>
  <c r="T56" i="9"/>
  <c r="W56" i="9"/>
  <c r="S56" i="9"/>
  <c r="Y56" i="9"/>
  <c r="X56" i="9"/>
  <c r="N65" i="8"/>
  <c r="F66" i="8"/>
  <c r="C58" i="8"/>
  <c r="K57" i="8"/>
  <c r="R57" i="8"/>
  <c r="W57" i="8"/>
  <c r="V57" i="8"/>
  <c r="S57" i="8"/>
  <c r="Y57" i="8"/>
  <c r="X57" i="8"/>
  <c r="U57" i="8"/>
  <c r="T57" i="8"/>
  <c r="N64" i="7"/>
  <c r="F65" i="7"/>
  <c r="K56" i="7"/>
  <c r="C57" i="7"/>
  <c r="S56" i="7"/>
  <c r="W56" i="7"/>
  <c r="R56" i="7"/>
  <c r="T56" i="7"/>
  <c r="Y56" i="7"/>
  <c r="U56" i="7"/>
  <c r="V56" i="7"/>
  <c r="X56" i="7"/>
  <c r="C45" i="1"/>
  <c r="K44" i="1"/>
  <c r="W44" i="1"/>
  <c r="U44" i="1"/>
  <c r="X44" i="1"/>
  <c r="T44" i="1"/>
  <c r="V44" i="1"/>
  <c r="R44" i="1"/>
  <c r="S44" i="1"/>
  <c r="Y44" i="1"/>
  <c r="F56" i="4"/>
  <c r="N55" i="4"/>
  <c r="K49" i="4"/>
  <c r="C50" i="4"/>
  <c r="F54" i="1"/>
  <c r="N53" i="1"/>
  <c r="M53" i="1"/>
  <c r="L52" i="1"/>
  <c r="N67" i="15" l="1"/>
  <c r="F68" i="15"/>
  <c r="K62" i="15"/>
  <c r="C63" i="15"/>
  <c r="T62" i="15"/>
  <c r="T5" i="15" s="1"/>
  <c r="S62" i="15"/>
  <c r="S5" i="15" s="1"/>
  <c r="U62" i="15"/>
  <c r="U5" i="15" s="1"/>
  <c r="V62" i="15"/>
  <c r="V5" i="15" s="1"/>
  <c r="R62" i="15"/>
  <c r="R5" i="15" s="1"/>
  <c r="X62" i="15"/>
  <c r="X5" i="15" s="1"/>
  <c r="Y62" i="15"/>
  <c r="Y5" i="15" s="1"/>
  <c r="W62" i="15"/>
  <c r="W5" i="15" s="1"/>
  <c r="K63" i="14"/>
  <c r="C64" i="14"/>
  <c r="X63" i="14"/>
  <c r="U63" i="14"/>
  <c r="V63" i="14"/>
  <c r="T63" i="14"/>
  <c r="R63" i="14"/>
  <c r="Y63" i="14"/>
  <c r="W63" i="14"/>
  <c r="S63" i="14"/>
  <c r="N67" i="14"/>
  <c r="F68" i="14"/>
  <c r="X50" i="4"/>
  <c r="T50" i="4"/>
  <c r="W50" i="4"/>
  <c r="R50" i="4"/>
  <c r="V50" i="4"/>
  <c r="U50" i="4"/>
  <c r="S50" i="4"/>
  <c r="Y50" i="4"/>
  <c r="F65" i="11"/>
  <c r="N64" i="11"/>
  <c r="K60" i="11"/>
  <c r="C61" i="11"/>
  <c r="U60" i="11"/>
  <c r="Y60" i="11"/>
  <c r="W60" i="11"/>
  <c r="V60" i="11"/>
  <c r="X60" i="11"/>
  <c r="R60" i="11"/>
  <c r="T60" i="11"/>
  <c r="S60" i="11"/>
  <c r="C61" i="10"/>
  <c r="K60" i="10"/>
  <c r="V60" i="10"/>
  <c r="W60" i="10"/>
  <c r="X60" i="10"/>
  <c r="R60" i="10"/>
  <c r="T60" i="10"/>
  <c r="S60" i="10"/>
  <c r="U60" i="10"/>
  <c r="Y60" i="10"/>
  <c r="F67" i="10"/>
  <c r="N66" i="10"/>
  <c r="K57" i="9"/>
  <c r="C58" i="9"/>
  <c r="R57" i="9"/>
  <c r="X57" i="9"/>
  <c r="U57" i="9"/>
  <c r="S57" i="9"/>
  <c r="V57" i="9"/>
  <c r="W57" i="9"/>
  <c r="T57" i="9"/>
  <c r="Y57" i="9"/>
  <c r="F68" i="9"/>
  <c r="N67" i="9"/>
  <c r="C59" i="8"/>
  <c r="K58" i="8"/>
  <c r="V58" i="8"/>
  <c r="Y58" i="8"/>
  <c r="W58" i="8"/>
  <c r="T58" i="8"/>
  <c r="X58" i="8"/>
  <c r="R58" i="8"/>
  <c r="U58" i="8"/>
  <c r="S58" i="8"/>
  <c r="N66" i="8"/>
  <c r="F67" i="8"/>
  <c r="C58" i="7"/>
  <c r="K57" i="7"/>
  <c r="T57" i="7"/>
  <c r="W57" i="7"/>
  <c r="R57" i="7"/>
  <c r="U57" i="7"/>
  <c r="Y57" i="7"/>
  <c r="S57" i="7"/>
  <c r="X57" i="7"/>
  <c r="V57" i="7"/>
  <c r="F66" i="7"/>
  <c r="N65" i="7"/>
  <c r="C46" i="1"/>
  <c r="K45" i="1"/>
  <c r="S45" i="1"/>
  <c r="V45" i="1"/>
  <c r="W45" i="1"/>
  <c r="X45" i="1"/>
  <c r="R45" i="1"/>
  <c r="Y45" i="1"/>
  <c r="U45" i="1"/>
  <c r="T45" i="1"/>
  <c r="F57" i="4"/>
  <c r="N56" i="4"/>
  <c r="K50" i="4"/>
  <c r="C51" i="4"/>
  <c r="F55" i="1"/>
  <c r="N54" i="1"/>
  <c r="M54" i="1"/>
  <c r="L53" i="1"/>
  <c r="C64" i="15" l="1"/>
  <c r="K63" i="15"/>
  <c r="U63" i="15"/>
  <c r="Y63" i="15"/>
  <c r="X63" i="15"/>
  <c r="V63" i="15"/>
  <c r="T63" i="15"/>
  <c r="W63" i="15"/>
  <c r="R63" i="15"/>
  <c r="S63" i="15"/>
  <c r="F69" i="15"/>
  <c r="N68" i="15"/>
  <c r="F69" i="14"/>
  <c r="N68" i="14"/>
  <c r="C65" i="14"/>
  <c r="K64" i="14"/>
  <c r="X64" i="14"/>
  <c r="S64" i="14"/>
  <c r="V64" i="14"/>
  <c r="U64" i="14"/>
  <c r="R64" i="14"/>
  <c r="T64" i="14"/>
  <c r="W64" i="14"/>
  <c r="Y64" i="14"/>
  <c r="X51" i="4"/>
  <c r="T51" i="4"/>
  <c r="U51" i="4"/>
  <c r="V51" i="4"/>
  <c r="S51" i="4"/>
  <c r="Y51" i="4"/>
  <c r="R51" i="4"/>
  <c r="W51" i="4"/>
  <c r="K61" i="11"/>
  <c r="C62" i="11"/>
  <c r="R61" i="11"/>
  <c r="W61" i="11"/>
  <c r="X61" i="11"/>
  <c r="T61" i="11"/>
  <c r="V61" i="11"/>
  <c r="S61" i="11"/>
  <c r="Y61" i="11"/>
  <c r="U61" i="11"/>
  <c r="F66" i="11"/>
  <c r="N65" i="11"/>
  <c r="N67" i="10"/>
  <c r="F68" i="10"/>
  <c r="K61" i="10"/>
  <c r="C62" i="10"/>
  <c r="X61" i="10"/>
  <c r="U61" i="10"/>
  <c r="S61" i="10"/>
  <c r="W61" i="10"/>
  <c r="T61" i="10"/>
  <c r="Y61" i="10"/>
  <c r="R61" i="10"/>
  <c r="V61" i="10"/>
  <c r="F69" i="9"/>
  <c r="N68" i="9"/>
  <c r="K58" i="9"/>
  <c r="C59" i="9"/>
  <c r="S58" i="9"/>
  <c r="Y58" i="9"/>
  <c r="W58" i="9"/>
  <c r="X58" i="9"/>
  <c r="U58" i="9"/>
  <c r="R58" i="9"/>
  <c r="V58" i="9"/>
  <c r="T58" i="9"/>
  <c r="N67" i="8"/>
  <c r="F68" i="8"/>
  <c r="K59" i="8"/>
  <c r="C60" i="8"/>
  <c r="V59" i="8"/>
  <c r="Y59" i="8"/>
  <c r="X59" i="8"/>
  <c r="R59" i="8"/>
  <c r="U59" i="8"/>
  <c r="T59" i="8"/>
  <c r="W59" i="8"/>
  <c r="S59" i="8"/>
  <c r="N66" i="7"/>
  <c r="F67" i="7"/>
  <c r="K58" i="7"/>
  <c r="C59" i="7"/>
  <c r="U58" i="7"/>
  <c r="W58" i="7"/>
  <c r="T58" i="7"/>
  <c r="S58" i="7"/>
  <c r="R58" i="7"/>
  <c r="Y58" i="7"/>
  <c r="X58" i="7"/>
  <c r="V58" i="7"/>
  <c r="C47" i="1"/>
  <c r="K46" i="1"/>
  <c r="T46" i="1"/>
  <c r="V46" i="1"/>
  <c r="X46" i="1"/>
  <c r="U46" i="1"/>
  <c r="S46" i="1"/>
  <c r="Y46" i="1"/>
  <c r="R46" i="1"/>
  <c r="W46" i="1"/>
  <c r="F58" i="4"/>
  <c r="N57" i="4"/>
  <c r="K51" i="4"/>
  <c r="C52" i="4"/>
  <c r="F56" i="1"/>
  <c r="N55" i="1"/>
  <c r="M55" i="1"/>
  <c r="L54" i="1"/>
  <c r="N69" i="15" l="1"/>
  <c r="F70" i="15"/>
  <c r="K64" i="15"/>
  <c r="C65" i="15"/>
  <c r="R64" i="15"/>
  <c r="X64" i="15"/>
  <c r="T64" i="15"/>
  <c r="Y64" i="15"/>
  <c r="W64" i="15"/>
  <c r="V64" i="15"/>
  <c r="S64" i="15"/>
  <c r="U64" i="15"/>
  <c r="N69" i="14"/>
  <c r="F70" i="14"/>
  <c r="C66" i="14"/>
  <c r="K65" i="14"/>
  <c r="S65" i="14"/>
  <c r="U65" i="14"/>
  <c r="X65" i="14"/>
  <c r="R65" i="14"/>
  <c r="T65" i="14"/>
  <c r="Y65" i="14"/>
  <c r="W65" i="14"/>
  <c r="V65" i="14"/>
  <c r="X52" i="4"/>
  <c r="X4" i="4" s="1"/>
  <c r="T52" i="4"/>
  <c r="T4" i="4" s="1"/>
  <c r="W52" i="4"/>
  <c r="W4" i="4" s="1"/>
  <c r="R52" i="4"/>
  <c r="R4" i="4" s="1"/>
  <c r="V52" i="4"/>
  <c r="V4" i="4" s="1"/>
  <c r="U52" i="4"/>
  <c r="U4" i="4" s="1"/>
  <c r="S52" i="4"/>
  <c r="S4" i="4" s="1"/>
  <c r="Y52" i="4"/>
  <c r="Y4" i="4" s="1"/>
  <c r="F67" i="11"/>
  <c r="N66" i="11"/>
  <c r="K62" i="11"/>
  <c r="C63" i="11"/>
  <c r="X62" i="11"/>
  <c r="X5" i="11" s="1"/>
  <c r="S62" i="11"/>
  <c r="S5" i="11" s="1"/>
  <c r="W62" i="11"/>
  <c r="W5" i="11" s="1"/>
  <c r="U62" i="11"/>
  <c r="U5" i="11" s="1"/>
  <c r="V62" i="11"/>
  <c r="V5" i="11" s="1"/>
  <c r="Y62" i="11"/>
  <c r="Y5" i="11" s="1"/>
  <c r="T62" i="11"/>
  <c r="T5" i="11" s="1"/>
  <c r="R62" i="11"/>
  <c r="R5" i="11" s="1"/>
  <c r="C63" i="10"/>
  <c r="K62" i="10"/>
  <c r="T62" i="10"/>
  <c r="T5" i="10" s="1"/>
  <c r="R62" i="10"/>
  <c r="R5" i="10" s="1"/>
  <c r="S62" i="10"/>
  <c r="S5" i="10" s="1"/>
  <c r="V62" i="10"/>
  <c r="V5" i="10" s="1"/>
  <c r="Y62" i="10"/>
  <c r="Y5" i="10" s="1"/>
  <c r="W62" i="10"/>
  <c r="W5" i="10" s="1"/>
  <c r="X62" i="10"/>
  <c r="X5" i="10" s="1"/>
  <c r="U62" i="10"/>
  <c r="U5" i="10" s="1"/>
  <c r="F69" i="10"/>
  <c r="N68" i="10"/>
  <c r="N69" i="9"/>
  <c r="F70" i="9"/>
  <c r="K59" i="9"/>
  <c r="C60" i="9"/>
  <c r="Y59" i="9"/>
  <c r="X59" i="9"/>
  <c r="V59" i="9"/>
  <c r="R59" i="9"/>
  <c r="T59" i="9"/>
  <c r="W59" i="9"/>
  <c r="S59" i="9"/>
  <c r="U59" i="9"/>
  <c r="C61" i="8"/>
  <c r="K60" i="8"/>
  <c r="V60" i="8"/>
  <c r="Y60" i="8"/>
  <c r="T60" i="8"/>
  <c r="X60" i="8"/>
  <c r="W60" i="8"/>
  <c r="S60" i="8"/>
  <c r="U60" i="8"/>
  <c r="R60" i="8"/>
  <c r="F69" i="8"/>
  <c r="N68" i="8"/>
  <c r="C60" i="7"/>
  <c r="K59" i="7"/>
  <c r="U59" i="7"/>
  <c r="R59" i="7"/>
  <c r="X59" i="7"/>
  <c r="Y59" i="7"/>
  <c r="V59" i="7"/>
  <c r="S59" i="7"/>
  <c r="T59" i="7"/>
  <c r="W59" i="7"/>
  <c r="F68" i="7"/>
  <c r="N67" i="7"/>
  <c r="C48" i="1"/>
  <c r="K47" i="1"/>
  <c r="S47" i="1"/>
  <c r="V47" i="1"/>
  <c r="X47" i="1"/>
  <c r="R47" i="1"/>
  <c r="W47" i="1"/>
  <c r="U47" i="1"/>
  <c r="T47" i="1"/>
  <c r="Y47" i="1"/>
  <c r="F59" i="4"/>
  <c r="N58" i="4"/>
  <c r="K52" i="4"/>
  <c r="C53" i="4"/>
  <c r="F57" i="1"/>
  <c r="N56" i="1"/>
  <c r="M56" i="1"/>
  <c r="L55" i="1"/>
  <c r="C66" i="15" l="1"/>
  <c r="K65" i="15"/>
  <c r="V65" i="15"/>
  <c r="W65" i="15"/>
  <c r="S65" i="15"/>
  <c r="T65" i="15"/>
  <c r="Y65" i="15"/>
  <c r="U65" i="15"/>
  <c r="R65" i="15"/>
  <c r="X65" i="15"/>
  <c r="F71" i="15"/>
  <c r="N70" i="15"/>
  <c r="C67" i="14"/>
  <c r="K66" i="14"/>
  <c r="S66" i="14"/>
  <c r="W66" i="14"/>
  <c r="X66" i="14"/>
  <c r="Y66" i="14"/>
  <c r="V66" i="14"/>
  <c r="T66" i="14"/>
  <c r="U66" i="14"/>
  <c r="R66" i="14"/>
  <c r="F71" i="14"/>
  <c r="N70" i="14"/>
  <c r="X53" i="4"/>
  <c r="T53" i="4"/>
  <c r="U53" i="4"/>
  <c r="Y53" i="4"/>
  <c r="S53" i="4"/>
  <c r="W53" i="4"/>
  <c r="V53" i="4"/>
  <c r="R53" i="4"/>
  <c r="K63" i="11"/>
  <c r="C64" i="11"/>
  <c r="R63" i="11"/>
  <c r="W63" i="11"/>
  <c r="X63" i="11"/>
  <c r="Y63" i="11"/>
  <c r="V63" i="11"/>
  <c r="S63" i="11"/>
  <c r="T63" i="11"/>
  <c r="U63" i="11"/>
  <c r="F68" i="11"/>
  <c r="N67" i="11"/>
  <c r="N69" i="10"/>
  <c r="F70" i="10"/>
  <c r="K63" i="10"/>
  <c r="C64" i="10"/>
  <c r="U63" i="10"/>
  <c r="W63" i="10"/>
  <c r="S63" i="10"/>
  <c r="X63" i="10"/>
  <c r="R63" i="10"/>
  <c r="Y63" i="10"/>
  <c r="V63" i="10"/>
  <c r="T63" i="10"/>
  <c r="K60" i="9"/>
  <c r="C61" i="9"/>
  <c r="R60" i="9"/>
  <c r="U60" i="9"/>
  <c r="T60" i="9"/>
  <c r="V60" i="9"/>
  <c r="Y60" i="9"/>
  <c r="W60" i="9"/>
  <c r="X60" i="9"/>
  <c r="S60" i="9"/>
  <c r="F71" i="9"/>
  <c r="N70" i="9"/>
  <c r="C62" i="8"/>
  <c r="K61" i="8"/>
  <c r="S61" i="8"/>
  <c r="X61" i="8"/>
  <c r="V61" i="8"/>
  <c r="T61" i="8"/>
  <c r="Y61" i="8"/>
  <c r="U61" i="8"/>
  <c r="W61" i="8"/>
  <c r="R61" i="8"/>
  <c r="N69" i="8"/>
  <c r="F70" i="8"/>
  <c r="K60" i="7"/>
  <c r="C61" i="7"/>
  <c r="W60" i="7"/>
  <c r="Y60" i="7"/>
  <c r="U60" i="7"/>
  <c r="V60" i="7"/>
  <c r="R60" i="7"/>
  <c r="S60" i="7"/>
  <c r="T60" i="7"/>
  <c r="X60" i="7"/>
  <c r="N68" i="7"/>
  <c r="F69" i="7"/>
  <c r="C49" i="1"/>
  <c r="K48" i="1"/>
  <c r="T48" i="1"/>
  <c r="V48" i="1"/>
  <c r="Y48" i="1"/>
  <c r="W48" i="1"/>
  <c r="S48" i="1"/>
  <c r="X48" i="1"/>
  <c r="U48" i="1"/>
  <c r="R48" i="1"/>
  <c r="K53" i="4"/>
  <c r="C54" i="4"/>
  <c r="F60" i="4"/>
  <c r="N59" i="4"/>
  <c r="F58" i="1"/>
  <c r="N57" i="1"/>
  <c r="M57" i="1"/>
  <c r="L56" i="1"/>
  <c r="N71" i="15" l="1"/>
  <c r="F72" i="15"/>
  <c r="K66" i="15"/>
  <c r="C67" i="15"/>
  <c r="T66" i="15"/>
  <c r="R66" i="15"/>
  <c r="S66" i="15"/>
  <c r="W66" i="15"/>
  <c r="Y66" i="15"/>
  <c r="V66" i="15"/>
  <c r="U66" i="15"/>
  <c r="X66" i="15"/>
  <c r="C68" i="14"/>
  <c r="K67" i="14"/>
  <c r="U67" i="14"/>
  <c r="R67" i="14"/>
  <c r="T67" i="14"/>
  <c r="V67" i="14"/>
  <c r="Y67" i="14"/>
  <c r="W67" i="14"/>
  <c r="S67" i="14"/>
  <c r="X67" i="14"/>
  <c r="N71" i="14"/>
  <c r="F72" i="14"/>
  <c r="X54" i="4"/>
  <c r="T54" i="4"/>
  <c r="W54" i="4"/>
  <c r="R54" i="4"/>
  <c r="V54" i="4"/>
  <c r="Y54" i="4"/>
  <c r="U54" i="4"/>
  <c r="S54" i="4"/>
  <c r="F69" i="11"/>
  <c r="N68" i="11"/>
  <c r="C65" i="11"/>
  <c r="K64" i="11"/>
  <c r="S64" i="11"/>
  <c r="X64" i="11"/>
  <c r="Y64" i="11"/>
  <c r="W64" i="11"/>
  <c r="V64" i="11"/>
  <c r="T64" i="11"/>
  <c r="R64" i="11"/>
  <c r="U64" i="11"/>
  <c r="C65" i="10"/>
  <c r="K64" i="10"/>
  <c r="U64" i="10"/>
  <c r="S64" i="10"/>
  <c r="T64" i="10"/>
  <c r="V64" i="10"/>
  <c r="R64" i="10"/>
  <c r="Y64" i="10"/>
  <c r="W64" i="10"/>
  <c r="X64" i="10"/>
  <c r="F71" i="10"/>
  <c r="N70" i="10"/>
  <c r="F72" i="9"/>
  <c r="N71" i="9"/>
  <c r="K61" i="9"/>
  <c r="C62" i="9"/>
  <c r="T61" i="9"/>
  <c r="W61" i="9"/>
  <c r="S61" i="9"/>
  <c r="U61" i="9"/>
  <c r="V61" i="9"/>
  <c r="X61" i="9"/>
  <c r="Y61" i="9"/>
  <c r="R61" i="9"/>
  <c r="N70" i="8"/>
  <c r="F71" i="8"/>
  <c r="C63" i="8"/>
  <c r="K62" i="8"/>
  <c r="U62" i="8"/>
  <c r="U5" i="8" s="1"/>
  <c r="S62" i="8"/>
  <c r="S5" i="8" s="1"/>
  <c r="X62" i="8"/>
  <c r="X5" i="8" s="1"/>
  <c r="Y62" i="8"/>
  <c r="Y5" i="8" s="1"/>
  <c r="V62" i="8"/>
  <c r="V5" i="8" s="1"/>
  <c r="R62" i="8"/>
  <c r="R5" i="8" s="1"/>
  <c r="W62" i="8"/>
  <c r="W5" i="8" s="1"/>
  <c r="T62" i="8"/>
  <c r="T5" i="8" s="1"/>
  <c r="C62" i="7"/>
  <c r="K61" i="7"/>
  <c r="T61" i="7"/>
  <c r="U61" i="7"/>
  <c r="V61" i="7"/>
  <c r="R61" i="7"/>
  <c r="X61" i="7"/>
  <c r="S61" i="7"/>
  <c r="Y61" i="7"/>
  <c r="W61" i="7"/>
  <c r="F70" i="7"/>
  <c r="N69" i="7"/>
  <c r="C50" i="1"/>
  <c r="K49" i="1"/>
  <c r="Y49" i="1"/>
  <c r="V49" i="1"/>
  <c r="X49" i="1"/>
  <c r="S49" i="1"/>
  <c r="U49" i="1"/>
  <c r="R49" i="1"/>
  <c r="T49" i="1"/>
  <c r="W49" i="1"/>
  <c r="K54" i="4"/>
  <c r="C55" i="4"/>
  <c r="F61" i="4"/>
  <c r="N60" i="4"/>
  <c r="F59" i="1"/>
  <c r="N58" i="1"/>
  <c r="M58" i="1"/>
  <c r="L57" i="1"/>
  <c r="C68" i="15" l="1"/>
  <c r="K67" i="15"/>
  <c r="S67" i="15"/>
  <c r="R67" i="15"/>
  <c r="Y67" i="15"/>
  <c r="U67" i="15"/>
  <c r="T67" i="15"/>
  <c r="V67" i="15"/>
  <c r="X67" i="15"/>
  <c r="W67" i="15"/>
  <c r="F73" i="15"/>
  <c r="N72" i="15"/>
  <c r="C69" i="14"/>
  <c r="K68" i="14"/>
  <c r="W68" i="14"/>
  <c r="X68" i="14"/>
  <c r="U68" i="14"/>
  <c r="R68" i="14"/>
  <c r="V68" i="14"/>
  <c r="Y68" i="14"/>
  <c r="S68" i="14"/>
  <c r="T68" i="14"/>
  <c r="F73" i="14"/>
  <c r="N72" i="14"/>
  <c r="X55" i="4"/>
  <c r="T55" i="4"/>
  <c r="U55" i="4"/>
  <c r="Y55" i="4"/>
  <c r="S55" i="4"/>
  <c r="R55" i="4"/>
  <c r="W55" i="4"/>
  <c r="V55" i="4"/>
  <c r="K65" i="11"/>
  <c r="C66" i="11"/>
  <c r="R65" i="11"/>
  <c r="W65" i="11"/>
  <c r="V65" i="11"/>
  <c r="T65" i="11"/>
  <c r="X65" i="11"/>
  <c r="U65" i="11"/>
  <c r="Y65" i="11"/>
  <c r="S65" i="11"/>
  <c r="F70" i="11"/>
  <c r="N69" i="11"/>
  <c r="N71" i="10"/>
  <c r="F72" i="10"/>
  <c r="K65" i="10"/>
  <c r="C66" i="10"/>
  <c r="X65" i="10"/>
  <c r="R65" i="10"/>
  <c r="V65" i="10"/>
  <c r="Y65" i="10"/>
  <c r="U65" i="10"/>
  <c r="S65" i="10"/>
  <c r="T65" i="10"/>
  <c r="W65" i="10"/>
  <c r="F73" i="9"/>
  <c r="N72" i="9"/>
  <c r="K62" i="9"/>
  <c r="C63" i="9"/>
  <c r="X62" i="9"/>
  <c r="X5" i="9" s="1"/>
  <c r="T62" i="9"/>
  <c r="T5" i="9" s="1"/>
  <c r="V62" i="9"/>
  <c r="V5" i="9" s="1"/>
  <c r="R62" i="9"/>
  <c r="R5" i="9" s="1"/>
  <c r="W62" i="9"/>
  <c r="W5" i="9" s="1"/>
  <c r="S62" i="9"/>
  <c r="S5" i="9" s="1"/>
  <c r="Y62" i="9"/>
  <c r="Y5" i="9" s="1"/>
  <c r="U62" i="9"/>
  <c r="U5" i="9" s="1"/>
  <c r="C64" i="8"/>
  <c r="K63" i="8"/>
  <c r="T63" i="8"/>
  <c r="X63" i="8"/>
  <c r="U63" i="8"/>
  <c r="Y63" i="8"/>
  <c r="W63" i="8"/>
  <c r="R63" i="8"/>
  <c r="V63" i="8"/>
  <c r="S63" i="8"/>
  <c r="N71" i="8"/>
  <c r="F72" i="8"/>
  <c r="N70" i="7"/>
  <c r="F71" i="7"/>
  <c r="C63" i="7"/>
  <c r="K62" i="7"/>
  <c r="S62" i="7"/>
  <c r="S5" i="7" s="1"/>
  <c r="W62" i="7"/>
  <c r="W5" i="7" s="1"/>
  <c r="X62" i="7"/>
  <c r="X5" i="7" s="1"/>
  <c r="R62" i="7"/>
  <c r="R5" i="7" s="1"/>
  <c r="U62" i="7"/>
  <c r="U5" i="7" s="1"/>
  <c r="V62" i="7"/>
  <c r="V5" i="7" s="1"/>
  <c r="Y62" i="7"/>
  <c r="Y5" i="7" s="1"/>
  <c r="T62" i="7"/>
  <c r="T5" i="7" s="1"/>
  <c r="C51" i="1"/>
  <c r="K50" i="1"/>
  <c r="S50" i="1"/>
  <c r="Y50" i="1"/>
  <c r="X50" i="1"/>
  <c r="U50" i="1"/>
  <c r="V50" i="1"/>
  <c r="W50" i="1"/>
  <c r="T50" i="1"/>
  <c r="R50" i="1"/>
  <c r="F62" i="4"/>
  <c r="N61" i="4"/>
  <c r="K55" i="4"/>
  <c r="C56" i="4"/>
  <c r="F60" i="1"/>
  <c r="N59" i="1"/>
  <c r="M59" i="1"/>
  <c r="L58" i="1"/>
  <c r="N73" i="15" l="1"/>
  <c r="F74" i="15"/>
  <c r="K68" i="15"/>
  <c r="C69" i="15"/>
  <c r="V68" i="15"/>
  <c r="T68" i="15"/>
  <c r="X68" i="15"/>
  <c r="Y68" i="15"/>
  <c r="S68" i="15"/>
  <c r="U68" i="15"/>
  <c r="R68" i="15"/>
  <c r="W68" i="15"/>
  <c r="U69" i="14"/>
  <c r="K69" i="14"/>
  <c r="C70" i="14"/>
  <c r="Y69" i="14"/>
  <c r="R69" i="14"/>
  <c r="S69" i="14"/>
  <c r="X69" i="14"/>
  <c r="T69" i="14"/>
  <c r="V69" i="14"/>
  <c r="W69" i="14"/>
  <c r="N73" i="14"/>
  <c r="F74" i="14"/>
  <c r="X56" i="4"/>
  <c r="T56" i="4"/>
  <c r="W56" i="4"/>
  <c r="R56" i="4"/>
  <c r="V56" i="4"/>
  <c r="U56" i="4"/>
  <c r="S56" i="4"/>
  <c r="Y56" i="4"/>
  <c r="F71" i="11"/>
  <c r="N70" i="11"/>
  <c r="K66" i="11"/>
  <c r="C67" i="11"/>
  <c r="X66" i="11"/>
  <c r="U66" i="11"/>
  <c r="W66" i="11"/>
  <c r="R66" i="11"/>
  <c r="T66" i="11"/>
  <c r="Y66" i="11"/>
  <c r="V66" i="11"/>
  <c r="S66" i="11"/>
  <c r="K66" i="10"/>
  <c r="C67" i="10"/>
  <c r="Y66" i="10"/>
  <c r="U66" i="10"/>
  <c r="T66" i="10"/>
  <c r="X66" i="10"/>
  <c r="W66" i="10"/>
  <c r="S66" i="10"/>
  <c r="V66" i="10"/>
  <c r="R66" i="10"/>
  <c r="F73" i="10"/>
  <c r="N72" i="10"/>
  <c r="K63" i="9"/>
  <c r="C64" i="9"/>
  <c r="R63" i="9"/>
  <c r="X63" i="9"/>
  <c r="W63" i="9"/>
  <c r="Y63" i="9"/>
  <c r="S63" i="9"/>
  <c r="U63" i="9"/>
  <c r="T63" i="9"/>
  <c r="V63" i="9"/>
  <c r="F74" i="9"/>
  <c r="N73" i="9"/>
  <c r="F73" i="8"/>
  <c r="N72" i="8"/>
  <c r="C65" i="8"/>
  <c r="K64" i="8"/>
  <c r="S64" i="8"/>
  <c r="T64" i="8"/>
  <c r="W64" i="8"/>
  <c r="V64" i="8"/>
  <c r="U64" i="8"/>
  <c r="Y64" i="8"/>
  <c r="R64" i="8"/>
  <c r="X64" i="8"/>
  <c r="K63" i="7"/>
  <c r="C64" i="7"/>
  <c r="S63" i="7"/>
  <c r="V63" i="7"/>
  <c r="T63" i="7"/>
  <c r="X63" i="7"/>
  <c r="W63" i="7"/>
  <c r="Y63" i="7"/>
  <c r="R63" i="7"/>
  <c r="U63" i="7"/>
  <c r="F72" i="7"/>
  <c r="N71" i="7"/>
  <c r="C52" i="1"/>
  <c r="K51" i="1"/>
  <c r="V51" i="1"/>
  <c r="W51" i="1"/>
  <c r="Y51" i="1"/>
  <c r="X51" i="1"/>
  <c r="S51" i="1"/>
  <c r="U51" i="1"/>
  <c r="R51" i="1"/>
  <c r="T51" i="1"/>
  <c r="K56" i="4"/>
  <c r="C57" i="4"/>
  <c r="F63" i="4"/>
  <c r="N62" i="4"/>
  <c r="F61" i="1"/>
  <c r="N60" i="1"/>
  <c r="M60" i="1"/>
  <c r="L59" i="1"/>
  <c r="C70" i="15" l="1"/>
  <c r="K69" i="15"/>
  <c r="U69" i="15"/>
  <c r="T69" i="15"/>
  <c r="V69" i="15"/>
  <c r="R69" i="15"/>
  <c r="Y69" i="15"/>
  <c r="W69" i="15"/>
  <c r="X69" i="15"/>
  <c r="S69" i="15"/>
  <c r="F75" i="15"/>
  <c r="N74" i="15"/>
  <c r="F75" i="14"/>
  <c r="N74" i="14"/>
  <c r="C71" i="14"/>
  <c r="K70" i="14"/>
  <c r="S70" i="14"/>
  <c r="Y70" i="14"/>
  <c r="T70" i="14"/>
  <c r="X70" i="14"/>
  <c r="V70" i="14"/>
  <c r="W70" i="14"/>
  <c r="U70" i="14"/>
  <c r="R70" i="14"/>
  <c r="X57" i="4"/>
  <c r="T57" i="4"/>
  <c r="U57" i="4"/>
  <c r="Y57" i="4"/>
  <c r="S57" i="4"/>
  <c r="W57" i="4"/>
  <c r="V57" i="4"/>
  <c r="R57" i="4"/>
  <c r="K67" i="11"/>
  <c r="C68" i="11"/>
  <c r="R67" i="11"/>
  <c r="W67" i="11"/>
  <c r="S67" i="11"/>
  <c r="T67" i="11"/>
  <c r="U67" i="11"/>
  <c r="V67" i="11"/>
  <c r="Y67" i="11"/>
  <c r="X67" i="11"/>
  <c r="F72" i="11"/>
  <c r="N71" i="11"/>
  <c r="N73" i="10"/>
  <c r="F74" i="10"/>
  <c r="C68" i="10"/>
  <c r="K67" i="10"/>
  <c r="X67" i="10"/>
  <c r="Y67" i="10"/>
  <c r="S67" i="10"/>
  <c r="R67" i="10"/>
  <c r="T67" i="10"/>
  <c r="W67" i="10"/>
  <c r="V67" i="10"/>
  <c r="U67" i="10"/>
  <c r="F75" i="9"/>
  <c r="N74" i="9"/>
  <c r="K64" i="9"/>
  <c r="C65" i="9"/>
  <c r="R64" i="9"/>
  <c r="S64" i="9"/>
  <c r="U64" i="9"/>
  <c r="X64" i="9"/>
  <c r="T64" i="9"/>
  <c r="Y64" i="9"/>
  <c r="W64" i="9"/>
  <c r="V64" i="9"/>
  <c r="N73" i="8"/>
  <c r="F74" i="8"/>
  <c r="C66" i="8"/>
  <c r="K65" i="8"/>
  <c r="S65" i="8"/>
  <c r="T65" i="8"/>
  <c r="Y65" i="8"/>
  <c r="U65" i="8"/>
  <c r="R65" i="8"/>
  <c r="X65" i="8"/>
  <c r="W65" i="8"/>
  <c r="V65" i="8"/>
  <c r="N72" i="7"/>
  <c r="F73" i="7"/>
  <c r="C65" i="7"/>
  <c r="K64" i="7"/>
  <c r="W64" i="7"/>
  <c r="S64" i="7"/>
  <c r="Y64" i="7"/>
  <c r="X64" i="7"/>
  <c r="R64" i="7"/>
  <c r="V64" i="7"/>
  <c r="U64" i="7"/>
  <c r="T64" i="7"/>
  <c r="C53" i="1"/>
  <c r="K52" i="1"/>
  <c r="R52" i="1"/>
  <c r="R4" i="1" s="1"/>
  <c r="S52" i="1"/>
  <c r="S4" i="1" s="1"/>
  <c r="W52" i="1"/>
  <c r="W4" i="1" s="1"/>
  <c r="V52" i="1"/>
  <c r="V4" i="1" s="1"/>
  <c r="Y52" i="1"/>
  <c r="Y4" i="1" s="1"/>
  <c r="U52" i="1"/>
  <c r="U4" i="1" s="1"/>
  <c r="X52" i="1"/>
  <c r="X4" i="1" s="1"/>
  <c r="T52" i="1"/>
  <c r="T4" i="1" s="1"/>
  <c r="F64" i="4"/>
  <c r="N63" i="4"/>
  <c r="K57" i="4"/>
  <c r="C58" i="4"/>
  <c r="F62" i="1"/>
  <c r="N61" i="1"/>
  <c r="M61" i="1"/>
  <c r="L60" i="1"/>
  <c r="N75" i="15" l="1"/>
  <c r="F76" i="15"/>
  <c r="K70" i="15"/>
  <c r="C71" i="15"/>
  <c r="V70" i="15"/>
  <c r="T70" i="15"/>
  <c r="R70" i="15"/>
  <c r="U70" i="15"/>
  <c r="W70" i="15"/>
  <c r="Y70" i="15"/>
  <c r="S70" i="15"/>
  <c r="X70" i="15"/>
  <c r="N75" i="14"/>
  <c r="F76" i="14"/>
  <c r="K71" i="14"/>
  <c r="C72" i="14"/>
  <c r="Y71" i="14"/>
  <c r="V71" i="14"/>
  <c r="T71" i="14"/>
  <c r="R71" i="14"/>
  <c r="W71" i="14"/>
  <c r="S71" i="14"/>
  <c r="X71" i="14"/>
  <c r="U71" i="14"/>
  <c r="X58" i="4"/>
  <c r="T58" i="4"/>
  <c r="W58" i="4"/>
  <c r="R58" i="4"/>
  <c r="V58" i="4"/>
  <c r="Y58" i="4"/>
  <c r="U58" i="4"/>
  <c r="S58" i="4"/>
  <c r="F73" i="11"/>
  <c r="N72" i="11"/>
  <c r="K68" i="11"/>
  <c r="C69" i="11"/>
  <c r="X68" i="11"/>
  <c r="U68" i="11"/>
  <c r="R68" i="11"/>
  <c r="Y68" i="11"/>
  <c r="T68" i="11"/>
  <c r="S68" i="11"/>
  <c r="V68" i="11"/>
  <c r="W68" i="11"/>
  <c r="K68" i="10"/>
  <c r="C69" i="10"/>
  <c r="X68" i="10"/>
  <c r="V68" i="10"/>
  <c r="Y68" i="10"/>
  <c r="U68" i="10"/>
  <c r="R68" i="10"/>
  <c r="W68" i="10"/>
  <c r="T68" i="10"/>
  <c r="S68" i="10"/>
  <c r="F75" i="10"/>
  <c r="N74" i="10"/>
  <c r="F76" i="9"/>
  <c r="N75" i="9"/>
  <c r="K65" i="9"/>
  <c r="C66" i="9"/>
  <c r="T65" i="9"/>
  <c r="W65" i="9"/>
  <c r="Y65" i="9"/>
  <c r="U65" i="9"/>
  <c r="X65" i="9"/>
  <c r="S65" i="9"/>
  <c r="V65" i="9"/>
  <c r="R65" i="9"/>
  <c r="C67" i="8"/>
  <c r="K66" i="8"/>
  <c r="S66" i="8"/>
  <c r="U66" i="8"/>
  <c r="W66" i="8"/>
  <c r="V66" i="8"/>
  <c r="Y66" i="8"/>
  <c r="R66" i="8"/>
  <c r="X66" i="8"/>
  <c r="T66" i="8"/>
  <c r="F75" i="8"/>
  <c r="N74" i="8"/>
  <c r="K65" i="7"/>
  <c r="C66" i="7"/>
  <c r="S65" i="7"/>
  <c r="Y65" i="7"/>
  <c r="R65" i="7"/>
  <c r="W65" i="7"/>
  <c r="V65" i="7"/>
  <c r="T65" i="7"/>
  <c r="X65" i="7"/>
  <c r="U65" i="7"/>
  <c r="F74" i="7"/>
  <c r="N73" i="7"/>
  <c r="C54" i="1"/>
  <c r="K53" i="1"/>
  <c r="S53" i="1"/>
  <c r="W53" i="1"/>
  <c r="X53" i="1"/>
  <c r="U53" i="1"/>
  <c r="V53" i="1"/>
  <c r="R53" i="1"/>
  <c r="T53" i="1"/>
  <c r="Y53" i="1"/>
  <c r="K58" i="4"/>
  <c r="C59" i="4"/>
  <c r="F65" i="4"/>
  <c r="N64" i="4"/>
  <c r="F63" i="1"/>
  <c r="N62" i="1"/>
  <c r="M62" i="1"/>
  <c r="L61" i="1"/>
  <c r="C72" i="15" l="1"/>
  <c r="X71" i="15"/>
  <c r="K71" i="15"/>
  <c r="R71" i="15"/>
  <c r="T71" i="15"/>
  <c r="V71" i="15"/>
  <c r="S71" i="15"/>
  <c r="U71" i="15"/>
  <c r="W71" i="15"/>
  <c r="Y71" i="15"/>
  <c r="F77" i="15"/>
  <c r="N76" i="15"/>
  <c r="C73" i="14"/>
  <c r="K72" i="14"/>
  <c r="X72" i="14"/>
  <c r="S72" i="14"/>
  <c r="W72" i="14"/>
  <c r="U72" i="14"/>
  <c r="R72" i="14"/>
  <c r="T72" i="14"/>
  <c r="Y72" i="14"/>
  <c r="V72" i="14"/>
  <c r="F77" i="14"/>
  <c r="N76" i="14"/>
  <c r="X59" i="4"/>
  <c r="T59" i="4"/>
  <c r="U59" i="4"/>
  <c r="Y59" i="4"/>
  <c r="S59" i="4"/>
  <c r="R59" i="4"/>
  <c r="W59" i="4"/>
  <c r="V59" i="4"/>
  <c r="K69" i="11"/>
  <c r="C70" i="11"/>
  <c r="R69" i="11"/>
  <c r="Y69" i="11"/>
  <c r="X69" i="11"/>
  <c r="V69" i="11"/>
  <c r="U69" i="11"/>
  <c r="S69" i="11"/>
  <c r="W69" i="11"/>
  <c r="T69" i="11"/>
  <c r="F74" i="11"/>
  <c r="N73" i="11"/>
  <c r="N75" i="10"/>
  <c r="F76" i="10"/>
  <c r="C70" i="10"/>
  <c r="K69" i="10"/>
  <c r="V69" i="10"/>
  <c r="U69" i="10"/>
  <c r="W69" i="10"/>
  <c r="X69" i="10"/>
  <c r="Y69" i="10"/>
  <c r="T69" i="10"/>
  <c r="R69" i="10"/>
  <c r="S69" i="10"/>
  <c r="F77" i="9"/>
  <c r="N76" i="9"/>
  <c r="K66" i="9"/>
  <c r="C67" i="9"/>
  <c r="W66" i="9"/>
  <c r="S66" i="9"/>
  <c r="Y66" i="9"/>
  <c r="T66" i="9"/>
  <c r="X66" i="9"/>
  <c r="V66" i="9"/>
  <c r="U66" i="9"/>
  <c r="R66" i="9"/>
  <c r="N75" i="8"/>
  <c r="F76" i="8"/>
  <c r="C68" i="8"/>
  <c r="K67" i="8"/>
  <c r="W67" i="8"/>
  <c r="S67" i="8"/>
  <c r="R67" i="8"/>
  <c r="V67" i="8"/>
  <c r="X67" i="8"/>
  <c r="Y67" i="8"/>
  <c r="U67" i="8"/>
  <c r="T67" i="8"/>
  <c r="N74" i="7"/>
  <c r="F75" i="7"/>
  <c r="C67" i="7"/>
  <c r="K66" i="7"/>
  <c r="V66" i="7"/>
  <c r="R66" i="7"/>
  <c r="T66" i="7"/>
  <c r="U66" i="7"/>
  <c r="S66" i="7"/>
  <c r="W66" i="7"/>
  <c r="X66" i="7"/>
  <c r="Y66" i="7"/>
  <c r="C55" i="1"/>
  <c r="K54" i="1"/>
  <c r="S54" i="1"/>
  <c r="W54" i="1"/>
  <c r="X54" i="1"/>
  <c r="R54" i="1"/>
  <c r="U54" i="1"/>
  <c r="Y54" i="1"/>
  <c r="T54" i="1"/>
  <c r="V54" i="1"/>
  <c r="F66" i="4"/>
  <c r="N65" i="4"/>
  <c r="K59" i="4"/>
  <c r="C60" i="4"/>
  <c r="F64" i="1"/>
  <c r="N63" i="1"/>
  <c r="M63" i="1"/>
  <c r="L62" i="1"/>
  <c r="N77" i="15" l="1"/>
  <c r="F78" i="15"/>
  <c r="K72" i="15"/>
  <c r="T72" i="15"/>
  <c r="C73" i="15"/>
  <c r="V72" i="15"/>
  <c r="Y72" i="15"/>
  <c r="U72" i="15"/>
  <c r="R72" i="15"/>
  <c r="X72" i="15"/>
  <c r="W72" i="15"/>
  <c r="S72" i="15"/>
  <c r="C74" i="14"/>
  <c r="V73" i="14"/>
  <c r="K73" i="14"/>
  <c r="U73" i="14"/>
  <c r="S73" i="14"/>
  <c r="X73" i="14"/>
  <c r="R73" i="14"/>
  <c r="T73" i="14"/>
  <c r="Y73" i="14"/>
  <c r="W73" i="14"/>
  <c r="N77" i="14"/>
  <c r="F78" i="14"/>
  <c r="V60" i="4"/>
  <c r="R60" i="4"/>
  <c r="U60" i="4"/>
  <c r="Y60" i="4"/>
  <c r="S60" i="4"/>
  <c r="X60" i="4"/>
  <c r="W60" i="4"/>
  <c r="T60" i="4"/>
  <c r="F75" i="11"/>
  <c r="N74" i="11"/>
  <c r="K70" i="11"/>
  <c r="C71" i="11"/>
  <c r="W70" i="11"/>
  <c r="X70" i="11"/>
  <c r="U70" i="11"/>
  <c r="S70" i="11"/>
  <c r="T70" i="11"/>
  <c r="Y70" i="11"/>
  <c r="V70" i="11"/>
  <c r="R70" i="11"/>
  <c r="F77" i="10"/>
  <c r="N76" i="10"/>
  <c r="K70" i="10"/>
  <c r="C71" i="10"/>
  <c r="S70" i="10"/>
  <c r="R70" i="10"/>
  <c r="V70" i="10"/>
  <c r="U70" i="10"/>
  <c r="T70" i="10"/>
  <c r="W70" i="10"/>
  <c r="Y70" i="10"/>
  <c r="X70" i="10"/>
  <c r="F78" i="9"/>
  <c r="N77" i="9"/>
  <c r="C68" i="9"/>
  <c r="K67" i="9"/>
  <c r="Y67" i="9"/>
  <c r="S67" i="9"/>
  <c r="V67" i="9"/>
  <c r="X67" i="9"/>
  <c r="T67" i="9"/>
  <c r="R67" i="9"/>
  <c r="U67" i="9"/>
  <c r="W67" i="9"/>
  <c r="C69" i="8"/>
  <c r="K68" i="8"/>
  <c r="W68" i="8"/>
  <c r="S68" i="8"/>
  <c r="V68" i="8"/>
  <c r="R68" i="8"/>
  <c r="Y68" i="8"/>
  <c r="T68" i="8"/>
  <c r="U68" i="8"/>
  <c r="X68" i="8"/>
  <c r="N76" i="8"/>
  <c r="F77" i="8"/>
  <c r="K67" i="7"/>
  <c r="C68" i="7"/>
  <c r="W67" i="7"/>
  <c r="R67" i="7"/>
  <c r="U67" i="7"/>
  <c r="Y67" i="7"/>
  <c r="T67" i="7"/>
  <c r="X67" i="7"/>
  <c r="S67" i="7"/>
  <c r="V67" i="7"/>
  <c r="F76" i="7"/>
  <c r="N75" i="7"/>
  <c r="C56" i="1"/>
  <c r="K55" i="1"/>
  <c r="S55" i="1"/>
  <c r="W55" i="1"/>
  <c r="X55" i="1"/>
  <c r="Y55" i="1"/>
  <c r="V55" i="1"/>
  <c r="R55" i="1"/>
  <c r="T55" i="1"/>
  <c r="U55" i="1"/>
  <c r="K60" i="4"/>
  <c r="C61" i="4"/>
  <c r="F67" i="4"/>
  <c r="N66" i="4"/>
  <c r="F65" i="1"/>
  <c r="N64" i="1"/>
  <c r="M64" i="1"/>
  <c r="L63" i="1"/>
  <c r="F79" i="15" l="1"/>
  <c r="N78" i="15"/>
  <c r="C74" i="15"/>
  <c r="X73" i="15"/>
  <c r="K73" i="15"/>
  <c r="T73" i="15"/>
  <c r="W73" i="15"/>
  <c r="R73" i="15"/>
  <c r="U73" i="15"/>
  <c r="S73" i="15"/>
  <c r="Y73" i="15"/>
  <c r="V73" i="15"/>
  <c r="C75" i="14"/>
  <c r="K74" i="14"/>
  <c r="S74" i="14"/>
  <c r="W74" i="14"/>
  <c r="X74" i="14"/>
  <c r="V74" i="14"/>
  <c r="Y74" i="14"/>
  <c r="T74" i="14"/>
  <c r="U74" i="14"/>
  <c r="R74" i="14"/>
  <c r="F79" i="14"/>
  <c r="N78" i="14"/>
  <c r="V61" i="4"/>
  <c r="R61" i="4"/>
  <c r="X61" i="4"/>
  <c r="S61" i="4"/>
  <c r="Y61" i="4"/>
  <c r="W61" i="4"/>
  <c r="U61" i="4"/>
  <c r="T61" i="4"/>
  <c r="K71" i="11"/>
  <c r="C72" i="11"/>
  <c r="S71" i="11"/>
  <c r="U71" i="11"/>
  <c r="V71" i="11"/>
  <c r="X71" i="11"/>
  <c r="Y71" i="11"/>
  <c r="R71" i="11"/>
  <c r="T71" i="11"/>
  <c r="W71" i="11"/>
  <c r="F76" i="11"/>
  <c r="N75" i="11"/>
  <c r="C72" i="10"/>
  <c r="K71" i="10"/>
  <c r="R71" i="10"/>
  <c r="Y71" i="10"/>
  <c r="T71" i="10"/>
  <c r="X71" i="10"/>
  <c r="U71" i="10"/>
  <c r="S71" i="10"/>
  <c r="V71" i="10"/>
  <c r="W71" i="10"/>
  <c r="N77" i="10"/>
  <c r="F78" i="10"/>
  <c r="F79" i="9"/>
  <c r="N78" i="9"/>
  <c r="K68" i="9"/>
  <c r="C69" i="9"/>
  <c r="X68" i="9"/>
  <c r="W68" i="9"/>
  <c r="T68" i="9"/>
  <c r="S68" i="9"/>
  <c r="U68" i="9"/>
  <c r="Y68" i="9"/>
  <c r="V68" i="9"/>
  <c r="R68" i="9"/>
  <c r="N77" i="8"/>
  <c r="F78" i="8"/>
  <c r="C70" i="8"/>
  <c r="K69" i="8"/>
  <c r="W69" i="8"/>
  <c r="S69" i="8"/>
  <c r="X69" i="8"/>
  <c r="R69" i="8"/>
  <c r="T69" i="8"/>
  <c r="U69" i="8"/>
  <c r="V69" i="8"/>
  <c r="Y69" i="8"/>
  <c r="N76" i="7"/>
  <c r="F77" i="7"/>
  <c r="C69" i="7"/>
  <c r="K68" i="7"/>
  <c r="V68" i="7"/>
  <c r="S68" i="7"/>
  <c r="W68" i="7"/>
  <c r="T68" i="7"/>
  <c r="X68" i="7"/>
  <c r="U68" i="7"/>
  <c r="R68" i="7"/>
  <c r="Y68" i="7"/>
  <c r="C57" i="1"/>
  <c r="K56" i="1"/>
  <c r="S56" i="1"/>
  <c r="V56" i="1"/>
  <c r="T56" i="1"/>
  <c r="X56" i="1"/>
  <c r="R56" i="1"/>
  <c r="Y56" i="1"/>
  <c r="W56" i="1"/>
  <c r="U56" i="1"/>
  <c r="F68" i="4"/>
  <c r="N67" i="4"/>
  <c r="K61" i="4"/>
  <c r="C62" i="4"/>
  <c r="F66" i="1"/>
  <c r="N65" i="1"/>
  <c r="M65" i="1"/>
  <c r="L64" i="1"/>
  <c r="K74" i="15" l="1"/>
  <c r="V74" i="15"/>
  <c r="T74" i="15"/>
  <c r="C75" i="15"/>
  <c r="R74" i="15"/>
  <c r="S74" i="15"/>
  <c r="U74" i="15"/>
  <c r="Y74" i="15"/>
  <c r="W74" i="15"/>
  <c r="X74" i="15"/>
  <c r="F80" i="15"/>
  <c r="N79" i="15"/>
  <c r="U75" i="14"/>
  <c r="R75" i="14"/>
  <c r="K75" i="14"/>
  <c r="C76" i="14"/>
  <c r="T75" i="14"/>
  <c r="V75" i="14"/>
  <c r="W75" i="14"/>
  <c r="S75" i="14"/>
  <c r="Y75" i="14"/>
  <c r="X75" i="14"/>
  <c r="N79" i="14"/>
  <c r="F80" i="14"/>
  <c r="V62" i="4"/>
  <c r="V5" i="4" s="1"/>
  <c r="R62" i="4"/>
  <c r="R5" i="4" s="1"/>
  <c r="U62" i="4"/>
  <c r="U5" i="4" s="1"/>
  <c r="X62" i="4"/>
  <c r="X5" i="4" s="1"/>
  <c r="W62" i="4"/>
  <c r="W5" i="4" s="1"/>
  <c r="T62" i="4"/>
  <c r="T5" i="4" s="1"/>
  <c r="S62" i="4"/>
  <c r="S5" i="4" s="1"/>
  <c r="Y62" i="4"/>
  <c r="Y5" i="4" s="1"/>
  <c r="F77" i="11"/>
  <c r="N76" i="11"/>
  <c r="K72" i="11"/>
  <c r="C73" i="11"/>
  <c r="X72" i="11"/>
  <c r="W72" i="11"/>
  <c r="U72" i="11"/>
  <c r="Y72" i="11"/>
  <c r="T72" i="11"/>
  <c r="R72" i="11"/>
  <c r="V72" i="11"/>
  <c r="S72" i="11"/>
  <c r="F79" i="10"/>
  <c r="N78" i="10"/>
  <c r="K72" i="10"/>
  <c r="C73" i="10"/>
  <c r="X72" i="10"/>
  <c r="W72" i="10"/>
  <c r="T72" i="10"/>
  <c r="S72" i="10"/>
  <c r="R72" i="10"/>
  <c r="V72" i="10"/>
  <c r="Y72" i="10"/>
  <c r="U72" i="10"/>
  <c r="F80" i="9"/>
  <c r="N79" i="9"/>
  <c r="C70" i="9"/>
  <c r="K69" i="9"/>
  <c r="T69" i="9"/>
  <c r="V69" i="9"/>
  <c r="W69" i="9"/>
  <c r="Y69" i="9"/>
  <c r="S69" i="9"/>
  <c r="R69" i="9"/>
  <c r="U69" i="9"/>
  <c r="X69" i="9"/>
  <c r="C71" i="8"/>
  <c r="K70" i="8"/>
  <c r="T70" i="8"/>
  <c r="W70" i="8"/>
  <c r="X70" i="8"/>
  <c r="R70" i="8"/>
  <c r="Y70" i="8"/>
  <c r="S70" i="8"/>
  <c r="U70" i="8"/>
  <c r="V70" i="8"/>
  <c r="N78" i="8"/>
  <c r="F79" i="8"/>
  <c r="K69" i="7"/>
  <c r="C70" i="7"/>
  <c r="S69" i="7"/>
  <c r="R69" i="7"/>
  <c r="U69" i="7"/>
  <c r="V69" i="7"/>
  <c r="W69" i="7"/>
  <c r="Y69" i="7"/>
  <c r="X69" i="7"/>
  <c r="T69" i="7"/>
  <c r="F78" i="7"/>
  <c r="N77" i="7"/>
  <c r="C58" i="1"/>
  <c r="K57" i="1"/>
  <c r="S57" i="1"/>
  <c r="W57" i="1"/>
  <c r="U57" i="1"/>
  <c r="X57" i="1"/>
  <c r="R57" i="1"/>
  <c r="V57" i="1"/>
  <c r="Y57" i="1"/>
  <c r="T57" i="1"/>
  <c r="K62" i="4"/>
  <c r="C63" i="4"/>
  <c r="F69" i="4"/>
  <c r="N68" i="4"/>
  <c r="F67" i="1"/>
  <c r="N66" i="1"/>
  <c r="M66" i="1"/>
  <c r="L65" i="1"/>
  <c r="F81" i="15" l="1"/>
  <c r="N80" i="15"/>
  <c r="C76" i="15"/>
  <c r="K75" i="15"/>
  <c r="V75" i="15"/>
  <c r="Y75" i="15"/>
  <c r="W75" i="15"/>
  <c r="X75" i="15"/>
  <c r="R75" i="15"/>
  <c r="U75" i="15"/>
  <c r="T75" i="15"/>
  <c r="S75" i="15"/>
  <c r="N80" i="14"/>
  <c r="F81" i="14"/>
  <c r="C77" i="14"/>
  <c r="K76" i="14"/>
  <c r="T76" i="14"/>
  <c r="U76" i="14"/>
  <c r="R76" i="14"/>
  <c r="W76" i="14"/>
  <c r="S76" i="14"/>
  <c r="Y76" i="14"/>
  <c r="V76" i="14"/>
  <c r="X76" i="14"/>
  <c r="V63" i="4"/>
  <c r="R63" i="4"/>
  <c r="X63" i="4"/>
  <c r="S63" i="4"/>
  <c r="W63" i="4"/>
  <c r="U63" i="4"/>
  <c r="Y63" i="4"/>
  <c r="T63" i="4"/>
  <c r="K73" i="11"/>
  <c r="C74" i="11"/>
  <c r="R73" i="11"/>
  <c r="V73" i="11"/>
  <c r="U73" i="11"/>
  <c r="S73" i="11"/>
  <c r="T73" i="11"/>
  <c r="X73" i="11"/>
  <c r="W73" i="11"/>
  <c r="Y73" i="11"/>
  <c r="F78" i="11"/>
  <c r="N77" i="11"/>
  <c r="C74" i="10"/>
  <c r="K73" i="10"/>
  <c r="X73" i="10"/>
  <c r="T73" i="10"/>
  <c r="U73" i="10"/>
  <c r="S73" i="10"/>
  <c r="V73" i="10"/>
  <c r="W73" i="10"/>
  <c r="R73" i="10"/>
  <c r="Y73" i="10"/>
  <c r="N79" i="10"/>
  <c r="F80" i="10"/>
  <c r="C71" i="9"/>
  <c r="K70" i="9"/>
  <c r="V70" i="9"/>
  <c r="W70" i="9"/>
  <c r="X70" i="9"/>
  <c r="T70" i="9"/>
  <c r="S70" i="9"/>
  <c r="Y70" i="9"/>
  <c r="R70" i="9"/>
  <c r="U70" i="9"/>
  <c r="F81" i="9"/>
  <c r="N80" i="9"/>
  <c r="N79" i="8"/>
  <c r="F80" i="8"/>
  <c r="K71" i="8"/>
  <c r="C72" i="8"/>
  <c r="V71" i="8"/>
  <c r="T71" i="8"/>
  <c r="R71" i="8"/>
  <c r="Y71" i="8"/>
  <c r="S71" i="8"/>
  <c r="W71" i="8"/>
  <c r="U71" i="8"/>
  <c r="X71" i="8"/>
  <c r="N78" i="7"/>
  <c r="F79" i="7"/>
  <c r="C71" i="7"/>
  <c r="K70" i="7"/>
  <c r="S70" i="7"/>
  <c r="T70" i="7"/>
  <c r="X70" i="7"/>
  <c r="V70" i="7"/>
  <c r="W70" i="7"/>
  <c r="R70" i="7"/>
  <c r="Y70" i="7"/>
  <c r="U70" i="7"/>
  <c r="C59" i="1"/>
  <c r="K58" i="1"/>
  <c r="S58" i="1"/>
  <c r="W58" i="1"/>
  <c r="X58" i="1"/>
  <c r="Y58" i="1"/>
  <c r="U58" i="1"/>
  <c r="R58" i="1"/>
  <c r="T58" i="1"/>
  <c r="V58" i="1"/>
  <c r="F70" i="4"/>
  <c r="N69" i="4"/>
  <c r="K63" i="4"/>
  <c r="C64" i="4"/>
  <c r="F68" i="1"/>
  <c r="N67" i="1"/>
  <c r="M67" i="1"/>
  <c r="L66" i="1"/>
  <c r="K76" i="15" l="1"/>
  <c r="C77" i="15"/>
  <c r="V76" i="15"/>
  <c r="T76" i="15"/>
  <c r="X76" i="15"/>
  <c r="R76" i="15"/>
  <c r="Y76" i="15"/>
  <c r="W76" i="15"/>
  <c r="S76" i="15"/>
  <c r="U76" i="15"/>
  <c r="F82" i="15"/>
  <c r="N81" i="15"/>
  <c r="U77" i="14"/>
  <c r="K77" i="14"/>
  <c r="R77" i="14"/>
  <c r="C78" i="14"/>
  <c r="Y77" i="14"/>
  <c r="T77" i="14"/>
  <c r="V77" i="14"/>
  <c r="W77" i="14"/>
  <c r="S77" i="14"/>
  <c r="X77" i="14"/>
  <c r="F82" i="14"/>
  <c r="N81" i="14"/>
  <c r="V64" i="4"/>
  <c r="R64" i="4"/>
  <c r="U64" i="4"/>
  <c r="W64" i="4"/>
  <c r="T64" i="4"/>
  <c r="S64" i="4"/>
  <c r="Y64" i="4"/>
  <c r="X64" i="4"/>
  <c r="F79" i="11"/>
  <c r="N78" i="11"/>
  <c r="K74" i="11"/>
  <c r="C75" i="11"/>
  <c r="X74" i="11"/>
  <c r="S74" i="11"/>
  <c r="W74" i="11"/>
  <c r="R74" i="11"/>
  <c r="T74" i="11"/>
  <c r="U74" i="11"/>
  <c r="V74" i="11"/>
  <c r="Y74" i="11"/>
  <c r="F81" i="10"/>
  <c r="N80" i="10"/>
  <c r="K74" i="10"/>
  <c r="C75" i="10"/>
  <c r="X74" i="10"/>
  <c r="U74" i="10"/>
  <c r="S74" i="10"/>
  <c r="T74" i="10"/>
  <c r="Y74" i="10"/>
  <c r="R74" i="10"/>
  <c r="V74" i="10"/>
  <c r="W74" i="10"/>
  <c r="F82" i="9"/>
  <c r="N81" i="9"/>
  <c r="K71" i="9"/>
  <c r="C72" i="9"/>
  <c r="S71" i="9"/>
  <c r="U71" i="9"/>
  <c r="R71" i="9"/>
  <c r="Y71" i="9"/>
  <c r="T71" i="9"/>
  <c r="X71" i="9"/>
  <c r="W71" i="9"/>
  <c r="V71" i="9"/>
  <c r="C73" i="8"/>
  <c r="K72" i="8"/>
  <c r="X72" i="8"/>
  <c r="U72" i="8"/>
  <c r="R72" i="8"/>
  <c r="V72" i="8"/>
  <c r="W72" i="8"/>
  <c r="T72" i="8"/>
  <c r="Y72" i="8"/>
  <c r="S72" i="8"/>
  <c r="F81" i="8"/>
  <c r="N80" i="8"/>
  <c r="K71" i="7"/>
  <c r="C72" i="7"/>
  <c r="W71" i="7"/>
  <c r="Y71" i="7"/>
  <c r="R71" i="7"/>
  <c r="X71" i="7"/>
  <c r="T71" i="7"/>
  <c r="V71" i="7"/>
  <c r="U71" i="7"/>
  <c r="S71" i="7"/>
  <c r="F80" i="7"/>
  <c r="N79" i="7"/>
  <c r="C60" i="1"/>
  <c r="K59" i="1"/>
  <c r="U59" i="1"/>
  <c r="Y59" i="1"/>
  <c r="W59" i="1"/>
  <c r="X59" i="1"/>
  <c r="T59" i="1"/>
  <c r="V59" i="1"/>
  <c r="R59" i="1"/>
  <c r="S59" i="1"/>
  <c r="F71" i="4"/>
  <c r="N70" i="4"/>
  <c r="K64" i="4"/>
  <c r="C65" i="4"/>
  <c r="F69" i="1"/>
  <c r="N68" i="1"/>
  <c r="M68" i="1"/>
  <c r="L67" i="1"/>
  <c r="F83" i="15" l="1"/>
  <c r="N82" i="15"/>
  <c r="C78" i="15"/>
  <c r="K77" i="15"/>
  <c r="U77" i="15"/>
  <c r="Y77" i="15"/>
  <c r="T77" i="15"/>
  <c r="R77" i="15"/>
  <c r="W77" i="15"/>
  <c r="X77" i="15"/>
  <c r="S77" i="15"/>
  <c r="V77" i="15"/>
  <c r="C79" i="14"/>
  <c r="K78" i="14"/>
  <c r="T78" i="14"/>
  <c r="S78" i="14"/>
  <c r="Y78" i="14"/>
  <c r="V78" i="14"/>
  <c r="X78" i="14"/>
  <c r="W78" i="14"/>
  <c r="U78" i="14"/>
  <c r="R78" i="14"/>
  <c r="N82" i="14"/>
  <c r="F83" i="14"/>
  <c r="V65" i="4"/>
  <c r="R65" i="4"/>
  <c r="X65" i="4"/>
  <c r="S65" i="4"/>
  <c r="U65" i="4"/>
  <c r="T65" i="4"/>
  <c r="Y65" i="4"/>
  <c r="W65" i="4"/>
  <c r="K75" i="11"/>
  <c r="C76" i="11"/>
  <c r="W75" i="11"/>
  <c r="X75" i="11"/>
  <c r="T75" i="11"/>
  <c r="V75" i="11"/>
  <c r="S75" i="11"/>
  <c r="Y75" i="11"/>
  <c r="U75" i="11"/>
  <c r="R75" i="11"/>
  <c r="F80" i="11"/>
  <c r="N79" i="11"/>
  <c r="C76" i="10"/>
  <c r="K75" i="10"/>
  <c r="V75" i="10"/>
  <c r="Y75" i="10"/>
  <c r="W75" i="10"/>
  <c r="R75" i="10"/>
  <c r="U75" i="10"/>
  <c r="X75" i="10"/>
  <c r="T75" i="10"/>
  <c r="S75" i="10"/>
  <c r="N81" i="10"/>
  <c r="F82" i="10"/>
  <c r="F83" i="9"/>
  <c r="N82" i="9"/>
  <c r="K72" i="9"/>
  <c r="C73" i="9"/>
  <c r="W72" i="9"/>
  <c r="U72" i="9"/>
  <c r="X72" i="9"/>
  <c r="Y72" i="9"/>
  <c r="T72" i="9"/>
  <c r="S72" i="9"/>
  <c r="V72" i="9"/>
  <c r="R72" i="9"/>
  <c r="N81" i="8"/>
  <c r="F82" i="8"/>
  <c r="C74" i="8"/>
  <c r="K73" i="8"/>
  <c r="Y73" i="8"/>
  <c r="W73" i="8"/>
  <c r="S73" i="8"/>
  <c r="R73" i="8"/>
  <c r="V73" i="8"/>
  <c r="U73" i="8"/>
  <c r="T73" i="8"/>
  <c r="X73" i="8"/>
  <c r="N80" i="7"/>
  <c r="F81" i="7"/>
  <c r="C73" i="7"/>
  <c r="K72" i="7"/>
  <c r="V72" i="7"/>
  <c r="U72" i="7"/>
  <c r="T72" i="7"/>
  <c r="R72" i="7"/>
  <c r="S72" i="7"/>
  <c r="W72" i="7"/>
  <c r="X72" i="7"/>
  <c r="Y72" i="7"/>
  <c r="C61" i="1"/>
  <c r="K60" i="1"/>
  <c r="T60" i="1"/>
  <c r="W60" i="1"/>
  <c r="U60" i="1"/>
  <c r="V60" i="1"/>
  <c r="Y60" i="1"/>
  <c r="S60" i="1"/>
  <c r="X60" i="1"/>
  <c r="R60" i="1"/>
  <c r="K65" i="4"/>
  <c r="C66" i="4"/>
  <c r="F72" i="4"/>
  <c r="N71" i="4"/>
  <c r="F70" i="1"/>
  <c r="N69" i="1"/>
  <c r="M69" i="1"/>
  <c r="L68" i="1"/>
  <c r="K78" i="15" l="1"/>
  <c r="R78" i="15"/>
  <c r="W78" i="15"/>
  <c r="C79" i="15"/>
  <c r="U78" i="15"/>
  <c r="V78" i="15"/>
  <c r="S78" i="15"/>
  <c r="X78" i="15"/>
  <c r="Y78" i="15"/>
  <c r="T78" i="15"/>
  <c r="N83" i="15"/>
  <c r="F84" i="15"/>
  <c r="F84" i="14"/>
  <c r="N83" i="14"/>
  <c r="C80" i="14"/>
  <c r="K79" i="14"/>
  <c r="V79" i="14"/>
  <c r="T79" i="14"/>
  <c r="R79" i="14"/>
  <c r="W79" i="14"/>
  <c r="X79" i="14"/>
  <c r="U79" i="14"/>
  <c r="S79" i="14"/>
  <c r="Y79" i="14"/>
  <c r="V66" i="4"/>
  <c r="R66" i="4"/>
  <c r="U66" i="4"/>
  <c r="T66" i="4"/>
  <c r="Y66" i="4"/>
  <c r="S66" i="4"/>
  <c r="X66" i="4"/>
  <c r="W66" i="4"/>
  <c r="F81" i="11"/>
  <c r="N80" i="11"/>
  <c r="K76" i="11"/>
  <c r="C77" i="11"/>
  <c r="X76" i="11"/>
  <c r="Y76" i="11"/>
  <c r="R76" i="11"/>
  <c r="U76" i="11"/>
  <c r="T76" i="11"/>
  <c r="S76" i="11"/>
  <c r="V76" i="11"/>
  <c r="W76" i="11"/>
  <c r="F83" i="10"/>
  <c r="N82" i="10"/>
  <c r="K76" i="10"/>
  <c r="C77" i="10"/>
  <c r="S76" i="10"/>
  <c r="U76" i="10"/>
  <c r="V76" i="10"/>
  <c r="T76" i="10"/>
  <c r="Y76" i="10"/>
  <c r="R76" i="10"/>
  <c r="X76" i="10"/>
  <c r="W76" i="10"/>
  <c r="K73" i="9"/>
  <c r="C74" i="9"/>
  <c r="X73" i="9"/>
  <c r="Y73" i="9"/>
  <c r="U73" i="9"/>
  <c r="W73" i="9"/>
  <c r="T73" i="9"/>
  <c r="R73" i="9"/>
  <c r="S73" i="9"/>
  <c r="V73" i="9"/>
  <c r="F84" i="9"/>
  <c r="N83" i="9"/>
  <c r="C75" i="8"/>
  <c r="K74" i="8"/>
  <c r="W74" i="8"/>
  <c r="R74" i="8"/>
  <c r="Y74" i="8"/>
  <c r="X74" i="8"/>
  <c r="S74" i="8"/>
  <c r="V74" i="8"/>
  <c r="T74" i="8"/>
  <c r="U74" i="8"/>
  <c r="F83" i="8"/>
  <c r="N82" i="8"/>
  <c r="K73" i="7"/>
  <c r="C74" i="7"/>
  <c r="W73" i="7"/>
  <c r="T73" i="7"/>
  <c r="V73" i="7"/>
  <c r="Y73" i="7"/>
  <c r="X73" i="7"/>
  <c r="U73" i="7"/>
  <c r="S73" i="7"/>
  <c r="R73" i="7"/>
  <c r="F82" i="7"/>
  <c r="N81" i="7"/>
  <c r="C62" i="1"/>
  <c r="K61" i="1"/>
  <c r="X61" i="1"/>
  <c r="S61" i="1"/>
  <c r="Y61" i="1"/>
  <c r="V61" i="1"/>
  <c r="R61" i="1"/>
  <c r="U61" i="1"/>
  <c r="W61" i="1"/>
  <c r="T61" i="1"/>
  <c r="K66" i="4"/>
  <c r="C67" i="4"/>
  <c r="F73" i="4"/>
  <c r="N72" i="4"/>
  <c r="F71" i="1"/>
  <c r="N70" i="1"/>
  <c r="M70" i="1"/>
  <c r="L69" i="1"/>
  <c r="F85" i="15" l="1"/>
  <c r="N84" i="15"/>
  <c r="C80" i="15"/>
  <c r="K79" i="15"/>
  <c r="W79" i="15"/>
  <c r="V79" i="15"/>
  <c r="Y79" i="15"/>
  <c r="U79" i="15"/>
  <c r="S79" i="15"/>
  <c r="X79" i="15"/>
  <c r="T79" i="15"/>
  <c r="R79" i="15"/>
  <c r="K80" i="14"/>
  <c r="V80" i="14"/>
  <c r="C81" i="14"/>
  <c r="Y80" i="14"/>
  <c r="U80" i="14"/>
  <c r="S80" i="14"/>
  <c r="X80" i="14"/>
  <c r="T80" i="14"/>
  <c r="R80" i="14"/>
  <c r="W80" i="14"/>
  <c r="N84" i="14"/>
  <c r="F85" i="14"/>
  <c r="V67" i="4"/>
  <c r="R67" i="4"/>
  <c r="X67" i="4"/>
  <c r="S67" i="4"/>
  <c r="T67" i="4"/>
  <c r="Y67" i="4"/>
  <c r="W67" i="4"/>
  <c r="U67" i="4"/>
  <c r="K77" i="11"/>
  <c r="C78" i="11"/>
  <c r="R77" i="11"/>
  <c r="U77" i="11"/>
  <c r="Y77" i="11"/>
  <c r="W77" i="11"/>
  <c r="S77" i="11"/>
  <c r="T77" i="11"/>
  <c r="X77" i="11"/>
  <c r="V77" i="11"/>
  <c r="F82" i="11"/>
  <c r="N81" i="11"/>
  <c r="C78" i="10"/>
  <c r="K77" i="10"/>
  <c r="X77" i="10"/>
  <c r="Y77" i="10"/>
  <c r="V77" i="10"/>
  <c r="S77" i="10"/>
  <c r="R77" i="10"/>
  <c r="U77" i="10"/>
  <c r="W77" i="10"/>
  <c r="T77" i="10"/>
  <c r="F84" i="10"/>
  <c r="N83" i="10"/>
  <c r="K74" i="9"/>
  <c r="C75" i="9"/>
  <c r="X74" i="9"/>
  <c r="S74" i="9"/>
  <c r="V74" i="9"/>
  <c r="W74" i="9"/>
  <c r="Y74" i="9"/>
  <c r="R74" i="9"/>
  <c r="T74" i="9"/>
  <c r="U74" i="9"/>
  <c r="F85" i="9"/>
  <c r="N84" i="9"/>
  <c r="C76" i="8"/>
  <c r="K75" i="8"/>
  <c r="S75" i="8"/>
  <c r="T75" i="8"/>
  <c r="V75" i="8"/>
  <c r="Y75" i="8"/>
  <c r="U75" i="8"/>
  <c r="R75" i="8"/>
  <c r="X75" i="8"/>
  <c r="W75" i="8"/>
  <c r="N83" i="8"/>
  <c r="F84" i="8"/>
  <c r="N82" i="7"/>
  <c r="F83" i="7"/>
  <c r="C75" i="7"/>
  <c r="K74" i="7"/>
  <c r="W74" i="7"/>
  <c r="X74" i="7"/>
  <c r="Y74" i="7"/>
  <c r="S74" i="7"/>
  <c r="R74" i="7"/>
  <c r="V74" i="7"/>
  <c r="U74" i="7"/>
  <c r="T74" i="7"/>
  <c r="C63" i="1"/>
  <c r="K62" i="1"/>
  <c r="X62" i="1"/>
  <c r="X5" i="1" s="1"/>
  <c r="S62" i="1"/>
  <c r="S5" i="1" s="1"/>
  <c r="W62" i="1"/>
  <c r="W5" i="1" s="1"/>
  <c r="U62" i="1"/>
  <c r="U5" i="1" s="1"/>
  <c r="V62" i="1"/>
  <c r="V5" i="1" s="1"/>
  <c r="R62" i="1"/>
  <c r="R5" i="1" s="1"/>
  <c r="Y62" i="1"/>
  <c r="Y5" i="1" s="1"/>
  <c r="T62" i="1"/>
  <c r="T5" i="1" s="1"/>
  <c r="F74" i="4"/>
  <c r="N73" i="4"/>
  <c r="K67" i="4"/>
  <c r="C68" i="4"/>
  <c r="F72" i="1"/>
  <c r="N71" i="1"/>
  <c r="M71" i="1"/>
  <c r="L70" i="1"/>
  <c r="K80" i="15" l="1"/>
  <c r="S80" i="15"/>
  <c r="C81" i="15"/>
  <c r="R80" i="15"/>
  <c r="W80" i="15"/>
  <c r="V80" i="15"/>
  <c r="Y80" i="15"/>
  <c r="T80" i="15"/>
  <c r="X80" i="15"/>
  <c r="U80" i="15"/>
  <c r="N85" i="15"/>
  <c r="F86" i="15"/>
  <c r="N85" i="14"/>
  <c r="F86" i="14"/>
  <c r="C82" i="14"/>
  <c r="K81" i="14"/>
  <c r="W81" i="14"/>
  <c r="S81" i="14"/>
  <c r="T81" i="14"/>
  <c r="V81" i="14"/>
  <c r="X81" i="14"/>
  <c r="Y81" i="14"/>
  <c r="U81" i="14"/>
  <c r="R81" i="14"/>
  <c r="V68" i="4"/>
  <c r="R68" i="4"/>
  <c r="U68" i="4"/>
  <c r="Y68" i="4"/>
  <c r="S68" i="4"/>
  <c r="X68" i="4"/>
  <c r="W68" i="4"/>
  <c r="T68" i="4"/>
  <c r="F83" i="11"/>
  <c r="N82" i="11"/>
  <c r="K78" i="11"/>
  <c r="C79" i="11"/>
  <c r="W78" i="11"/>
  <c r="R78" i="11"/>
  <c r="U78" i="11"/>
  <c r="S78" i="11"/>
  <c r="T78" i="11"/>
  <c r="X78" i="11"/>
  <c r="V78" i="11"/>
  <c r="Y78" i="11"/>
  <c r="F85" i="10"/>
  <c r="N84" i="10"/>
  <c r="K78" i="10"/>
  <c r="C79" i="10"/>
  <c r="U78" i="10"/>
  <c r="R78" i="10"/>
  <c r="T78" i="10"/>
  <c r="S78" i="10"/>
  <c r="W78" i="10"/>
  <c r="Y78" i="10"/>
  <c r="V78" i="10"/>
  <c r="X78" i="10"/>
  <c r="F86" i="9"/>
  <c r="N85" i="9"/>
  <c r="K75" i="9"/>
  <c r="C76" i="9"/>
  <c r="R75" i="9"/>
  <c r="U75" i="9"/>
  <c r="S75" i="9"/>
  <c r="T75" i="9"/>
  <c r="Y75" i="9"/>
  <c r="W75" i="9"/>
  <c r="X75" i="9"/>
  <c r="V75" i="9"/>
  <c r="N84" i="8"/>
  <c r="F85" i="8"/>
  <c r="C77" i="8"/>
  <c r="K76" i="8"/>
  <c r="X76" i="8"/>
  <c r="U76" i="8"/>
  <c r="V76" i="8"/>
  <c r="R76" i="8"/>
  <c r="Y76" i="8"/>
  <c r="W76" i="8"/>
  <c r="T76" i="8"/>
  <c r="S76" i="8"/>
  <c r="C76" i="7"/>
  <c r="K75" i="7"/>
  <c r="S75" i="7"/>
  <c r="T75" i="7"/>
  <c r="X75" i="7"/>
  <c r="U75" i="7"/>
  <c r="Y75" i="7"/>
  <c r="W75" i="7"/>
  <c r="V75" i="7"/>
  <c r="R75" i="7"/>
  <c r="F84" i="7"/>
  <c r="N83" i="7"/>
  <c r="C64" i="1"/>
  <c r="K63" i="1"/>
  <c r="X63" i="1"/>
  <c r="S63" i="1"/>
  <c r="W63" i="1"/>
  <c r="Y63" i="1"/>
  <c r="V63" i="1"/>
  <c r="U63" i="1"/>
  <c r="R63" i="1"/>
  <c r="T63" i="1"/>
  <c r="K68" i="4"/>
  <c r="C69" i="4"/>
  <c r="F75" i="4"/>
  <c r="N74" i="4"/>
  <c r="F73" i="1"/>
  <c r="N72" i="1"/>
  <c r="M72" i="1"/>
  <c r="L71" i="1"/>
  <c r="F87" i="15" l="1"/>
  <c r="N86" i="15"/>
  <c r="C82" i="15"/>
  <c r="K81" i="15"/>
  <c r="W81" i="15"/>
  <c r="S81" i="15"/>
  <c r="T81" i="15"/>
  <c r="U81" i="15"/>
  <c r="Y81" i="15"/>
  <c r="X81" i="15"/>
  <c r="V81" i="15"/>
  <c r="R81" i="15"/>
  <c r="C83" i="14"/>
  <c r="W82" i="14"/>
  <c r="K82" i="14"/>
  <c r="X82" i="14"/>
  <c r="R82" i="14"/>
  <c r="T82" i="14"/>
  <c r="Y82" i="14"/>
  <c r="S82" i="14"/>
  <c r="V82" i="14"/>
  <c r="U82" i="14"/>
  <c r="N86" i="14"/>
  <c r="F87" i="14"/>
  <c r="V69" i="4"/>
  <c r="R69" i="4"/>
  <c r="X69" i="4"/>
  <c r="S69" i="4"/>
  <c r="Y69" i="4"/>
  <c r="W69" i="4"/>
  <c r="U69" i="4"/>
  <c r="T69" i="4"/>
  <c r="K79" i="11"/>
  <c r="C80" i="11"/>
  <c r="V79" i="11"/>
  <c r="Y79" i="11"/>
  <c r="T79" i="11"/>
  <c r="X79" i="11"/>
  <c r="U79" i="11"/>
  <c r="W79" i="11"/>
  <c r="S79" i="11"/>
  <c r="R79" i="11"/>
  <c r="F84" i="11"/>
  <c r="N83" i="11"/>
  <c r="C80" i="10"/>
  <c r="K79" i="10"/>
  <c r="X79" i="10"/>
  <c r="U79" i="10"/>
  <c r="V79" i="10"/>
  <c r="R79" i="10"/>
  <c r="Y79" i="10"/>
  <c r="S79" i="10"/>
  <c r="T79" i="10"/>
  <c r="W79" i="10"/>
  <c r="N85" i="10"/>
  <c r="F86" i="10"/>
  <c r="K76" i="9"/>
  <c r="C77" i="9"/>
  <c r="X76" i="9"/>
  <c r="T76" i="9"/>
  <c r="S76" i="9"/>
  <c r="V76" i="9"/>
  <c r="R76" i="9"/>
  <c r="U76" i="9"/>
  <c r="W76" i="9"/>
  <c r="Y76" i="9"/>
  <c r="F87" i="9"/>
  <c r="N86" i="9"/>
  <c r="K77" i="8"/>
  <c r="C78" i="8"/>
  <c r="Y77" i="8"/>
  <c r="V77" i="8"/>
  <c r="U77" i="8"/>
  <c r="S77" i="8"/>
  <c r="W77" i="8"/>
  <c r="X77" i="8"/>
  <c r="R77" i="8"/>
  <c r="T77" i="8"/>
  <c r="N85" i="8"/>
  <c r="F86" i="8"/>
  <c r="N84" i="7"/>
  <c r="F85" i="7"/>
  <c r="K76" i="7"/>
  <c r="C77" i="7"/>
  <c r="Y76" i="7"/>
  <c r="X76" i="7"/>
  <c r="W76" i="7"/>
  <c r="T76" i="7"/>
  <c r="R76" i="7"/>
  <c r="S76" i="7"/>
  <c r="U76" i="7"/>
  <c r="V76" i="7"/>
  <c r="C65" i="1"/>
  <c r="K64" i="1"/>
  <c r="X64" i="1"/>
  <c r="S64" i="1"/>
  <c r="T64" i="1"/>
  <c r="U64" i="1"/>
  <c r="V64" i="1"/>
  <c r="R64" i="1"/>
  <c r="Y64" i="1"/>
  <c r="W64" i="1"/>
  <c r="F76" i="4"/>
  <c r="N75" i="4"/>
  <c r="K69" i="4"/>
  <c r="C70" i="4"/>
  <c r="F74" i="1"/>
  <c r="N73" i="1"/>
  <c r="M73" i="1"/>
  <c r="L72" i="1"/>
  <c r="K82" i="15" l="1"/>
  <c r="C83" i="15"/>
  <c r="R82" i="15"/>
  <c r="W82" i="15"/>
  <c r="V82" i="15"/>
  <c r="S82" i="15"/>
  <c r="T82" i="15"/>
  <c r="X82" i="15"/>
  <c r="U82" i="15"/>
  <c r="Y82" i="15"/>
  <c r="F88" i="15"/>
  <c r="N87" i="15"/>
  <c r="N87" i="14"/>
  <c r="F88" i="14"/>
  <c r="C84" i="14"/>
  <c r="K83" i="14"/>
  <c r="Y83" i="14"/>
  <c r="U83" i="14"/>
  <c r="T83" i="14"/>
  <c r="S83" i="14"/>
  <c r="W83" i="14"/>
  <c r="V83" i="14"/>
  <c r="X83" i="14"/>
  <c r="R83" i="14"/>
  <c r="V70" i="4"/>
  <c r="R70" i="4"/>
  <c r="U70" i="4"/>
  <c r="X70" i="4"/>
  <c r="W70" i="4"/>
  <c r="Y70" i="4"/>
  <c r="T70" i="4"/>
  <c r="S70" i="4"/>
  <c r="N84" i="11"/>
  <c r="F85" i="11"/>
  <c r="K80" i="11"/>
  <c r="C81" i="11"/>
  <c r="X80" i="11"/>
  <c r="Y80" i="11"/>
  <c r="U80" i="11"/>
  <c r="W80" i="11"/>
  <c r="T80" i="11"/>
  <c r="R80" i="11"/>
  <c r="V80" i="11"/>
  <c r="S80" i="11"/>
  <c r="F87" i="10"/>
  <c r="N86" i="10"/>
  <c r="K80" i="10"/>
  <c r="C81" i="10"/>
  <c r="Y80" i="10"/>
  <c r="R80" i="10"/>
  <c r="U80" i="10"/>
  <c r="W80" i="10"/>
  <c r="V80" i="10"/>
  <c r="S80" i="10"/>
  <c r="T80" i="10"/>
  <c r="X80" i="10"/>
  <c r="K77" i="9"/>
  <c r="C78" i="9"/>
  <c r="S77" i="9"/>
  <c r="T77" i="9"/>
  <c r="W77" i="9"/>
  <c r="X77" i="9"/>
  <c r="V77" i="9"/>
  <c r="Y77" i="9"/>
  <c r="U77" i="9"/>
  <c r="R77" i="9"/>
  <c r="F88" i="9"/>
  <c r="N87" i="9"/>
  <c r="C79" i="8"/>
  <c r="K78" i="8"/>
  <c r="V78" i="8"/>
  <c r="U78" i="8"/>
  <c r="Y78" i="8"/>
  <c r="S78" i="8"/>
  <c r="R78" i="8"/>
  <c r="T78" i="8"/>
  <c r="X78" i="8"/>
  <c r="W78" i="8"/>
  <c r="N86" i="8"/>
  <c r="F87" i="8"/>
  <c r="C78" i="7"/>
  <c r="K77" i="7"/>
  <c r="W77" i="7"/>
  <c r="Y77" i="7"/>
  <c r="S77" i="7"/>
  <c r="R77" i="7"/>
  <c r="U77" i="7"/>
  <c r="X77" i="7"/>
  <c r="T77" i="7"/>
  <c r="V77" i="7"/>
  <c r="F86" i="7"/>
  <c r="N85" i="7"/>
  <c r="C66" i="1"/>
  <c r="K65" i="1"/>
  <c r="X65" i="1"/>
  <c r="S65" i="1"/>
  <c r="T65" i="1"/>
  <c r="U65" i="1"/>
  <c r="V65" i="1"/>
  <c r="R65" i="1"/>
  <c r="Y65" i="1"/>
  <c r="W65" i="1"/>
  <c r="N76" i="4"/>
  <c r="F77" i="4"/>
  <c r="K70" i="4"/>
  <c r="C71" i="4"/>
  <c r="F75" i="1"/>
  <c r="N74" i="1"/>
  <c r="M74" i="1"/>
  <c r="L73" i="1"/>
  <c r="F89" i="15" l="1"/>
  <c r="N88" i="15"/>
  <c r="C84" i="15"/>
  <c r="K83" i="15"/>
  <c r="X83" i="15"/>
  <c r="Y83" i="15"/>
  <c r="R83" i="15"/>
  <c r="U83" i="15"/>
  <c r="V83" i="15"/>
  <c r="W83" i="15"/>
  <c r="S83" i="15"/>
  <c r="T83" i="15"/>
  <c r="C85" i="14"/>
  <c r="K84" i="14"/>
  <c r="T84" i="14"/>
  <c r="U84" i="14"/>
  <c r="W84" i="14"/>
  <c r="Y84" i="14"/>
  <c r="V84" i="14"/>
  <c r="X84" i="14"/>
  <c r="S84" i="14"/>
  <c r="R84" i="14"/>
  <c r="F89" i="14"/>
  <c r="N88" i="14"/>
  <c r="V71" i="4"/>
  <c r="R71" i="4"/>
  <c r="X71" i="4"/>
  <c r="S71" i="4"/>
  <c r="T71" i="4"/>
  <c r="Y71" i="4"/>
  <c r="W71" i="4"/>
  <c r="U71" i="4"/>
  <c r="K81" i="11"/>
  <c r="C82" i="11"/>
  <c r="R81" i="11"/>
  <c r="W81" i="11"/>
  <c r="V81" i="11"/>
  <c r="T81" i="11"/>
  <c r="S81" i="11"/>
  <c r="U81" i="11"/>
  <c r="Y81" i="11"/>
  <c r="X81" i="11"/>
  <c r="F86" i="11"/>
  <c r="N85" i="11"/>
  <c r="C82" i="10"/>
  <c r="K81" i="10"/>
  <c r="V81" i="10"/>
  <c r="W81" i="10"/>
  <c r="Y81" i="10"/>
  <c r="X81" i="10"/>
  <c r="T81" i="10"/>
  <c r="S81" i="10"/>
  <c r="U81" i="10"/>
  <c r="R81" i="10"/>
  <c r="N87" i="10"/>
  <c r="F88" i="10"/>
  <c r="F89" i="9"/>
  <c r="N88" i="9"/>
  <c r="K78" i="9"/>
  <c r="C79" i="9"/>
  <c r="X78" i="9"/>
  <c r="U78" i="9"/>
  <c r="S78" i="9"/>
  <c r="V78" i="9"/>
  <c r="W78" i="9"/>
  <c r="Y78" i="9"/>
  <c r="R78" i="9"/>
  <c r="T78" i="9"/>
  <c r="N87" i="8"/>
  <c r="F88" i="8"/>
  <c r="K79" i="8"/>
  <c r="C80" i="8"/>
  <c r="U79" i="8"/>
  <c r="X79" i="8"/>
  <c r="W79" i="8"/>
  <c r="V79" i="8"/>
  <c r="Y79" i="8"/>
  <c r="R79" i="8"/>
  <c r="T79" i="8"/>
  <c r="S79" i="8"/>
  <c r="N86" i="7"/>
  <c r="F87" i="7"/>
  <c r="K78" i="7"/>
  <c r="C79" i="7"/>
  <c r="Y78" i="7"/>
  <c r="T78" i="7"/>
  <c r="X78" i="7"/>
  <c r="V78" i="7"/>
  <c r="R78" i="7"/>
  <c r="U78" i="7"/>
  <c r="S78" i="7"/>
  <c r="W78" i="7"/>
  <c r="C67" i="1"/>
  <c r="K66" i="1"/>
  <c r="X66" i="1"/>
  <c r="S66" i="1"/>
  <c r="Y66" i="1"/>
  <c r="V66" i="1"/>
  <c r="U66" i="1"/>
  <c r="R66" i="1"/>
  <c r="W66" i="1"/>
  <c r="T66" i="1"/>
  <c r="N77" i="4"/>
  <c r="F78" i="4"/>
  <c r="K71" i="4"/>
  <c r="C72" i="4"/>
  <c r="F76" i="1"/>
  <c r="N75" i="1"/>
  <c r="M75" i="1"/>
  <c r="L74" i="1"/>
  <c r="K84" i="15" l="1"/>
  <c r="W84" i="15"/>
  <c r="V84" i="15"/>
  <c r="R84" i="15"/>
  <c r="C85" i="15"/>
  <c r="S84" i="15"/>
  <c r="T84" i="15"/>
  <c r="X84" i="15"/>
  <c r="U84" i="15"/>
  <c r="Y84" i="15"/>
  <c r="N89" i="15"/>
  <c r="F90" i="15"/>
  <c r="N89" i="14"/>
  <c r="F90" i="14"/>
  <c r="C86" i="14"/>
  <c r="K85" i="14"/>
  <c r="V85" i="14"/>
  <c r="U85" i="14"/>
  <c r="R85" i="14"/>
  <c r="X85" i="14"/>
  <c r="T85" i="14"/>
  <c r="Y85" i="14"/>
  <c r="W85" i="14"/>
  <c r="S85" i="14"/>
  <c r="V72" i="4"/>
  <c r="R72" i="4"/>
  <c r="U72" i="4"/>
  <c r="Y72" i="4"/>
  <c r="S72" i="4"/>
  <c r="X72" i="4"/>
  <c r="W72" i="4"/>
  <c r="T72" i="4"/>
  <c r="F87" i="11"/>
  <c r="N86" i="11"/>
  <c r="C83" i="11"/>
  <c r="K82" i="11"/>
  <c r="V82" i="11"/>
  <c r="S82" i="11"/>
  <c r="R82" i="11"/>
  <c r="X82" i="11"/>
  <c r="U82" i="11"/>
  <c r="W82" i="11"/>
  <c r="Y82" i="11"/>
  <c r="T82" i="11"/>
  <c r="F89" i="10"/>
  <c r="N88" i="10"/>
  <c r="K82" i="10"/>
  <c r="C83" i="10"/>
  <c r="X82" i="10"/>
  <c r="U82" i="10"/>
  <c r="S82" i="10"/>
  <c r="V82" i="10"/>
  <c r="R82" i="10"/>
  <c r="T82" i="10"/>
  <c r="Y82" i="10"/>
  <c r="W82" i="10"/>
  <c r="K79" i="9"/>
  <c r="C80" i="9"/>
  <c r="V79" i="9"/>
  <c r="W79" i="9"/>
  <c r="R79" i="9"/>
  <c r="S79" i="9"/>
  <c r="U79" i="9"/>
  <c r="Y79" i="9"/>
  <c r="T79" i="9"/>
  <c r="X79" i="9"/>
  <c r="F90" i="9"/>
  <c r="N89" i="9"/>
  <c r="N88" i="8"/>
  <c r="F89" i="8"/>
  <c r="C81" i="8"/>
  <c r="K80" i="8"/>
  <c r="W80" i="8"/>
  <c r="Y80" i="8"/>
  <c r="U80" i="8"/>
  <c r="S80" i="8"/>
  <c r="V80" i="8"/>
  <c r="T80" i="8"/>
  <c r="R80" i="8"/>
  <c r="X80" i="8"/>
  <c r="C80" i="7"/>
  <c r="K79" i="7"/>
  <c r="X79" i="7"/>
  <c r="R79" i="7"/>
  <c r="U79" i="7"/>
  <c r="W79" i="7"/>
  <c r="S79" i="7"/>
  <c r="Y79" i="7"/>
  <c r="T79" i="7"/>
  <c r="V79" i="7"/>
  <c r="F88" i="7"/>
  <c r="N87" i="7"/>
  <c r="C68" i="1"/>
  <c r="K67" i="1"/>
  <c r="X67" i="1"/>
  <c r="S67" i="1"/>
  <c r="U67" i="1"/>
  <c r="V67" i="1"/>
  <c r="R67" i="1"/>
  <c r="Y67" i="1"/>
  <c r="W67" i="1"/>
  <c r="T67" i="1"/>
  <c r="N78" i="4"/>
  <c r="F79" i="4"/>
  <c r="K72" i="4"/>
  <c r="C73" i="4"/>
  <c r="F77" i="1"/>
  <c r="N76" i="1"/>
  <c r="M76" i="1"/>
  <c r="L75" i="1"/>
  <c r="N90" i="15" l="1"/>
  <c r="F91" i="15"/>
  <c r="C86" i="15"/>
  <c r="U85" i="15"/>
  <c r="K85" i="15"/>
  <c r="X85" i="15"/>
  <c r="V85" i="15"/>
  <c r="Y85" i="15"/>
  <c r="W85" i="15"/>
  <c r="T85" i="15"/>
  <c r="R85" i="15"/>
  <c r="S85" i="15"/>
  <c r="K86" i="14"/>
  <c r="U86" i="14"/>
  <c r="C87" i="14"/>
  <c r="V86" i="14"/>
  <c r="T86" i="14"/>
  <c r="S86" i="14"/>
  <c r="R86" i="14"/>
  <c r="Y86" i="14"/>
  <c r="W86" i="14"/>
  <c r="X86" i="14"/>
  <c r="N90" i="14"/>
  <c r="F91" i="14"/>
  <c r="V73" i="4"/>
  <c r="R73" i="4"/>
  <c r="X73" i="4"/>
  <c r="S73" i="4"/>
  <c r="Y73" i="4"/>
  <c r="T73" i="4"/>
  <c r="W73" i="4"/>
  <c r="U73" i="4"/>
  <c r="K83" i="11"/>
  <c r="C84" i="11"/>
  <c r="W83" i="11"/>
  <c r="T83" i="11"/>
  <c r="Y83" i="11"/>
  <c r="S83" i="11"/>
  <c r="X83" i="11"/>
  <c r="U83" i="11"/>
  <c r="R83" i="11"/>
  <c r="V83" i="11"/>
  <c r="F88" i="11"/>
  <c r="N87" i="11"/>
  <c r="C84" i="10"/>
  <c r="K83" i="10"/>
  <c r="U83" i="10"/>
  <c r="W83" i="10"/>
  <c r="T83" i="10"/>
  <c r="S83" i="10"/>
  <c r="V83" i="10"/>
  <c r="Y83" i="10"/>
  <c r="X83" i="10"/>
  <c r="R83" i="10"/>
  <c r="F90" i="10"/>
  <c r="N89" i="10"/>
  <c r="F91" i="9"/>
  <c r="N90" i="9"/>
  <c r="K80" i="9"/>
  <c r="C81" i="9"/>
  <c r="S80" i="9"/>
  <c r="V80" i="9"/>
  <c r="T80" i="9"/>
  <c r="W80" i="9"/>
  <c r="U80" i="9"/>
  <c r="R80" i="9"/>
  <c r="X80" i="9"/>
  <c r="Y80" i="9"/>
  <c r="C82" i="8"/>
  <c r="K81" i="8"/>
  <c r="W81" i="8"/>
  <c r="S81" i="8"/>
  <c r="T81" i="8"/>
  <c r="U81" i="8"/>
  <c r="V81" i="8"/>
  <c r="X81" i="8"/>
  <c r="Y81" i="8"/>
  <c r="R81" i="8"/>
  <c r="N89" i="8"/>
  <c r="F90" i="8"/>
  <c r="F89" i="7"/>
  <c r="N88" i="7"/>
  <c r="C81" i="7"/>
  <c r="K80" i="7"/>
  <c r="X80" i="7"/>
  <c r="Y80" i="7"/>
  <c r="R80" i="7"/>
  <c r="T80" i="7"/>
  <c r="V80" i="7"/>
  <c r="W80" i="7"/>
  <c r="S80" i="7"/>
  <c r="U80" i="7"/>
  <c r="C69" i="1"/>
  <c r="K68" i="1"/>
  <c r="X68" i="1"/>
  <c r="S68" i="1"/>
  <c r="U68" i="1"/>
  <c r="V68" i="1"/>
  <c r="R68" i="1"/>
  <c r="Y68" i="1"/>
  <c r="W68" i="1"/>
  <c r="T68" i="1"/>
  <c r="K73" i="4"/>
  <c r="C74" i="4"/>
  <c r="N79" i="4"/>
  <c r="F80" i="4"/>
  <c r="F78" i="1"/>
  <c r="N77" i="1"/>
  <c r="M77" i="1"/>
  <c r="L76" i="1"/>
  <c r="K86" i="15" l="1"/>
  <c r="V86" i="15"/>
  <c r="S86" i="15"/>
  <c r="C87" i="15"/>
  <c r="W86" i="15"/>
  <c r="R86" i="15"/>
  <c r="T86" i="15"/>
  <c r="U86" i="15"/>
  <c r="X86" i="15"/>
  <c r="Y86" i="15"/>
  <c r="N91" i="15"/>
  <c r="F92" i="15"/>
  <c r="F92" i="14"/>
  <c r="N91" i="14"/>
  <c r="C88" i="14"/>
  <c r="K87" i="14"/>
  <c r="R87" i="14"/>
  <c r="T87" i="14"/>
  <c r="S87" i="14"/>
  <c r="W87" i="14"/>
  <c r="X87" i="14"/>
  <c r="U87" i="14"/>
  <c r="V87" i="14"/>
  <c r="Y87" i="14"/>
  <c r="V74" i="4"/>
  <c r="R74" i="4"/>
  <c r="U74" i="4"/>
  <c r="X74" i="4"/>
  <c r="T74" i="4"/>
  <c r="S74" i="4"/>
  <c r="Y74" i="4"/>
  <c r="W74" i="4"/>
  <c r="N88" i="11"/>
  <c r="F89" i="11"/>
  <c r="C85" i="11"/>
  <c r="K84" i="11"/>
  <c r="U84" i="11"/>
  <c r="R84" i="11"/>
  <c r="T84" i="11"/>
  <c r="W84" i="11"/>
  <c r="X84" i="11"/>
  <c r="V84" i="11"/>
  <c r="S84" i="11"/>
  <c r="Y84" i="11"/>
  <c r="F91" i="10"/>
  <c r="N90" i="10"/>
  <c r="K84" i="10"/>
  <c r="C85" i="10"/>
  <c r="T84" i="10"/>
  <c r="U84" i="10"/>
  <c r="X84" i="10"/>
  <c r="V84" i="10"/>
  <c r="W84" i="10"/>
  <c r="R84" i="10"/>
  <c r="S84" i="10"/>
  <c r="Y84" i="10"/>
  <c r="K81" i="9"/>
  <c r="C82" i="9"/>
  <c r="T81" i="9"/>
  <c r="V81" i="9"/>
  <c r="X81" i="9"/>
  <c r="U81" i="9"/>
  <c r="Y81" i="9"/>
  <c r="S81" i="9"/>
  <c r="W81" i="9"/>
  <c r="R81" i="9"/>
  <c r="F92" i="9"/>
  <c r="N91" i="9"/>
  <c r="N90" i="8"/>
  <c r="F91" i="8"/>
  <c r="C83" i="8"/>
  <c r="K82" i="8"/>
  <c r="U82" i="8"/>
  <c r="T82" i="8"/>
  <c r="V82" i="8"/>
  <c r="S82" i="8"/>
  <c r="W82" i="8"/>
  <c r="R82" i="8"/>
  <c r="Y82" i="8"/>
  <c r="X82" i="8"/>
  <c r="C82" i="7"/>
  <c r="K81" i="7"/>
  <c r="X81" i="7"/>
  <c r="U81" i="7"/>
  <c r="Y81" i="7"/>
  <c r="T81" i="7"/>
  <c r="R81" i="7"/>
  <c r="S81" i="7"/>
  <c r="W81" i="7"/>
  <c r="V81" i="7"/>
  <c r="N89" i="7"/>
  <c r="F90" i="7"/>
  <c r="C70" i="1"/>
  <c r="K69" i="1"/>
  <c r="X69" i="1"/>
  <c r="S69" i="1"/>
  <c r="Y69" i="1"/>
  <c r="V69" i="1"/>
  <c r="U69" i="1"/>
  <c r="R69" i="1"/>
  <c r="W69" i="1"/>
  <c r="T69" i="1"/>
  <c r="N80" i="4"/>
  <c r="F81" i="4"/>
  <c r="K74" i="4"/>
  <c r="C75" i="4"/>
  <c r="F79" i="1"/>
  <c r="N78" i="1"/>
  <c r="M78" i="1"/>
  <c r="L77" i="1"/>
  <c r="N92" i="15" l="1"/>
  <c r="F93" i="15"/>
  <c r="C88" i="15"/>
  <c r="K87" i="15"/>
  <c r="S87" i="15"/>
  <c r="X87" i="15"/>
  <c r="U87" i="15"/>
  <c r="R87" i="15"/>
  <c r="W87" i="15"/>
  <c r="Y87" i="15"/>
  <c r="T87" i="15"/>
  <c r="V87" i="15"/>
  <c r="K88" i="14"/>
  <c r="V88" i="14"/>
  <c r="U88" i="14"/>
  <c r="S88" i="14"/>
  <c r="C89" i="14"/>
  <c r="T88" i="14"/>
  <c r="R88" i="14"/>
  <c r="X88" i="14"/>
  <c r="W88" i="14"/>
  <c r="Y88" i="14"/>
  <c r="N92" i="14"/>
  <c r="F93" i="14"/>
  <c r="V75" i="4"/>
  <c r="R75" i="4"/>
  <c r="X75" i="4"/>
  <c r="S75" i="4"/>
  <c r="W75" i="4"/>
  <c r="U75" i="4"/>
  <c r="T75" i="4"/>
  <c r="Y75" i="4"/>
  <c r="K85" i="11"/>
  <c r="C86" i="11"/>
  <c r="S85" i="11"/>
  <c r="R85" i="11"/>
  <c r="W85" i="11"/>
  <c r="Y85" i="11"/>
  <c r="X85" i="11"/>
  <c r="T85" i="11"/>
  <c r="U85" i="11"/>
  <c r="V85" i="11"/>
  <c r="F90" i="11"/>
  <c r="N89" i="11"/>
  <c r="C86" i="10"/>
  <c r="K85" i="10"/>
  <c r="W85" i="10"/>
  <c r="R85" i="10"/>
  <c r="X85" i="10"/>
  <c r="V85" i="10"/>
  <c r="U85" i="10"/>
  <c r="T85" i="10"/>
  <c r="Y85" i="10"/>
  <c r="S85" i="10"/>
  <c r="F92" i="10"/>
  <c r="N91" i="10"/>
  <c r="K82" i="9"/>
  <c r="C83" i="9"/>
  <c r="W82" i="9"/>
  <c r="U82" i="9"/>
  <c r="R82" i="9"/>
  <c r="S82" i="9"/>
  <c r="X82" i="9"/>
  <c r="T82" i="9"/>
  <c r="Y82" i="9"/>
  <c r="V82" i="9"/>
  <c r="N92" i="9"/>
  <c r="F93" i="9"/>
  <c r="C84" i="8"/>
  <c r="K83" i="8"/>
  <c r="S83" i="8"/>
  <c r="Y83" i="8"/>
  <c r="V83" i="8"/>
  <c r="R83" i="8"/>
  <c r="T83" i="8"/>
  <c r="U83" i="8"/>
  <c r="X83" i="8"/>
  <c r="W83" i="8"/>
  <c r="F92" i="8"/>
  <c r="N91" i="8"/>
  <c r="N90" i="7"/>
  <c r="F91" i="7"/>
  <c r="K82" i="7"/>
  <c r="C83" i="7"/>
  <c r="Y82" i="7"/>
  <c r="T82" i="7"/>
  <c r="S82" i="7"/>
  <c r="V82" i="7"/>
  <c r="R82" i="7"/>
  <c r="X82" i="7"/>
  <c r="U82" i="7"/>
  <c r="W82" i="7"/>
  <c r="C71" i="1"/>
  <c r="K70" i="1"/>
  <c r="Y70" i="1"/>
  <c r="W70" i="1"/>
  <c r="U70" i="1"/>
  <c r="S70" i="1"/>
  <c r="V70" i="1"/>
  <c r="R70" i="1"/>
  <c r="T70" i="1"/>
  <c r="X70" i="1"/>
  <c r="N81" i="4"/>
  <c r="F82" i="4"/>
  <c r="C76" i="4"/>
  <c r="K75" i="4"/>
  <c r="F80" i="1"/>
  <c r="N79" i="1"/>
  <c r="M79" i="1"/>
  <c r="L78" i="1"/>
  <c r="C89" i="15" l="1"/>
  <c r="K88" i="15"/>
  <c r="S88" i="15"/>
  <c r="R88" i="15"/>
  <c r="W88" i="15"/>
  <c r="V88" i="15"/>
  <c r="X88" i="15"/>
  <c r="U88" i="15"/>
  <c r="T88" i="15"/>
  <c r="Y88" i="15"/>
  <c r="F94" i="15"/>
  <c r="N93" i="15"/>
  <c r="F94" i="14"/>
  <c r="N93" i="14"/>
  <c r="C90" i="14"/>
  <c r="K89" i="14"/>
  <c r="V89" i="14"/>
  <c r="Y89" i="14"/>
  <c r="R89" i="14"/>
  <c r="S89" i="14"/>
  <c r="X89" i="14"/>
  <c r="W89" i="14"/>
  <c r="U89" i="14"/>
  <c r="T89" i="14"/>
  <c r="V76" i="4"/>
  <c r="R76" i="4"/>
  <c r="U76" i="4"/>
  <c r="W76" i="4"/>
  <c r="X76" i="4"/>
  <c r="T76" i="4"/>
  <c r="S76" i="4"/>
  <c r="Y76" i="4"/>
  <c r="F91" i="11"/>
  <c r="N90" i="11"/>
  <c r="C87" i="11"/>
  <c r="K86" i="11"/>
  <c r="V86" i="11"/>
  <c r="X86" i="11"/>
  <c r="T86" i="11"/>
  <c r="S86" i="11"/>
  <c r="U86" i="11"/>
  <c r="W86" i="11"/>
  <c r="Y86" i="11"/>
  <c r="R86" i="11"/>
  <c r="N92" i="10"/>
  <c r="F93" i="10"/>
  <c r="K86" i="10"/>
  <c r="C87" i="10"/>
  <c r="R86" i="10"/>
  <c r="T86" i="10"/>
  <c r="V86" i="10"/>
  <c r="U86" i="10"/>
  <c r="W86" i="10"/>
  <c r="Y86" i="10"/>
  <c r="S86" i="10"/>
  <c r="X86" i="10"/>
  <c r="F94" i="9"/>
  <c r="N93" i="9"/>
  <c r="C84" i="9"/>
  <c r="K83" i="9"/>
  <c r="U83" i="9"/>
  <c r="Y83" i="9"/>
  <c r="R83" i="9"/>
  <c r="S83" i="9"/>
  <c r="W83" i="9"/>
  <c r="T83" i="9"/>
  <c r="X83" i="9"/>
  <c r="V83" i="9"/>
  <c r="C85" i="8"/>
  <c r="K84" i="8"/>
  <c r="V84" i="8"/>
  <c r="T84" i="8"/>
  <c r="S84" i="8"/>
  <c r="W84" i="8"/>
  <c r="U84" i="8"/>
  <c r="R84" i="8"/>
  <c r="X84" i="8"/>
  <c r="Y84" i="8"/>
  <c r="F93" i="8"/>
  <c r="N92" i="8"/>
  <c r="C84" i="7"/>
  <c r="K83" i="7"/>
  <c r="T83" i="7"/>
  <c r="Y83" i="7"/>
  <c r="V83" i="7"/>
  <c r="X83" i="7"/>
  <c r="U83" i="7"/>
  <c r="W83" i="7"/>
  <c r="S83" i="7"/>
  <c r="R83" i="7"/>
  <c r="F92" i="7"/>
  <c r="N91" i="7"/>
  <c r="C72" i="1"/>
  <c r="K71" i="1"/>
  <c r="Y71" i="1"/>
  <c r="T71" i="1"/>
  <c r="V71" i="1"/>
  <c r="W71" i="1"/>
  <c r="X71" i="1"/>
  <c r="S71" i="1"/>
  <c r="R71" i="1"/>
  <c r="U71" i="1"/>
  <c r="N82" i="4"/>
  <c r="F83" i="4"/>
  <c r="C77" i="4"/>
  <c r="K76" i="4"/>
  <c r="F81" i="1"/>
  <c r="N80" i="1"/>
  <c r="M80" i="1"/>
  <c r="L79" i="1"/>
  <c r="N94" i="15" l="1"/>
  <c r="F95" i="15"/>
  <c r="C90" i="15"/>
  <c r="K89" i="15"/>
  <c r="X89" i="15"/>
  <c r="T89" i="15"/>
  <c r="W89" i="15"/>
  <c r="S89" i="15"/>
  <c r="Y89" i="15"/>
  <c r="V89" i="15"/>
  <c r="U89" i="15"/>
  <c r="R89" i="15"/>
  <c r="K90" i="14"/>
  <c r="C91" i="14"/>
  <c r="S90" i="14"/>
  <c r="Y90" i="14"/>
  <c r="U90" i="14"/>
  <c r="V90" i="14"/>
  <c r="T90" i="14"/>
  <c r="R90" i="14"/>
  <c r="W90" i="14"/>
  <c r="X90" i="14"/>
  <c r="N94" i="14"/>
  <c r="F95" i="14"/>
  <c r="V77" i="4"/>
  <c r="R77" i="4"/>
  <c r="X77" i="4"/>
  <c r="S77" i="4"/>
  <c r="U77" i="4"/>
  <c r="Y77" i="4"/>
  <c r="W77" i="4"/>
  <c r="T77" i="4"/>
  <c r="K87" i="11"/>
  <c r="C88" i="11"/>
  <c r="R87" i="11"/>
  <c r="W87" i="11"/>
  <c r="X87" i="11"/>
  <c r="V87" i="11"/>
  <c r="S87" i="11"/>
  <c r="T87" i="11"/>
  <c r="U87" i="11"/>
  <c r="Y87" i="11"/>
  <c r="F92" i="11"/>
  <c r="N91" i="11"/>
  <c r="C88" i="10"/>
  <c r="K87" i="10"/>
  <c r="V87" i="10"/>
  <c r="Y87" i="10"/>
  <c r="S87" i="10"/>
  <c r="R87" i="10"/>
  <c r="W87" i="10"/>
  <c r="X87" i="10"/>
  <c r="T87" i="10"/>
  <c r="U87" i="10"/>
  <c r="F94" i="10"/>
  <c r="N93" i="10"/>
  <c r="K84" i="9"/>
  <c r="C85" i="9"/>
  <c r="V84" i="9"/>
  <c r="R84" i="9"/>
  <c r="U84" i="9"/>
  <c r="T84" i="9"/>
  <c r="W84" i="9"/>
  <c r="S84" i="9"/>
  <c r="X84" i="9"/>
  <c r="Y84" i="9"/>
  <c r="N94" i="9"/>
  <c r="F95" i="9"/>
  <c r="C86" i="8"/>
  <c r="K85" i="8"/>
  <c r="R85" i="8"/>
  <c r="S85" i="8"/>
  <c r="W85" i="8"/>
  <c r="T85" i="8"/>
  <c r="V85" i="8"/>
  <c r="U85" i="8"/>
  <c r="Y85" i="8"/>
  <c r="X85" i="8"/>
  <c r="F94" i="8"/>
  <c r="N93" i="8"/>
  <c r="C85" i="7"/>
  <c r="K84" i="7"/>
  <c r="X84" i="7"/>
  <c r="T84" i="7"/>
  <c r="R84" i="7"/>
  <c r="Y84" i="7"/>
  <c r="S84" i="7"/>
  <c r="W84" i="7"/>
  <c r="V84" i="7"/>
  <c r="U84" i="7"/>
  <c r="N92" i="7"/>
  <c r="F93" i="7"/>
  <c r="C73" i="1"/>
  <c r="K72" i="1"/>
  <c r="Y72" i="1"/>
  <c r="S72" i="1"/>
  <c r="V72" i="1"/>
  <c r="W72" i="1"/>
  <c r="R72" i="1"/>
  <c r="T72" i="1"/>
  <c r="X72" i="1"/>
  <c r="U72" i="1"/>
  <c r="C78" i="4"/>
  <c r="K77" i="4"/>
  <c r="N83" i="4"/>
  <c r="F84" i="4"/>
  <c r="F82" i="1"/>
  <c r="N81" i="1"/>
  <c r="M81" i="1"/>
  <c r="L80" i="1"/>
  <c r="K90" i="15" l="1"/>
  <c r="C91" i="15"/>
  <c r="V90" i="15"/>
  <c r="U90" i="15"/>
  <c r="X90" i="15"/>
  <c r="S90" i="15"/>
  <c r="Y90" i="15"/>
  <c r="R90" i="15"/>
  <c r="W90" i="15"/>
  <c r="T90" i="15"/>
  <c r="F96" i="15"/>
  <c r="N95" i="15"/>
  <c r="F96" i="14"/>
  <c r="N95" i="14"/>
  <c r="C92" i="14"/>
  <c r="K91" i="14"/>
  <c r="R91" i="14"/>
  <c r="X91" i="14"/>
  <c r="W91" i="14"/>
  <c r="Y91" i="14"/>
  <c r="U91" i="14"/>
  <c r="V91" i="14"/>
  <c r="T91" i="14"/>
  <c r="S91" i="14"/>
  <c r="V78" i="4"/>
  <c r="R78" i="4"/>
  <c r="U78" i="4"/>
  <c r="T78" i="4"/>
  <c r="Y78" i="4"/>
  <c r="X78" i="4"/>
  <c r="W78" i="4"/>
  <c r="S78" i="4"/>
  <c r="F93" i="11"/>
  <c r="N92" i="11"/>
  <c r="C89" i="11"/>
  <c r="K88" i="11"/>
  <c r="Y88" i="11"/>
  <c r="X88" i="11"/>
  <c r="U88" i="11"/>
  <c r="W88" i="11"/>
  <c r="R88" i="11"/>
  <c r="V88" i="11"/>
  <c r="T88" i="11"/>
  <c r="S88" i="11"/>
  <c r="N94" i="10"/>
  <c r="F95" i="10"/>
  <c r="K88" i="10"/>
  <c r="C89" i="10"/>
  <c r="Y88" i="10"/>
  <c r="S88" i="10"/>
  <c r="U88" i="10"/>
  <c r="W88" i="10"/>
  <c r="T88" i="10"/>
  <c r="X88" i="10"/>
  <c r="V88" i="10"/>
  <c r="R88" i="10"/>
  <c r="F96" i="9"/>
  <c r="N95" i="9"/>
  <c r="C86" i="9"/>
  <c r="K85" i="9"/>
  <c r="Y85" i="9"/>
  <c r="V85" i="9"/>
  <c r="U85" i="9"/>
  <c r="S85" i="9"/>
  <c r="R85" i="9"/>
  <c r="W85" i="9"/>
  <c r="T85" i="9"/>
  <c r="X85" i="9"/>
  <c r="F95" i="8"/>
  <c r="N94" i="8"/>
  <c r="C87" i="8"/>
  <c r="K86" i="8"/>
  <c r="U86" i="8"/>
  <c r="R86" i="8"/>
  <c r="X86" i="8"/>
  <c r="V86" i="8"/>
  <c r="S86" i="8"/>
  <c r="Y86" i="8"/>
  <c r="W86" i="8"/>
  <c r="T86" i="8"/>
  <c r="F94" i="7"/>
  <c r="N93" i="7"/>
  <c r="C86" i="7"/>
  <c r="K85" i="7"/>
  <c r="X85" i="7"/>
  <c r="Y85" i="7"/>
  <c r="W85" i="7"/>
  <c r="V85" i="7"/>
  <c r="U85" i="7"/>
  <c r="T85" i="7"/>
  <c r="R85" i="7"/>
  <c r="S85" i="7"/>
  <c r="C74" i="1"/>
  <c r="K73" i="1"/>
  <c r="Y73" i="1"/>
  <c r="T73" i="1"/>
  <c r="U73" i="1"/>
  <c r="W73" i="1"/>
  <c r="S73" i="1"/>
  <c r="X73" i="1"/>
  <c r="R73" i="1"/>
  <c r="V73" i="1"/>
  <c r="N84" i="4"/>
  <c r="F85" i="4"/>
  <c r="C79" i="4"/>
  <c r="K78" i="4"/>
  <c r="F83" i="1"/>
  <c r="N82" i="1"/>
  <c r="M82" i="1"/>
  <c r="L81" i="1"/>
  <c r="N96" i="15" l="1"/>
  <c r="F97" i="15"/>
  <c r="C92" i="15"/>
  <c r="K91" i="15"/>
  <c r="U91" i="15"/>
  <c r="S91" i="15"/>
  <c r="X91" i="15"/>
  <c r="T91" i="15"/>
  <c r="W91" i="15"/>
  <c r="V91" i="15"/>
  <c r="Y91" i="15"/>
  <c r="R91" i="15"/>
  <c r="K92" i="14"/>
  <c r="C93" i="14"/>
  <c r="T92" i="14"/>
  <c r="S92" i="14"/>
  <c r="V92" i="14"/>
  <c r="R92" i="14"/>
  <c r="W92" i="14"/>
  <c r="X92" i="14"/>
  <c r="U92" i="14"/>
  <c r="Y92" i="14"/>
  <c r="F97" i="14"/>
  <c r="N96" i="14"/>
  <c r="V79" i="4"/>
  <c r="R79" i="4"/>
  <c r="X79" i="4"/>
  <c r="S79" i="4"/>
  <c r="T79" i="4"/>
  <c r="Y79" i="4"/>
  <c r="W79" i="4"/>
  <c r="U79" i="4"/>
  <c r="K89" i="11"/>
  <c r="C90" i="11"/>
  <c r="R89" i="11"/>
  <c r="X89" i="11"/>
  <c r="V89" i="11"/>
  <c r="S89" i="11"/>
  <c r="Y89" i="11"/>
  <c r="U89" i="11"/>
  <c r="W89" i="11"/>
  <c r="T89" i="11"/>
  <c r="F94" i="11"/>
  <c r="N93" i="11"/>
  <c r="C90" i="10"/>
  <c r="K89" i="10"/>
  <c r="T89" i="10"/>
  <c r="V89" i="10"/>
  <c r="W89" i="10"/>
  <c r="S89" i="10"/>
  <c r="X89" i="10"/>
  <c r="R89" i="10"/>
  <c r="U89" i="10"/>
  <c r="Y89" i="10"/>
  <c r="F96" i="10"/>
  <c r="N95" i="10"/>
  <c r="K86" i="9"/>
  <c r="C87" i="9"/>
  <c r="S86" i="9"/>
  <c r="R86" i="9"/>
  <c r="V86" i="9"/>
  <c r="X86" i="9"/>
  <c r="W86" i="9"/>
  <c r="Y86" i="9"/>
  <c r="T86" i="9"/>
  <c r="U86" i="9"/>
  <c r="N96" i="9"/>
  <c r="F97" i="9"/>
  <c r="F96" i="8"/>
  <c r="N95" i="8"/>
  <c r="C88" i="8"/>
  <c r="K87" i="8"/>
  <c r="V87" i="8"/>
  <c r="U87" i="8"/>
  <c r="T87" i="8"/>
  <c r="X87" i="8"/>
  <c r="R87" i="8"/>
  <c r="S87" i="8"/>
  <c r="Y87" i="8"/>
  <c r="W87" i="8"/>
  <c r="K86" i="7"/>
  <c r="C87" i="7"/>
  <c r="X86" i="7"/>
  <c r="Y86" i="7"/>
  <c r="T86" i="7"/>
  <c r="S86" i="7"/>
  <c r="R86" i="7"/>
  <c r="W86" i="7"/>
  <c r="U86" i="7"/>
  <c r="V86" i="7"/>
  <c r="N94" i="7"/>
  <c r="F95" i="7"/>
  <c r="C75" i="1"/>
  <c r="K74" i="1"/>
  <c r="Y74" i="1"/>
  <c r="S74" i="1"/>
  <c r="X74" i="1"/>
  <c r="T74" i="1"/>
  <c r="W74" i="1"/>
  <c r="R74" i="1"/>
  <c r="V74" i="1"/>
  <c r="U74" i="1"/>
  <c r="C80" i="4"/>
  <c r="K79" i="4"/>
  <c r="F86" i="4"/>
  <c r="N85" i="4"/>
  <c r="F84" i="1"/>
  <c r="N83" i="1"/>
  <c r="M83" i="1"/>
  <c r="L82" i="1"/>
  <c r="K92" i="15" l="1"/>
  <c r="V92" i="15"/>
  <c r="C93" i="15"/>
  <c r="Y92" i="15"/>
  <c r="U92" i="15"/>
  <c r="S92" i="15"/>
  <c r="R92" i="15"/>
  <c r="X92" i="15"/>
  <c r="T92" i="15"/>
  <c r="W92" i="15"/>
  <c r="F98" i="15"/>
  <c r="N97" i="15"/>
  <c r="F98" i="14"/>
  <c r="N97" i="14"/>
  <c r="C94" i="14"/>
  <c r="K93" i="14"/>
  <c r="Y93" i="14"/>
  <c r="T93" i="14"/>
  <c r="R93" i="14"/>
  <c r="W93" i="14"/>
  <c r="U93" i="14"/>
  <c r="S93" i="14"/>
  <c r="V93" i="14"/>
  <c r="X93" i="14"/>
  <c r="V80" i="4"/>
  <c r="R80" i="4"/>
  <c r="U80" i="4"/>
  <c r="Y80" i="4"/>
  <c r="S80" i="4"/>
  <c r="T80" i="4"/>
  <c r="X80" i="4"/>
  <c r="W80" i="4"/>
  <c r="F95" i="11"/>
  <c r="N94" i="11"/>
  <c r="C91" i="11"/>
  <c r="K90" i="11"/>
  <c r="W90" i="11"/>
  <c r="V90" i="11"/>
  <c r="X90" i="11"/>
  <c r="R90" i="11"/>
  <c r="U90" i="11"/>
  <c r="S90" i="11"/>
  <c r="Y90" i="11"/>
  <c r="T90" i="11"/>
  <c r="N96" i="10"/>
  <c r="F97" i="10"/>
  <c r="K90" i="10"/>
  <c r="C91" i="10"/>
  <c r="S90" i="10"/>
  <c r="R90" i="10"/>
  <c r="T90" i="10"/>
  <c r="W90" i="10"/>
  <c r="V90" i="10"/>
  <c r="X90" i="10"/>
  <c r="Y90" i="10"/>
  <c r="U90" i="10"/>
  <c r="F98" i="9"/>
  <c r="N97" i="9"/>
  <c r="C88" i="9"/>
  <c r="K87" i="9"/>
  <c r="X87" i="9"/>
  <c r="T87" i="9"/>
  <c r="W87" i="9"/>
  <c r="R87" i="9"/>
  <c r="Y87" i="9"/>
  <c r="S87" i="9"/>
  <c r="V87" i="9"/>
  <c r="U87" i="9"/>
  <c r="C89" i="8"/>
  <c r="K88" i="8"/>
  <c r="V88" i="8"/>
  <c r="W88" i="8"/>
  <c r="S88" i="8"/>
  <c r="T88" i="8"/>
  <c r="U88" i="8"/>
  <c r="R88" i="8"/>
  <c r="X88" i="8"/>
  <c r="Y88" i="8"/>
  <c r="F97" i="8"/>
  <c r="N96" i="8"/>
  <c r="N95" i="7"/>
  <c r="F96" i="7"/>
  <c r="C88" i="7"/>
  <c r="K87" i="7"/>
  <c r="T87" i="7"/>
  <c r="Y87" i="7"/>
  <c r="X87" i="7"/>
  <c r="R87" i="7"/>
  <c r="U87" i="7"/>
  <c r="W87" i="7"/>
  <c r="S87" i="7"/>
  <c r="V87" i="7"/>
  <c r="C76" i="1"/>
  <c r="K75" i="1"/>
  <c r="Y75" i="1"/>
  <c r="T75" i="1"/>
  <c r="U75" i="1"/>
  <c r="W75" i="1"/>
  <c r="X75" i="1"/>
  <c r="S75" i="1"/>
  <c r="R75" i="1"/>
  <c r="V75" i="1"/>
  <c r="N86" i="4"/>
  <c r="F87" i="4"/>
  <c r="C81" i="4"/>
  <c r="K80" i="4"/>
  <c r="F85" i="1"/>
  <c r="N84" i="1"/>
  <c r="M84" i="1"/>
  <c r="L83" i="1"/>
  <c r="N98" i="15" l="1"/>
  <c r="F99" i="15"/>
  <c r="C94" i="15"/>
  <c r="K93" i="15"/>
  <c r="X93" i="15"/>
  <c r="V93" i="15"/>
  <c r="U93" i="15"/>
  <c r="R93" i="15"/>
  <c r="S93" i="15"/>
  <c r="W93" i="15"/>
  <c r="T93" i="15"/>
  <c r="Y93" i="15"/>
  <c r="C95" i="14"/>
  <c r="S94" i="14"/>
  <c r="K94" i="14"/>
  <c r="V94" i="14"/>
  <c r="U94" i="14"/>
  <c r="Y94" i="14"/>
  <c r="X94" i="14"/>
  <c r="R94" i="14"/>
  <c r="T94" i="14"/>
  <c r="W94" i="14"/>
  <c r="F99" i="14"/>
  <c r="N98" i="14"/>
  <c r="V81" i="4"/>
  <c r="R81" i="4"/>
  <c r="X81" i="4"/>
  <c r="S81" i="4"/>
  <c r="Y81" i="4"/>
  <c r="U81" i="4"/>
  <c r="T81" i="4"/>
  <c r="W81" i="4"/>
  <c r="C92" i="11"/>
  <c r="K91" i="11"/>
  <c r="R91" i="11"/>
  <c r="T91" i="11"/>
  <c r="V91" i="11"/>
  <c r="U91" i="11"/>
  <c r="S91" i="11"/>
  <c r="W91" i="11"/>
  <c r="X91" i="11"/>
  <c r="Y91" i="11"/>
  <c r="F96" i="11"/>
  <c r="N95" i="11"/>
  <c r="K91" i="10"/>
  <c r="C92" i="10"/>
  <c r="U91" i="10"/>
  <c r="V91" i="10"/>
  <c r="X91" i="10"/>
  <c r="W91" i="10"/>
  <c r="Y91" i="10"/>
  <c r="R91" i="10"/>
  <c r="S91" i="10"/>
  <c r="T91" i="10"/>
  <c r="F98" i="10"/>
  <c r="N97" i="10"/>
  <c r="N98" i="9"/>
  <c r="F99" i="9"/>
  <c r="K88" i="9"/>
  <c r="C89" i="9"/>
  <c r="X88" i="9"/>
  <c r="T88" i="9"/>
  <c r="V88" i="9"/>
  <c r="U88" i="9"/>
  <c r="R88" i="9"/>
  <c r="W88" i="9"/>
  <c r="S88" i="9"/>
  <c r="Y88" i="9"/>
  <c r="C90" i="8"/>
  <c r="K89" i="8"/>
  <c r="S89" i="8"/>
  <c r="X89" i="8"/>
  <c r="W89" i="8"/>
  <c r="V89" i="8"/>
  <c r="Y89" i="8"/>
  <c r="R89" i="8"/>
  <c r="T89" i="8"/>
  <c r="U89" i="8"/>
  <c r="F98" i="8"/>
  <c r="N97" i="8"/>
  <c r="C89" i="7"/>
  <c r="K88" i="7"/>
  <c r="S88" i="7"/>
  <c r="R88" i="7"/>
  <c r="T88" i="7"/>
  <c r="Y88" i="7"/>
  <c r="W88" i="7"/>
  <c r="U88" i="7"/>
  <c r="X88" i="7"/>
  <c r="V88" i="7"/>
  <c r="N96" i="7"/>
  <c r="F97" i="7"/>
  <c r="C77" i="1"/>
  <c r="K76" i="1"/>
  <c r="Y76" i="1"/>
  <c r="S76" i="1"/>
  <c r="T76" i="1"/>
  <c r="W76" i="1"/>
  <c r="R76" i="1"/>
  <c r="V76" i="1"/>
  <c r="X76" i="1"/>
  <c r="U76" i="1"/>
  <c r="N87" i="4"/>
  <c r="F88" i="4"/>
  <c r="C82" i="4"/>
  <c r="K81" i="4"/>
  <c r="F86" i="1"/>
  <c r="N85" i="1"/>
  <c r="M85" i="1"/>
  <c r="L84" i="1"/>
  <c r="U94" i="15" l="1"/>
  <c r="R94" i="15"/>
  <c r="C95" i="15"/>
  <c r="K94" i="15"/>
  <c r="W94" i="15"/>
  <c r="T94" i="15"/>
  <c r="V94" i="15"/>
  <c r="Y94" i="15"/>
  <c r="S94" i="15"/>
  <c r="X94" i="15"/>
  <c r="F100" i="15"/>
  <c r="N99" i="15"/>
  <c r="N99" i="14"/>
  <c r="F100" i="14"/>
  <c r="C96" i="14"/>
  <c r="U95" i="14"/>
  <c r="K95" i="14"/>
  <c r="W95" i="14"/>
  <c r="V95" i="14"/>
  <c r="Y95" i="14"/>
  <c r="T95" i="14"/>
  <c r="R95" i="14"/>
  <c r="S95" i="14"/>
  <c r="X95" i="14"/>
  <c r="V82" i="4"/>
  <c r="R82" i="4"/>
  <c r="U82" i="4"/>
  <c r="X82" i="4"/>
  <c r="W82" i="4"/>
  <c r="T82" i="4"/>
  <c r="Y82" i="4"/>
  <c r="S82" i="4"/>
  <c r="F97" i="11"/>
  <c r="N96" i="11"/>
  <c r="K92" i="11"/>
  <c r="C93" i="11"/>
  <c r="W92" i="11"/>
  <c r="T92" i="11"/>
  <c r="U92" i="11"/>
  <c r="S92" i="11"/>
  <c r="X92" i="11"/>
  <c r="R92" i="11"/>
  <c r="Y92" i="11"/>
  <c r="V92" i="11"/>
  <c r="N98" i="10"/>
  <c r="F99" i="10"/>
  <c r="C93" i="10"/>
  <c r="K92" i="10"/>
  <c r="X92" i="10"/>
  <c r="S92" i="10"/>
  <c r="T92" i="10"/>
  <c r="V92" i="10"/>
  <c r="W92" i="10"/>
  <c r="U92" i="10"/>
  <c r="R92" i="10"/>
  <c r="Y92" i="10"/>
  <c r="C90" i="9"/>
  <c r="K89" i="9"/>
  <c r="R89" i="9"/>
  <c r="V89" i="9"/>
  <c r="S89" i="9"/>
  <c r="U89" i="9"/>
  <c r="Y89" i="9"/>
  <c r="T89" i="9"/>
  <c r="W89" i="9"/>
  <c r="X89" i="9"/>
  <c r="F100" i="9"/>
  <c r="N99" i="9"/>
  <c r="F99" i="8"/>
  <c r="N98" i="8"/>
  <c r="C91" i="8"/>
  <c r="K90" i="8"/>
  <c r="V90" i="8"/>
  <c r="T90" i="8"/>
  <c r="Y90" i="8"/>
  <c r="W90" i="8"/>
  <c r="S90" i="8"/>
  <c r="X90" i="8"/>
  <c r="U90" i="8"/>
  <c r="R90" i="8"/>
  <c r="N97" i="7"/>
  <c r="F98" i="7"/>
  <c r="C90" i="7"/>
  <c r="K89" i="7"/>
  <c r="S89" i="7"/>
  <c r="U89" i="7"/>
  <c r="Y89" i="7"/>
  <c r="W89" i="7"/>
  <c r="R89" i="7"/>
  <c r="T89" i="7"/>
  <c r="V89" i="7"/>
  <c r="X89" i="7"/>
  <c r="C78" i="1"/>
  <c r="K77" i="1"/>
  <c r="Y77" i="1"/>
  <c r="T77" i="1"/>
  <c r="V77" i="1"/>
  <c r="R77" i="1"/>
  <c r="S77" i="1"/>
  <c r="X77" i="1"/>
  <c r="W77" i="1"/>
  <c r="U77" i="1"/>
  <c r="N88" i="4"/>
  <c r="F89" i="4"/>
  <c r="C83" i="4"/>
  <c r="K82" i="4"/>
  <c r="F87" i="1"/>
  <c r="N86" i="1"/>
  <c r="M86" i="1"/>
  <c r="L85" i="1"/>
  <c r="N100" i="15" l="1"/>
  <c r="F101" i="15"/>
  <c r="C96" i="15"/>
  <c r="K95" i="15"/>
  <c r="W95" i="15"/>
  <c r="T95" i="15"/>
  <c r="R95" i="15"/>
  <c r="S95" i="15"/>
  <c r="V95" i="15"/>
  <c r="X95" i="15"/>
  <c r="Y95" i="15"/>
  <c r="U95" i="15"/>
  <c r="K96" i="14"/>
  <c r="V96" i="14"/>
  <c r="S96" i="14"/>
  <c r="R96" i="14"/>
  <c r="C97" i="14"/>
  <c r="W96" i="14"/>
  <c r="Y96" i="14"/>
  <c r="U96" i="14"/>
  <c r="T96" i="14"/>
  <c r="X96" i="14"/>
  <c r="F101" i="14"/>
  <c r="N100" i="14"/>
  <c r="V83" i="4"/>
  <c r="R83" i="4"/>
  <c r="X83" i="4"/>
  <c r="S83" i="4"/>
  <c r="W83" i="4"/>
  <c r="Y83" i="4"/>
  <c r="U83" i="4"/>
  <c r="T83" i="4"/>
  <c r="K93" i="11"/>
  <c r="C94" i="11"/>
  <c r="R93" i="11"/>
  <c r="T93" i="11"/>
  <c r="W93" i="11"/>
  <c r="Y93" i="11"/>
  <c r="X93" i="11"/>
  <c r="V93" i="11"/>
  <c r="U93" i="11"/>
  <c r="S93" i="11"/>
  <c r="F98" i="11"/>
  <c r="N97" i="11"/>
  <c r="K93" i="10"/>
  <c r="C94" i="10"/>
  <c r="X93" i="10"/>
  <c r="W93" i="10"/>
  <c r="T93" i="10"/>
  <c r="U93" i="10"/>
  <c r="Y93" i="10"/>
  <c r="R93" i="10"/>
  <c r="S93" i="10"/>
  <c r="V93" i="10"/>
  <c r="F100" i="10"/>
  <c r="N99" i="10"/>
  <c r="N100" i="9"/>
  <c r="F101" i="9"/>
  <c r="K90" i="9"/>
  <c r="C91" i="9"/>
  <c r="Y90" i="9"/>
  <c r="W90" i="9"/>
  <c r="S90" i="9"/>
  <c r="R90" i="9"/>
  <c r="X90" i="9"/>
  <c r="T90" i="9"/>
  <c r="U90" i="9"/>
  <c r="V90" i="9"/>
  <c r="K91" i="8"/>
  <c r="C92" i="8"/>
  <c r="R91" i="8"/>
  <c r="W91" i="8"/>
  <c r="U91" i="8"/>
  <c r="Y91" i="8"/>
  <c r="T91" i="8"/>
  <c r="X91" i="8"/>
  <c r="V91" i="8"/>
  <c r="S91" i="8"/>
  <c r="F100" i="8"/>
  <c r="N99" i="8"/>
  <c r="K90" i="7"/>
  <c r="C91" i="7"/>
  <c r="U90" i="7"/>
  <c r="T90" i="7"/>
  <c r="Y90" i="7"/>
  <c r="R90" i="7"/>
  <c r="S90" i="7"/>
  <c r="V90" i="7"/>
  <c r="W90" i="7"/>
  <c r="X90" i="7"/>
  <c r="F99" i="7"/>
  <c r="N98" i="7"/>
  <c r="C79" i="1"/>
  <c r="K78" i="1"/>
  <c r="Y78" i="1"/>
  <c r="S78" i="1"/>
  <c r="U78" i="1"/>
  <c r="T78" i="1"/>
  <c r="W78" i="1"/>
  <c r="R78" i="1"/>
  <c r="V78" i="1"/>
  <c r="X78" i="1"/>
  <c r="N89" i="4"/>
  <c r="F90" i="4"/>
  <c r="C84" i="4"/>
  <c r="K83" i="4"/>
  <c r="F88" i="1"/>
  <c r="N87" i="1"/>
  <c r="M87" i="1"/>
  <c r="L86" i="1"/>
  <c r="U96" i="15" l="1"/>
  <c r="K96" i="15"/>
  <c r="R96" i="15"/>
  <c r="C97" i="15"/>
  <c r="Y96" i="15"/>
  <c r="X96" i="15"/>
  <c r="T96" i="15"/>
  <c r="W96" i="15"/>
  <c r="V96" i="15"/>
  <c r="S96" i="15"/>
  <c r="F102" i="15"/>
  <c r="N101" i="15"/>
  <c r="F102" i="14"/>
  <c r="N101" i="14"/>
  <c r="C98" i="14"/>
  <c r="K97" i="14"/>
  <c r="T97" i="14"/>
  <c r="U97" i="14"/>
  <c r="S97" i="14"/>
  <c r="X97" i="14"/>
  <c r="V97" i="14"/>
  <c r="Y97" i="14"/>
  <c r="R97" i="14"/>
  <c r="W97" i="14"/>
  <c r="V84" i="4"/>
  <c r="R84" i="4"/>
  <c r="U84" i="4"/>
  <c r="W84" i="4"/>
  <c r="Y84" i="4"/>
  <c r="X84" i="4"/>
  <c r="T84" i="4"/>
  <c r="S84" i="4"/>
  <c r="F99" i="11"/>
  <c r="N98" i="11"/>
  <c r="K94" i="11"/>
  <c r="C95" i="11"/>
  <c r="R94" i="11"/>
  <c r="V94" i="11"/>
  <c r="T94" i="11"/>
  <c r="W94" i="11"/>
  <c r="S94" i="11"/>
  <c r="X94" i="11"/>
  <c r="Y94" i="11"/>
  <c r="U94" i="11"/>
  <c r="F101" i="10"/>
  <c r="N100" i="10"/>
  <c r="C95" i="10"/>
  <c r="K94" i="10"/>
  <c r="X94" i="10"/>
  <c r="Y94" i="10"/>
  <c r="W94" i="10"/>
  <c r="R94" i="10"/>
  <c r="U94" i="10"/>
  <c r="S94" i="10"/>
  <c r="V94" i="10"/>
  <c r="T94" i="10"/>
  <c r="C92" i="9"/>
  <c r="K91" i="9"/>
  <c r="T91" i="9"/>
  <c r="Y91" i="9"/>
  <c r="U91" i="9"/>
  <c r="S91" i="9"/>
  <c r="W91" i="9"/>
  <c r="R91" i="9"/>
  <c r="X91" i="9"/>
  <c r="V91" i="9"/>
  <c r="F102" i="9"/>
  <c r="N101" i="9"/>
  <c r="F101" i="8"/>
  <c r="N100" i="8"/>
  <c r="K92" i="8"/>
  <c r="C93" i="8"/>
  <c r="V92" i="8"/>
  <c r="W92" i="8"/>
  <c r="S92" i="8"/>
  <c r="Y92" i="8"/>
  <c r="U92" i="8"/>
  <c r="T92" i="8"/>
  <c r="X92" i="8"/>
  <c r="R92" i="8"/>
  <c r="N99" i="7"/>
  <c r="F100" i="7"/>
  <c r="C92" i="7"/>
  <c r="K91" i="7"/>
  <c r="W91" i="7"/>
  <c r="X91" i="7"/>
  <c r="T91" i="7"/>
  <c r="S91" i="7"/>
  <c r="V91" i="7"/>
  <c r="Y91" i="7"/>
  <c r="U91" i="7"/>
  <c r="R91" i="7"/>
  <c r="C80" i="1"/>
  <c r="K79" i="1"/>
  <c r="Y79" i="1"/>
  <c r="T79" i="1"/>
  <c r="U79" i="1"/>
  <c r="R79" i="1"/>
  <c r="W79" i="1"/>
  <c r="V79" i="1"/>
  <c r="S79" i="1"/>
  <c r="X79" i="1"/>
  <c r="N90" i="4"/>
  <c r="F91" i="4"/>
  <c r="C85" i="4"/>
  <c r="K84" i="4"/>
  <c r="F89" i="1"/>
  <c r="N88" i="1"/>
  <c r="M88" i="1"/>
  <c r="L87" i="1"/>
  <c r="C98" i="15" l="1"/>
  <c r="K97" i="15"/>
  <c r="T97" i="15"/>
  <c r="S97" i="15"/>
  <c r="V97" i="15"/>
  <c r="U97" i="15"/>
  <c r="Y97" i="15"/>
  <c r="W97" i="15"/>
  <c r="X97" i="15"/>
  <c r="R97" i="15"/>
  <c r="N102" i="15"/>
  <c r="F103" i="15"/>
  <c r="K98" i="14"/>
  <c r="W98" i="14"/>
  <c r="V98" i="14"/>
  <c r="S98" i="14"/>
  <c r="C99" i="14"/>
  <c r="R98" i="14"/>
  <c r="T98" i="14"/>
  <c r="X98" i="14"/>
  <c r="U98" i="14"/>
  <c r="Y98" i="14"/>
  <c r="F103" i="14"/>
  <c r="N102" i="14"/>
  <c r="V85" i="4"/>
  <c r="R85" i="4"/>
  <c r="X85" i="4"/>
  <c r="S85" i="4"/>
  <c r="U85" i="4"/>
  <c r="Y85" i="4"/>
  <c r="W85" i="4"/>
  <c r="T85" i="4"/>
  <c r="K95" i="11"/>
  <c r="C96" i="11"/>
  <c r="W95" i="11"/>
  <c r="Y95" i="11"/>
  <c r="T95" i="11"/>
  <c r="S95" i="11"/>
  <c r="V95" i="11"/>
  <c r="X95" i="11"/>
  <c r="R95" i="11"/>
  <c r="U95" i="11"/>
  <c r="F100" i="11"/>
  <c r="N99" i="11"/>
  <c r="K95" i="10"/>
  <c r="C96" i="10"/>
  <c r="T95" i="10"/>
  <c r="S95" i="10"/>
  <c r="U95" i="10"/>
  <c r="R95" i="10"/>
  <c r="Y95" i="10"/>
  <c r="V95" i="10"/>
  <c r="W95" i="10"/>
  <c r="X95" i="10"/>
  <c r="F102" i="10"/>
  <c r="N101" i="10"/>
  <c r="F103" i="9"/>
  <c r="N102" i="9"/>
  <c r="C93" i="9"/>
  <c r="K92" i="9"/>
  <c r="V92" i="9"/>
  <c r="R92" i="9"/>
  <c r="T92" i="9"/>
  <c r="W92" i="9"/>
  <c r="S92" i="9"/>
  <c r="X92" i="9"/>
  <c r="Y92" i="9"/>
  <c r="U92" i="9"/>
  <c r="K93" i="8"/>
  <c r="C94" i="8"/>
  <c r="W93" i="8"/>
  <c r="U93" i="8"/>
  <c r="S93" i="8"/>
  <c r="Y93" i="8"/>
  <c r="X93" i="8"/>
  <c r="V93" i="8"/>
  <c r="R93" i="8"/>
  <c r="T93" i="8"/>
  <c r="F102" i="8"/>
  <c r="N101" i="8"/>
  <c r="C93" i="7"/>
  <c r="K92" i="7"/>
  <c r="Y92" i="7"/>
  <c r="W92" i="7"/>
  <c r="X92" i="7"/>
  <c r="U92" i="7"/>
  <c r="T92" i="7"/>
  <c r="S92" i="7"/>
  <c r="V92" i="7"/>
  <c r="R92" i="7"/>
  <c r="F101" i="7"/>
  <c r="N100" i="7"/>
  <c r="C81" i="1"/>
  <c r="K80" i="1"/>
  <c r="Y80" i="1"/>
  <c r="T80" i="1"/>
  <c r="U80" i="1"/>
  <c r="R80" i="1"/>
  <c r="W80" i="1"/>
  <c r="V80" i="1"/>
  <c r="S80" i="1"/>
  <c r="X80" i="1"/>
  <c r="C86" i="4"/>
  <c r="K85" i="4"/>
  <c r="N91" i="4"/>
  <c r="F92" i="4"/>
  <c r="F90" i="1"/>
  <c r="N89" i="1"/>
  <c r="M89" i="1"/>
  <c r="L88" i="1"/>
  <c r="F104" i="15" l="1"/>
  <c r="N103" i="15"/>
  <c r="K98" i="15"/>
  <c r="C99" i="15"/>
  <c r="X98" i="15"/>
  <c r="U98" i="15"/>
  <c r="Y98" i="15"/>
  <c r="V98" i="15"/>
  <c r="T98" i="15"/>
  <c r="R98" i="15"/>
  <c r="W98" i="15"/>
  <c r="S98" i="15"/>
  <c r="F104" i="14"/>
  <c r="N103" i="14"/>
  <c r="C100" i="14"/>
  <c r="K99" i="14"/>
  <c r="X99" i="14"/>
  <c r="R99" i="14"/>
  <c r="W99" i="14"/>
  <c r="S99" i="14"/>
  <c r="Y99" i="14"/>
  <c r="U99" i="14"/>
  <c r="V99" i="14"/>
  <c r="T99" i="14"/>
  <c r="V86" i="4"/>
  <c r="R86" i="4"/>
  <c r="U86" i="4"/>
  <c r="T86" i="4"/>
  <c r="S86" i="4"/>
  <c r="Y86" i="4"/>
  <c r="X86" i="4"/>
  <c r="W86" i="4"/>
  <c r="F101" i="11"/>
  <c r="N100" i="11"/>
  <c r="K96" i="11"/>
  <c r="C97" i="11"/>
  <c r="U96" i="11"/>
  <c r="Y96" i="11"/>
  <c r="X96" i="11"/>
  <c r="R96" i="11"/>
  <c r="W96" i="11"/>
  <c r="S96" i="11"/>
  <c r="V96" i="11"/>
  <c r="T96" i="11"/>
  <c r="F103" i="10"/>
  <c r="N102" i="10"/>
  <c r="C97" i="10"/>
  <c r="K96" i="10"/>
  <c r="R96" i="10"/>
  <c r="S96" i="10"/>
  <c r="W96" i="10"/>
  <c r="X96" i="10"/>
  <c r="Y96" i="10"/>
  <c r="T96" i="10"/>
  <c r="V96" i="10"/>
  <c r="U96" i="10"/>
  <c r="F104" i="9"/>
  <c r="N103" i="9"/>
  <c r="K93" i="9"/>
  <c r="C94" i="9"/>
  <c r="U93" i="9"/>
  <c r="R93" i="9"/>
  <c r="W93" i="9"/>
  <c r="V93" i="9"/>
  <c r="S93" i="9"/>
  <c r="Y93" i="9"/>
  <c r="T93" i="9"/>
  <c r="X93" i="9"/>
  <c r="F103" i="8"/>
  <c r="N102" i="8"/>
  <c r="K94" i="8"/>
  <c r="C95" i="8"/>
  <c r="X94" i="8"/>
  <c r="Y94" i="8"/>
  <c r="V94" i="8"/>
  <c r="U94" i="8"/>
  <c r="R94" i="8"/>
  <c r="T94" i="8"/>
  <c r="W94" i="8"/>
  <c r="S94" i="8"/>
  <c r="N101" i="7"/>
  <c r="F102" i="7"/>
  <c r="C94" i="7"/>
  <c r="K93" i="7"/>
  <c r="U93" i="7"/>
  <c r="R93" i="7"/>
  <c r="S93" i="7"/>
  <c r="X93" i="7"/>
  <c r="Y93" i="7"/>
  <c r="W93" i="7"/>
  <c r="T93" i="7"/>
  <c r="V93" i="7"/>
  <c r="C82" i="1"/>
  <c r="K81" i="1"/>
  <c r="Y81" i="1"/>
  <c r="T81" i="1"/>
  <c r="U81" i="1"/>
  <c r="R81" i="1"/>
  <c r="W81" i="1"/>
  <c r="V81" i="1"/>
  <c r="S81" i="1"/>
  <c r="X81" i="1"/>
  <c r="N92" i="4"/>
  <c r="F93" i="4"/>
  <c r="C87" i="4"/>
  <c r="K86" i="4"/>
  <c r="F91" i="1"/>
  <c r="N90" i="1"/>
  <c r="M90" i="1"/>
  <c r="L89" i="1"/>
  <c r="C100" i="15" l="1"/>
  <c r="K99" i="15"/>
  <c r="X99" i="15"/>
  <c r="S99" i="15"/>
  <c r="T99" i="15"/>
  <c r="U99" i="15"/>
  <c r="W99" i="15"/>
  <c r="R99" i="15"/>
  <c r="V99" i="15"/>
  <c r="Y99" i="15"/>
  <c r="N104" i="15"/>
  <c r="F105" i="15"/>
  <c r="K100" i="14"/>
  <c r="C101" i="14"/>
  <c r="R100" i="14"/>
  <c r="W100" i="14"/>
  <c r="V100" i="14"/>
  <c r="S100" i="14"/>
  <c r="Y100" i="14"/>
  <c r="T100" i="14"/>
  <c r="U100" i="14"/>
  <c r="X100" i="14"/>
  <c r="F105" i="14"/>
  <c r="N104" i="14"/>
  <c r="V87" i="4"/>
  <c r="R87" i="4"/>
  <c r="X87" i="4"/>
  <c r="S87" i="4"/>
  <c r="T87" i="4"/>
  <c r="U87" i="4"/>
  <c r="Y87" i="4"/>
  <c r="W87" i="4"/>
  <c r="K97" i="11"/>
  <c r="C98" i="11"/>
  <c r="R97" i="11"/>
  <c r="Y97" i="11"/>
  <c r="W97" i="11"/>
  <c r="S97" i="11"/>
  <c r="T97" i="11"/>
  <c r="V97" i="11"/>
  <c r="U97" i="11"/>
  <c r="X97" i="11"/>
  <c r="F102" i="11"/>
  <c r="N101" i="11"/>
  <c r="K97" i="10"/>
  <c r="C98" i="10"/>
  <c r="S97" i="10"/>
  <c r="U97" i="10"/>
  <c r="T97" i="10"/>
  <c r="Y97" i="10"/>
  <c r="W97" i="10"/>
  <c r="R97" i="10"/>
  <c r="V97" i="10"/>
  <c r="X97" i="10"/>
  <c r="F104" i="10"/>
  <c r="N103" i="10"/>
  <c r="C95" i="9"/>
  <c r="K94" i="9"/>
  <c r="V94" i="9"/>
  <c r="S94" i="9"/>
  <c r="R94" i="9"/>
  <c r="W94" i="9"/>
  <c r="X94" i="9"/>
  <c r="Y94" i="9"/>
  <c r="T94" i="9"/>
  <c r="U94" i="9"/>
  <c r="F105" i="9"/>
  <c r="N104" i="9"/>
  <c r="K95" i="8"/>
  <c r="C96" i="8"/>
  <c r="T95" i="8"/>
  <c r="U95" i="8"/>
  <c r="R95" i="8"/>
  <c r="Y95" i="8"/>
  <c r="S95" i="8"/>
  <c r="V95" i="8"/>
  <c r="X95" i="8"/>
  <c r="W95" i="8"/>
  <c r="F104" i="8"/>
  <c r="N103" i="8"/>
  <c r="C95" i="7"/>
  <c r="K94" i="7"/>
  <c r="S94" i="7"/>
  <c r="T94" i="7"/>
  <c r="R94" i="7"/>
  <c r="V94" i="7"/>
  <c r="W94" i="7"/>
  <c r="Y94" i="7"/>
  <c r="X94" i="7"/>
  <c r="U94" i="7"/>
  <c r="F103" i="7"/>
  <c r="N102" i="7"/>
  <c r="C83" i="1"/>
  <c r="K82" i="1"/>
  <c r="Y82" i="1"/>
  <c r="T82" i="1"/>
  <c r="U82" i="1"/>
  <c r="R82" i="1"/>
  <c r="W82" i="1"/>
  <c r="V82" i="1"/>
  <c r="S82" i="1"/>
  <c r="X82" i="1"/>
  <c r="C88" i="4"/>
  <c r="K87" i="4"/>
  <c r="N93" i="4"/>
  <c r="F94" i="4"/>
  <c r="F92" i="1"/>
  <c r="N91" i="1"/>
  <c r="M91" i="1"/>
  <c r="L90" i="1"/>
  <c r="F106" i="15" l="1"/>
  <c r="N105" i="15"/>
  <c r="C101" i="15"/>
  <c r="K100" i="15"/>
  <c r="S100" i="15"/>
  <c r="U100" i="15"/>
  <c r="Y100" i="15"/>
  <c r="W100" i="15"/>
  <c r="V100" i="15"/>
  <c r="X100" i="15"/>
  <c r="R100" i="15"/>
  <c r="T100" i="15"/>
  <c r="F106" i="14"/>
  <c r="N105" i="14"/>
  <c r="C102" i="14"/>
  <c r="K101" i="14"/>
  <c r="R101" i="14"/>
  <c r="U101" i="14"/>
  <c r="W101" i="14"/>
  <c r="Y101" i="14"/>
  <c r="S101" i="14"/>
  <c r="T101" i="14"/>
  <c r="V101" i="14"/>
  <c r="X101" i="14"/>
  <c r="V88" i="4"/>
  <c r="R88" i="4"/>
  <c r="U88" i="4"/>
  <c r="Y88" i="4"/>
  <c r="S88" i="4"/>
  <c r="W88" i="4"/>
  <c r="T88" i="4"/>
  <c r="X88" i="4"/>
  <c r="F103" i="11"/>
  <c r="N102" i="11"/>
  <c r="K98" i="11"/>
  <c r="C99" i="11"/>
  <c r="S98" i="11"/>
  <c r="Y98" i="11"/>
  <c r="W98" i="11"/>
  <c r="X98" i="11"/>
  <c r="R98" i="11"/>
  <c r="V98" i="11"/>
  <c r="T98" i="11"/>
  <c r="U98" i="11"/>
  <c r="F105" i="10"/>
  <c r="N104" i="10"/>
  <c r="C99" i="10"/>
  <c r="K98" i="10"/>
  <c r="R98" i="10"/>
  <c r="U98" i="10"/>
  <c r="T98" i="10"/>
  <c r="X98" i="10"/>
  <c r="W98" i="10"/>
  <c r="S98" i="10"/>
  <c r="V98" i="10"/>
  <c r="Y98" i="10"/>
  <c r="F106" i="9"/>
  <c r="N105" i="9"/>
  <c r="K95" i="9"/>
  <c r="C96" i="9"/>
  <c r="Y95" i="9"/>
  <c r="U95" i="9"/>
  <c r="X95" i="9"/>
  <c r="V95" i="9"/>
  <c r="R95" i="9"/>
  <c r="T95" i="9"/>
  <c r="S95" i="9"/>
  <c r="W95" i="9"/>
  <c r="F105" i="8"/>
  <c r="N104" i="8"/>
  <c r="K96" i="8"/>
  <c r="C97" i="8"/>
  <c r="S96" i="8"/>
  <c r="R96" i="8"/>
  <c r="X96" i="8"/>
  <c r="T96" i="8"/>
  <c r="Y96" i="8"/>
  <c r="U96" i="8"/>
  <c r="V96" i="8"/>
  <c r="W96" i="8"/>
  <c r="N103" i="7"/>
  <c r="F104" i="7"/>
  <c r="C96" i="7"/>
  <c r="K95" i="7"/>
  <c r="V95" i="7"/>
  <c r="R95" i="7"/>
  <c r="U95" i="7"/>
  <c r="W95" i="7"/>
  <c r="S95" i="7"/>
  <c r="T95" i="7"/>
  <c r="X95" i="7"/>
  <c r="Y95" i="7"/>
  <c r="C84" i="1"/>
  <c r="K83" i="1"/>
  <c r="Y83" i="1"/>
  <c r="T83" i="1"/>
  <c r="X83" i="1"/>
  <c r="S83" i="1"/>
  <c r="W83" i="1"/>
  <c r="V83" i="1"/>
  <c r="R83" i="1"/>
  <c r="U83" i="1"/>
  <c r="C89" i="4"/>
  <c r="K88" i="4"/>
  <c r="N94" i="4"/>
  <c r="F95" i="4"/>
  <c r="F93" i="1"/>
  <c r="N92" i="1"/>
  <c r="M92" i="1"/>
  <c r="L91" i="1"/>
  <c r="C102" i="15" l="1"/>
  <c r="K101" i="15"/>
  <c r="S101" i="15"/>
  <c r="X101" i="15"/>
  <c r="W101" i="15"/>
  <c r="V101" i="15"/>
  <c r="T101" i="15"/>
  <c r="U101" i="15"/>
  <c r="Y101" i="15"/>
  <c r="R101" i="15"/>
  <c r="N106" i="15"/>
  <c r="F107" i="15"/>
  <c r="K102" i="14"/>
  <c r="S102" i="14"/>
  <c r="C103" i="14"/>
  <c r="W102" i="14"/>
  <c r="V102" i="14"/>
  <c r="R102" i="14"/>
  <c r="Y102" i="14"/>
  <c r="T102" i="14"/>
  <c r="X102" i="14"/>
  <c r="U102" i="14"/>
  <c r="F107" i="14"/>
  <c r="N106" i="14"/>
  <c r="V89" i="4"/>
  <c r="R89" i="4"/>
  <c r="X89" i="4"/>
  <c r="S89" i="4"/>
  <c r="Y89" i="4"/>
  <c r="W89" i="4"/>
  <c r="U89" i="4"/>
  <c r="T89" i="4"/>
  <c r="K99" i="11"/>
  <c r="C100" i="11"/>
  <c r="X99" i="11"/>
  <c r="S99" i="11"/>
  <c r="W99" i="11"/>
  <c r="U99" i="11"/>
  <c r="R99" i="11"/>
  <c r="V99" i="11"/>
  <c r="T99" i="11"/>
  <c r="Y99" i="11"/>
  <c r="F104" i="11"/>
  <c r="N103" i="11"/>
  <c r="K99" i="10"/>
  <c r="C100" i="10"/>
  <c r="X99" i="10"/>
  <c r="Y99" i="10"/>
  <c r="R99" i="10"/>
  <c r="U99" i="10"/>
  <c r="T99" i="10"/>
  <c r="S99" i="10"/>
  <c r="V99" i="10"/>
  <c r="W99" i="10"/>
  <c r="F106" i="10"/>
  <c r="N105" i="10"/>
  <c r="F107" i="9"/>
  <c r="N106" i="9"/>
  <c r="C97" i="9"/>
  <c r="K96" i="9"/>
  <c r="R96" i="9"/>
  <c r="Y96" i="9"/>
  <c r="X96" i="9"/>
  <c r="U96" i="9"/>
  <c r="V96" i="9"/>
  <c r="S96" i="9"/>
  <c r="W96" i="9"/>
  <c r="T96" i="9"/>
  <c r="F106" i="8"/>
  <c r="N105" i="8"/>
  <c r="K97" i="8"/>
  <c r="C98" i="8"/>
  <c r="V97" i="8"/>
  <c r="T97" i="8"/>
  <c r="Y97" i="8"/>
  <c r="U97" i="8"/>
  <c r="X97" i="8"/>
  <c r="W97" i="8"/>
  <c r="R97" i="8"/>
  <c r="S97" i="8"/>
  <c r="C97" i="7"/>
  <c r="K96" i="7"/>
  <c r="W96" i="7"/>
  <c r="T96" i="7"/>
  <c r="U96" i="7"/>
  <c r="X96" i="7"/>
  <c r="Y96" i="7"/>
  <c r="V96" i="7"/>
  <c r="S96" i="7"/>
  <c r="R96" i="7"/>
  <c r="F105" i="7"/>
  <c r="N104" i="7"/>
  <c r="C85" i="1"/>
  <c r="K84" i="1"/>
  <c r="T84" i="1"/>
  <c r="Y84" i="1"/>
  <c r="X84" i="1"/>
  <c r="W84" i="1"/>
  <c r="R84" i="1"/>
  <c r="S84" i="1"/>
  <c r="V84" i="1"/>
  <c r="U84" i="1"/>
  <c r="C90" i="4"/>
  <c r="K89" i="4"/>
  <c r="F96" i="4"/>
  <c r="N95" i="4"/>
  <c r="F94" i="1"/>
  <c r="N93" i="1"/>
  <c r="M93" i="1"/>
  <c r="L92" i="1"/>
  <c r="F108" i="15" l="1"/>
  <c r="N107" i="15"/>
  <c r="C103" i="15"/>
  <c r="K102" i="15"/>
  <c r="U102" i="15"/>
  <c r="R102" i="15"/>
  <c r="W102" i="15"/>
  <c r="S102" i="15"/>
  <c r="Y102" i="15"/>
  <c r="V102" i="15"/>
  <c r="X102" i="15"/>
  <c r="T102" i="15"/>
  <c r="F108" i="14"/>
  <c r="N107" i="14"/>
  <c r="C104" i="14"/>
  <c r="K103" i="14"/>
  <c r="X103" i="14"/>
  <c r="Y103" i="14"/>
  <c r="T103" i="14"/>
  <c r="R103" i="14"/>
  <c r="W103" i="14"/>
  <c r="S103" i="14"/>
  <c r="U103" i="14"/>
  <c r="V103" i="14"/>
  <c r="V90" i="4"/>
  <c r="R90" i="4"/>
  <c r="U90" i="4"/>
  <c r="X90" i="4"/>
  <c r="Y90" i="4"/>
  <c r="W90" i="4"/>
  <c r="T90" i="4"/>
  <c r="S90" i="4"/>
  <c r="F105" i="11"/>
  <c r="N104" i="11"/>
  <c r="K100" i="11"/>
  <c r="C101" i="11"/>
  <c r="Y100" i="11"/>
  <c r="U100" i="11"/>
  <c r="W100" i="11"/>
  <c r="S100" i="11"/>
  <c r="R100" i="11"/>
  <c r="T100" i="11"/>
  <c r="V100" i="11"/>
  <c r="X100" i="11"/>
  <c r="C101" i="10"/>
  <c r="K100" i="10"/>
  <c r="V100" i="10"/>
  <c r="Y100" i="10"/>
  <c r="X100" i="10"/>
  <c r="U100" i="10"/>
  <c r="W100" i="10"/>
  <c r="R100" i="10"/>
  <c r="T100" i="10"/>
  <c r="S100" i="10"/>
  <c r="F107" i="10"/>
  <c r="N106" i="10"/>
  <c r="F108" i="9"/>
  <c r="N107" i="9"/>
  <c r="K97" i="9"/>
  <c r="C98" i="9"/>
  <c r="W97" i="9"/>
  <c r="T97" i="9"/>
  <c r="U97" i="9"/>
  <c r="X97" i="9"/>
  <c r="R97" i="9"/>
  <c r="V97" i="9"/>
  <c r="Y97" i="9"/>
  <c r="S97" i="9"/>
  <c r="K98" i="8"/>
  <c r="C99" i="8"/>
  <c r="R98" i="8"/>
  <c r="S98" i="8"/>
  <c r="X98" i="8"/>
  <c r="W98" i="8"/>
  <c r="T98" i="8"/>
  <c r="V98" i="8"/>
  <c r="U98" i="8"/>
  <c r="Y98" i="8"/>
  <c r="F107" i="8"/>
  <c r="N106" i="8"/>
  <c r="C98" i="7"/>
  <c r="K97" i="7"/>
  <c r="X97" i="7"/>
  <c r="W97" i="7"/>
  <c r="U97" i="7"/>
  <c r="R97" i="7"/>
  <c r="V97" i="7"/>
  <c r="S97" i="7"/>
  <c r="T97" i="7"/>
  <c r="Y97" i="7"/>
  <c r="N105" i="7"/>
  <c r="F106" i="7"/>
  <c r="C86" i="1"/>
  <c r="K85" i="1"/>
  <c r="T85" i="1"/>
  <c r="R85" i="1"/>
  <c r="V85" i="1"/>
  <c r="Y85" i="1"/>
  <c r="S85" i="1"/>
  <c r="X85" i="1"/>
  <c r="U85" i="1"/>
  <c r="W85" i="1"/>
  <c r="N96" i="4"/>
  <c r="F97" i="4"/>
  <c r="C91" i="4"/>
  <c r="K90" i="4"/>
  <c r="F95" i="1"/>
  <c r="N94" i="1"/>
  <c r="M94" i="1"/>
  <c r="L93" i="1"/>
  <c r="C104" i="15" l="1"/>
  <c r="K103" i="15"/>
  <c r="W103" i="15"/>
  <c r="T103" i="15"/>
  <c r="V103" i="15"/>
  <c r="R103" i="15"/>
  <c r="S103" i="15"/>
  <c r="Y103" i="15"/>
  <c r="U103" i="15"/>
  <c r="X103" i="15"/>
  <c r="N108" i="15"/>
  <c r="F109" i="15"/>
  <c r="K104" i="14"/>
  <c r="V104" i="14"/>
  <c r="C105" i="14"/>
  <c r="W104" i="14"/>
  <c r="R104" i="14"/>
  <c r="S104" i="14"/>
  <c r="Y104" i="14"/>
  <c r="U104" i="14"/>
  <c r="T104" i="14"/>
  <c r="X104" i="14"/>
  <c r="F109" i="14"/>
  <c r="N108" i="14"/>
  <c r="V91" i="4"/>
  <c r="R91" i="4"/>
  <c r="X91" i="4"/>
  <c r="S91" i="4"/>
  <c r="W91" i="4"/>
  <c r="Y91" i="4"/>
  <c r="U91" i="4"/>
  <c r="T91" i="4"/>
  <c r="K101" i="11"/>
  <c r="C102" i="11"/>
  <c r="X101" i="11"/>
  <c r="S101" i="11"/>
  <c r="R101" i="11"/>
  <c r="U101" i="11"/>
  <c r="W101" i="11"/>
  <c r="V101" i="11"/>
  <c r="Y101" i="11"/>
  <c r="T101" i="11"/>
  <c r="F106" i="11"/>
  <c r="N105" i="11"/>
  <c r="F108" i="10"/>
  <c r="N107" i="10"/>
  <c r="K101" i="10"/>
  <c r="C102" i="10"/>
  <c r="V101" i="10"/>
  <c r="U101" i="10"/>
  <c r="T101" i="10"/>
  <c r="R101" i="10"/>
  <c r="W101" i="10"/>
  <c r="S101" i="10"/>
  <c r="Y101" i="10"/>
  <c r="X101" i="10"/>
  <c r="C99" i="9"/>
  <c r="K98" i="9"/>
  <c r="X98" i="9"/>
  <c r="T98" i="9"/>
  <c r="V98" i="9"/>
  <c r="W98" i="9"/>
  <c r="R98" i="9"/>
  <c r="Y98" i="9"/>
  <c r="S98" i="9"/>
  <c r="U98" i="9"/>
  <c r="F109" i="9"/>
  <c r="N108" i="9"/>
  <c r="F108" i="8"/>
  <c r="N107" i="8"/>
  <c r="K99" i="8"/>
  <c r="C100" i="8"/>
  <c r="R99" i="8"/>
  <c r="T99" i="8"/>
  <c r="S99" i="8"/>
  <c r="Y99" i="8"/>
  <c r="V99" i="8"/>
  <c r="W99" i="8"/>
  <c r="X99" i="8"/>
  <c r="U99" i="8"/>
  <c r="F107" i="7"/>
  <c r="N106" i="7"/>
  <c r="K98" i="7"/>
  <c r="C99" i="7"/>
  <c r="S98" i="7"/>
  <c r="R98" i="7"/>
  <c r="Y98" i="7"/>
  <c r="X98" i="7"/>
  <c r="T98" i="7"/>
  <c r="V98" i="7"/>
  <c r="U98" i="7"/>
  <c r="W98" i="7"/>
  <c r="C87" i="1"/>
  <c r="K86" i="1"/>
  <c r="W86" i="1"/>
  <c r="R86" i="1"/>
  <c r="Y86" i="1"/>
  <c r="T86" i="1"/>
  <c r="X86" i="1"/>
  <c r="U86" i="1"/>
  <c r="S86" i="1"/>
  <c r="V86" i="1"/>
  <c r="C92" i="4"/>
  <c r="K91" i="4"/>
  <c r="N97" i="4"/>
  <c r="F98" i="4"/>
  <c r="F96" i="1"/>
  <c r="N95" i="1"/>
  <c r="M95" i="1"/>
  <c r="L94" i="1"/>
  <c r="F110" i="15" l="1"/>
  <c r="N109" i="15"/>
  <c r="U104" i="15"/>
  <c r="K104" i="15"/>
  <c r="C105" i="15"/>
  <c r="Y104" i="15"/>
  <c r="R104" i="15"/>
  <c r="W104" i="15"/>
  <c r="X104" i="15"/>
  <c r="V104" i="15"/>
  <c r="S104" i="15"/>
  <c r="T104" i="15"/>
  <c r="N109" i="14"/>
  <c r="F110" i="14"/>
  <c r="C106" i="14"/>
  <c r="K105" i="14"/>
  <c r="V105" i="14"/>
  <c r="U105" i="14"/>
  <c r="R105" i="14"/>
  <c r="T105" i="14"/>
  <c r="W105" i="14"/>
  <c r="Y105" i="14"/>
  <c r="S105" i="14"/>
  <c r="X105" i="14"/>
  <c r="V92" i="4"/>
  <c r="R92" i="4"/>
  <c r="U92" i="4"/>
  <c r="W92" i="4"/>
  <c r="S92" i="4"/>
  <c r="Y92" i="4"/>
  <c r="X92" i="4"/>
  <c r="T92" i="4"/>
  <c r="F107" i="11"/>
  <c r="N106" i="11"/>
  <c r="K102" i="11"/>
  <c r="C103" i="11"/>
  <c r="V102" i="11"/>
  <c r="T102" i="11"/>
  <c r="S102" i="11"/>
  <c r="W102" i="11"/>
  <c r="R102" i="11"/>
  <c r="X102" i="11"/>
  <c r="U102" i="11"/>
  <c r="Y102" i="11"/>
  <c r="C103" i="10"/>
  <c r="K102" i="10"/>
  <c r="T102" i="10"/>
  <c r="V102" i="10"/>
  <c r="W102" i="10"/>
  <c r="R102" i="10"/>
  <c r="U102" i="10"/>
  <c r="S102" i="10"/>
  <c r="Y102" i="10"/>
  <c r="X102" i="10"/>
  <c r="F109" i="10"/>
  <c r="N108" i="10"/>
  <c r="K99" i="9"/>
  <c r="C100" i="9"/>
  <c r="S99" i="9"/>
  <c r="Y99" i="9"/>
  <c r="V99" i="9"/>
  <c r="R99" i="9"/>
  <c r="W99" i="9"/>
  <c r="T99" i="9"/>
  <c r="X99" i="9"/>
  <c r="U99" i="9"/>
  <c r="F110" i="9"/>
  <c r="N109" i="9"/>
  <c r="F109" i="8"/>
  <c r="N108" i="8"/>
  <c r="K100" i="8"/>
  <c r="C101" i="8"/>
  <c r="X100" i="8"/>
  <c r="Y100" i="8"/>
  <c r="T100" i="8"/>
  <c r="S100" i="8"/>
  <c r="W100" i="8"/>
  <c r="R100" i="8"/>
  <c r="U100" i="8"/>
  <c r="V100" i="8"/>
  <c r="C100" i="7"/>
  <c r="K99" i="7"/>
  <c r="R99" i="7"/>
  <c r="U99" i="7"/>
  <c r="Y99" i="7"/>
  <c r="W99" i="7"/>
  <c r="V99" i="7"/>
  <c r="S99" i="7"/>
  <c r="T99" i="7"/>
  <c r="X99" i="7"/>
  <c r="N107" i="7"/>
  <c r="F108" i="7"/>
  <c r="C88" i="1"/>
  <c r="K87" i="1"/>
  <c r="W87" i="1"/>
  <c r="V87" i="1"/>
  <c r="T87" i="1"/>
  <c r="Y87" i="1"/>
  <c r="U87" i="1"/>
  <c r="X87" i="1"/>
  <c r="R87" i="1"/>
  <c r="S87" i="1"/>
  <c r="N98" i="4"/>
  <c r="F99" i="4"/>
  <c r="C93" i="4"/>
  <c r="K92" i="4"/>
  <c r="F97" i="1"/>
  <c r="N96" i="1"/>
  <c r="M96" i="1"/>
  <c r="L95" i="1"/>
  <c r="C106" i="15" l="1"/>
  <c r="K105" i="15"/>
  <c r="T105" i="15"/>
  <c r="S105" i="15"/>
  <c r="V105" i="15"/>
  <c r="U105" i="15"/>
  <c r="Y105" i="15"/>
  <c r="X105" i="15"/>
  <c r="W105" i="15"/>
  <c r="R105" i="15"/>
  <c r="N110" i="15"/>
  <c r="F111" i="15"/>
  <c r="K106" i="14"/>
  <c r="W106" i="14"/>
  <c r="R106" i="14"/>
  <c r="C107" i="14"/>
  <c r="V106" i="14"/>
  <c r="S106" i="14"/>
  <c r="T106" i="14"/>
  <c r="X106" i="14"/>
  <c r="U106" i="14"/>
  <c r="Y106" i="14"/>
  <c r="F111" i="14"/>
  <c r="N110" i="14"/>
  <c r="V93" i="4"/>
  <c r="R93" i="4"/>
  <c r="X93" i="4"/>
  <c r="S93" i="4"/>
  <c r="U93" i="4"/>
  <c r="T93" i="4"/>
  <c r="Y93" i="4"/>
  <c r="W93" i="4"/>
  <c r="K103" i="11"/>
  <c r="C104" i="11"/>
  <c r="U103" i="11"/>
  <c r="T103" i="11"/>
  <c r="X103" i="11"/>
  <c r="Y103" i="11"/>
  <c r="W103" i="11"/>
  <c r="V103" i="11"/>
  <c r="S103" i="11"/>
  <c r="R103" i="11"/>
  <c r="F108" i="11"/>
  <c r="N107" i="11"/>
  <c r="F110" i="10"/>
  <c r="N109" i="10"/>
  <c r="K103" i="10"/>
  <c r="C104" i="10"/>
  <c r="S103" i="10"/>
  <c r="U103" i="10"/>
  <c r="V103" i="10"/>
  <c r="Y103" i="10"/>
  <c r="R103" i="10"/>
  <c r="X103" i="10"/>
  <c r="T103" i="10"/>
  <c r="W103" i="10"/>
  <c r="C101" i="9"/>
  <c r="K100" i="9"/>
  <c r="R100" i="9"/>
  <c r="T100" i="9"/>
  <c r="X100" i="9"/>
  <c r="W100" i="9"/>
  <c r="S100" i="9"/>
  <c r="Y100" i="9"/>
  <c r="V100" i="9"/>
  <c r="U100" i="9"/>
  <c r="F111" i="9"/>
  <c r="N110" i="9"/>
  <c r="F110" i="8"/>
  <c r="N109" i="8"/>
  <c r="K101" i="8"/>
  <c r="C102" i="8"/>
  <c r="U101" i="8"/>
  <c r="V101" i="8"/>
  <c r="W101" i="8"/>
  <c r="X101" i="8"/>
  <c r="T101" i="8"/>
  <c r="S101" i="8"/>
  <c r="Y101" i="8"/>
  <c r="R101" i="8"/>
  <c r="F109" i="7"/>
  <c r="N108" i="7"/>
  <c r="K100" i="7"/>
  <c r="C101" i="7"/>
  <c r="W100" i="7"/>
  <c r="R100" i="7"/>
  <c r="U100" i="7"/>
  <c r="V100" i="7"/>
  <c r="S100" i="7"/>
  <c r="T100" i="7"/>
  <c r="Y100" i="7"/>
  <c r="X100" i="7"/>
  <c r="C89" i="1"/>
  <c r="K88" i="1"/>
  <c r="Y88" i="1"/>
  <c r="T88" i="1"/>
  <c r="U88" i="1"/>
  <c r="R88" i="1"/>
  <c r="W88" i="1"/>
  <c r="V88" i="1"/>
  <c r="S88" i="1"/>
  <c r="X88" i="1"/>
  <c r="C94" i="4"/>
  <c r="K93" i="4"/>
  <c r="F100" i="4"/>
  <c r="N99" i="4"/>
  <c r="F98" i="1"/>
  <c r="N97" i="1"/>
  <c r="M97" i="1"/>
  <c r="L96" i="1"/>
  <c r="F112" i="15" l="1"/>
  <c r="N112" i="15" s="1"/>
  <c r="N111" i="15"/>
  <c r="K106" i="15"/>
  <c r="C107" i="15"/>
  <c r="V106" i="15"/>
  <c r="Y106" i="15"/>
  <c r="X106" i="15"/>
  <c r="U106" i="15"/>
  <c r="R106" i="15"/>
  <c r="W106" i="15"/>
  <c r="S106" i="15"/>
  <c r="T106" i="15"/>
  <c r="C108" i="14"/>
  <c r="U107" i="14"/>
  <c r="K107" i="14"/>
  <c r="T107" i="14"/>
  <c r="W107" i="14"/>
  <c r="S107" i="14"/>
  <c r="Y107" i="14"/>
  <c r="V107" i="14"/>
  <c r="X107" i="14"/>
  <c r="R107" i="14"/>
  <c r="N111" i="14"/>
  <c r="F112" i="14"/>
  <c r="N112" i="14" s="1"/>
  <c r="V94" i="4"/>
  <c r="R94" i="4"/>
  <c r="U94" i="4"/>
  <c r="T94" i="4"/>
  <c r="W94" i="4"/>
  <c r="S94" i="4"/>
  <c r="Y94" i="4"/>
  <c r="X94" i="4"/>
  <c r="F109" i="11"/>
  <c r="N108" i="11"/>
  <c r="K104" i="11"/>
  <c r="C105" i="11"/>
  <c r="V104" i="11"/>
  <c r="S104" i="11"/>
  <c r="U104" i="11"/>
  <c r="W104" i="11"/>
  <c r="R104" i="11"/>
  <c r="T104" i="11"/>
  <c r="X104" i="11"/>
  <c r="Y104" i="11"/>
  <c r="C105" i="10"/>
  <c r="K104" i="10"/>
  <c r="U104" i="10"/>
  <c r="V104" i="10"/>
  <c r="R104" i="10"/>
  <c r="Y104" i="10"/>
  <c r="T104" i="10"/>
  <c r="W104" i="10"/>
  <c r="X104" i="10"/>
  <c r="S104" i="10"/>
  <c r="F111" i="10"/>
  <c r="N110" i="10"/>
  <c r="F112" i="9"/>
  <c r="N111" i="9"/>
  <c r="K101" i="9"/>
  <c r="C102" i="9"/>
  <c r="W101" i="9"/>
  <c r="R101" i="9"/>
  <c r="V101" i="9"/>
  <c r="S101" i="9"/>
  <c r="X101" i="9"/>
  <c r="T101" i="9"/>
  <c r="U101" i="9"/>
  <c r="Y101" i="9"/>
  <c r="K102" i="8"/>
  <c r="C103" i="8"/>
  <c r="Y102" i="8"/>
  <c r="U102" i="8"/>
  <c r="T102" i="8"/>
  <c r="X102" i="8"/>
  <c r="S102" i="8"/>
  <c r="V102" i="8"/>
  <c r="R102" i="8"/>
  <c r="W102" i="8"/>
  <c r="F111" i="8"/>
  <c r="N110" i="8"/>
  <c r="C102" i="7"/>
  <c r="K101" i="7"/>
  <c r="R101" i="7"/>
  <c r="U101" i="7"/>
  <c r="Y101" i="7"/>
  <c r="W101" i="7"/>
  <c r="V101" i="7"/>
  <c r="S101" i="7"/>
  <c r="T101" i="7"/>
  <c r="X101" i="7"/>
  <c r="N109" i="7"/>
  <c r="F110" i="7"/>
  <c r="C90" i="1"/>
  <c r="K89" i="1"/>
  <c r="V89" i="1"/>
  <c r="T89" i="1"/>
  <c r="X89" i="1"/>
  <c r="Y89" i="1"/>
  <c r="W89" i="1"/>
  <c r="R89" i="1"/>
  <c r="S89" i="1"/>
  <c r="U89" i="1"/>
  <c r="N100" i="4"/>
  <c r="F101" i="4"/>
  <c r="C95" i="4"/>
  <c r="K94" i="4"/>
  <c r="F99" i="1"/>
  <c r="N98" i="1"/>
  <c r="M98" i="1"/>
  <c r="L97" i="1"/>
  <c r="N11" i="14" l="1"/>
  <c r="C108" i="15"/>
  <c r="K107" i="15"/>
  <c r="S107" i="15"/>
  <c r="X107" i="15"/>
  <c r="V107" i="15"/>
  <c r="W107" i="15"/>
  <c r="R107" i="15"/>
  <c r="U107" i="15"/>
  <c r="T107" i="15"/>
  <c r="Y107" i="15"/>
  <c r="N11" i="15"/>
  <c r="K108" i="14"/>
  <c r="C109" i="14"/>
  <c r="R108" i="14"/>
  <c r="S108" i="14"/>
  <c r="V108" i="14"/>
  <c r="W108" i="14"/>
  <c r="Y108" i="14"/>
  <c r="T108" i="14"/>
  <c r="U108" i="14"/>
  <c r="X108" i="14"/>
  <c r="V95" i="4"/>
  <c r="R95" i="4"/>
  <c r="X95" i="4"/>
  <c r="S95" i="4"/>
  <c r="T95" i="4"/>
  <c r="W95" i="4"/>
  <c r="U95" i="4"/>
  <c r="Y95" i="4"/>
  <c r="K105" i="11"/>
  <c r="C106" i="11"/>
  <c r="X105" i="11"/>
  <c r="W105" i="11"/>
  <c r="Y105" i="11"/>
  <c r="S105" i="11"/>
  <c r="T105" i="11"/>
  <c r="V105" i="11"/>
  <c r="R105" i="11"/>
  <c r="U105" i="11"/>
  <c r="F110" i="11"/>
  <c r="N109" i="11"/>
  <c r="F112" i="10"/>
  <c r="N111" i="10"/>
  <c r="K105" i="10"/>
  <c r="C106" i="10"/>
  <c r="V105" i="10"/>
  <c r="T105" i="10"/>
  <c r="R105" i="10"/>
  <c r="S105" i="10"/>
  <c r="W105" i="10"/>
  <c r="U105" i="10"/>
  <c r="Y105" i="10"/>
  <c r="X105" i="10"/>
  <c r="C103" i="9"/>
  <c r="K102" i="9"/>
  <c r="Y102" i="9"/>
  <c r="U102" i="9"/>
  <c r="T102" i="9"/>
  <c r="V102" i="9"/>
  <c r="R102" i="9"/>
  <c r="X102" i="9"/>
  <c r="S102" i="9"/>
  <c r="W102" i="9"/>
  <c r="N112" i="9"/>
  <c r="N11" i="9" s="1"/>
  <c r="P7" i="9" s="1"/>
  <c r="F112" i="8"/>
  <c r="N111" i="8"/>
  <c r="K103" i="8"/>
  <c r="C104" i="8"/>
  <c r="V103" i="8"/>
  <c r="Y103" i="8"/>
  <c r="U103" i="8"/>
  <c r="S103" i="8"/>
  <c r="W103" i="8"/>
  <c r="R103" i="8"/>
  <c r="X103" i="8"/>
  <c r="T103" i="8"/>
  <c r="F111" i="7"/>
  <c r="N110" i="7"/>
  <c r="K102" i="7"/>
  <c r="C103" i="7"/>
  <c r="W102" i="7"/>
  <c r="R102" i="7"/>
  <c r="S102" i="7"/>
  <c r="X102" i="7"/>
  <c r="U102" i="7"/>
  <c r="V102" i="7"/>
  <c r="Y102" i="7"/>
  <c r="T102" i="7"/>
  <c r="C91" i="1"/>
  <c r="K90" i="1"/>
  <c r="Y90" i="1"/>
  <c r="T90" i="1"/>
  <c r="R90" i="1"/>
  <c r="W90" i="1"/>
  <c r="V90" i="1"/>
  <c r="S90" i="1"/>
  <c r="X90" i="1"/>
  <c r="U90" i="1"/>
  <c r="C96" i="4"/>
  <c r="K95" i="4"/>
  <c r="N101" i="4"/>
  <c r="F102" i="4"/>
  <c r="F100" i="1"/>
  <c r="N99" i="1"/>
  <c r="M99" i="1"/>
  <c r="L98" i="1"/>
  <c r="C109" i="15" l="1"/>
  <c r="V108" i="15"/>
  <c r="U108" i="15"/>
  <c r="K108" i="15"/>
  <c r="T108" i="15"/>
  <c r="Y108" i="15"/>
  <c r="X108" i="15"/>
  <c r="W108" i="15"/>
  <c r="S108" i="15"/>
  <c r="R108" i="15"/>
  <c r="C110" i="14"/>
  <c r="K109" i="14"/>
  <c r="X109" i="14"/>
  <c r="U109" i="14"/>
  <c r="R109" i="14"/>
  <c r="W109" i="14"/>
  <c r="S109" i="14"/>
  <c r="T109" i="14"/>
  <c r="V109" i="14"/>
  <c r="Y109" i="14"/>
  <c r="V96" i="4"/>
  <c r="R96" i="4"/>
  <c r="U96" i="4"/>
  <c r="Y96" i="4"/>
  <c r="S96" i="4"/>
  <c r="X96" i="4"/>
  <c r="W96" i="4"/>
  <c r="T96" i="4"/>
  <c r="F111" i="11"/>
  <c r="N110" i="11"/>
  <c r="K106" i="11"/>
  <c r="C107" i="11"/>
  <c r="S106" i="11"/>
  <c r="Y106" i="11"/>
  <c r="W106" i="11"/>
  <c r="U106" i="11"/>
  <c r="R106" i="11"/>
  <c r="X106" i="11"/>
  <c r="T106" i="11"/>
  <c r="V106" i="11"/>
  <c r="C107" i="10"/>
  <c r="K106" i="10"/>
  <c r="R106" i="10"/>
  <c r="V106" i="10"/>
  <c r="U106" i="10"/>
  <c r="S106" i="10"/>
  <c r="Y106" i="10"/>
  <c r="W106" i="10"/>
  <c r="T106" i="10"/>
  <c r="X106" i="10"/>
  <c r="N112" i="10"/>
  <c r="N11" i="10" s="1"/>
  <c r="K103" i="9"/>
  <c r="C104" i="9"/>
  <c r="Y103" i="9"/>
  <c r="X103" i="9"/>
  <c r="S103" i="9"/>
  <c r="W103" i="9"/>
  <c r="T103" i="9"/>
  <c r="U103" i="9"/>
  <c r="V103" i="9"/>
  <c r="R103" i="9"/>
  <c r="N112" i="8"/>
  <c r="N11" i="8" s="1"/>
  <c r="K104" i="8"/>
  <c r="C105" i="8"/>
  <c r="U104" i="8"/>
  <c r="Y104" i="8"/>
  <c r="R104" i="8"/>
  <c r="X104" i="8"/>
  <c r="V104" i="8"/>
  <c r="T104" i="8"/>
  <c r="S104" i="8"/>
  <c r="W104" i="8"/>
  <c r="C104" i="7"/>
  <c r="K103" i="7"/>
  <c r="V103" i="7"/>
  <c r="R103" i="7"/>
  <c r="T103" i="7"/>
  <c r="Y103" i="7"/>
  <c r="S103" i="7"/>
  <c r="W103" i="7"/>
  <c r="X103" i="7"/>
  <c r="U103" i="7"/>
  <c r="N111" i="7"/>
  <c r="F112" i="7"/>
  <c r="C92" i="1"/>
  <c r="K91" i="1"/>
  <c r="W91" i="1"/>
  <c r="R91" i="1"/>
  <c r="V91" i="1"/>
  <c r="Y91" i="1"/>
  <c r="T91" i="1"/>
  <c r="X91" i="1"/>
  <c r="U91" i="1"/>
  <c r="S91" i="1"/>
  <c r="N102" i="4"/>
  <c r="F103" i="4"/>
  <c r="K96" i="4"/>
  <c r="C97" i="4"/>
  <c r="F101" i="1"/>
  <c r="N100" i="1"/>
  <c r="M100" i="1"/>
  <c r="L99" i="1"/>
  <c r="C110" i="15" l="1"/>
  <c r="K109" i="15"/>
  <c r="S109" i="15"/>
  <c r="W109" i="15"/>
  <c r="X109" i="15"/>
  <c r="U109" i="15"/>
  <c r="V109" i="15"/>
  <c r="Y109" i="15"/>
  <c r="T109" i="15"/>
  <c r="R109" i="15"/>
  <c r="K110" i="14"/>
  <c r="S110" i="14"/>
  <c r="V110" i="14"/>
  <c r="R110" i="14"/>
  <c r="C111" i="14"/>
  <c r="W110" i="14"/>
  <c r="T110" i="14"/>
  <c r="X110" i="14"/>
  <c r="Y110" i="14"/>
  <c r="U110" i="14"/>
  <c r="V97" i="4"/>
  <c r="R97" i="4"/>
  <c r="X97" i="4"/>
  <c r="S97" i="4"/>
  <c r="Y97" i="4"/>
  <c r="W97" i="4"/>
  <c r="U97" i="4"/>
  <c r="T97" i="4"/>
  <c r="K107" i="11"/>
  <c r="C108" i="11"/>
  <c r="S107" i="11"/>
  <c r="T107" i="11"/>
  <c r="X107" i="11"/>
  <c r="Y107" i="11"/>
  <c r="W107" i="11"/>
  <c r="V107" i="11"/>
  <c r="U107" i="11"/>
  <c r="R107" i="11"/>
  <c r="F112" i="11"/>
  <c r="N111" i="11"/>
  <c r="K107" i="10"/>
  <c r="C108" i="10"/>
  <c r="S107" i="10"/>
  <c r="U107" i="10"/>
  <c r="W107" i="10"/>
  <c r="R107" i="10"/>
  <c r="X107" i="10"/>
  <c r="Y107" i="10"/>
  <c r="V107" i="10"/>
  <c r="T107" i="10"/>
  <c r="C105" i="9"/>
  <c r="K104" i="9"/>
  <c r="Y104" i="9"/>
  <c r="S104" i="9"/>
  <c r="V104" i="9"/>
  <c r="U104" i="9"/>
  <c r="W104" i="9"/>
  <c r="T104" i="9"/>
  <c r="X104" i="9"/>
  <c r="R104" i="9"/>
  <c r="K105" i="8"/>
  <c r="C106" i="8"/>
  <c r="X105" i="8"/>
  <c r="Y105" i="8"/>
  <c r="R105" i="8"/>
  <c r="U105" i="8"/>
  <c r="T105" i="8"/>
  <c r="W105" i="8"/>
  <c r="V105" i="8"/>
  <c r="S105" i="8"/>
  <c r="N112" i="7"/>
  <c r="N11" i="7" s="1"/>
  <c r="K104" i="7"/>
  <c r="C105" i="7"/>
  <c r="S104" i="7"/>
  <c r="Y104" i="7"/>
  <c r="R104" i="7"/>
  <c r="V104" i="7"/>
  <c r="T104" i="7"/>
  <c r="X104" i="7"/>
  <c r="W104" i="7"/>
  <c r="U104" i="7"/>
  <c r="C93" i="1"/>
  <c r="K92" i="1"/>
  <c r="R92" i="1"/>
  <c r="T92" i="1"/>
  <c r="Y92" i="1"/>
  <c r="X92" i="1"/>
  <c r="S92" i="1"/>
  <c r="W92" i="1"/>
  <c r="V92" i="1"/>
  <c r="U92" i="1"/>
  <c r="C98" i="4"/>
  <c r="K97" i="4"/>
  <c r="F104" i="4"/>
  <c r="N103" i="4"/>
  <c r="F102" i="1"/>
  <c r="N101" i="1"/>
  <c r="M101" i="1"/>
  <c r="L100" i="1"/>
  <c r="U110" i="15" l="1"/>
  <c r="R110" i="15"/>
  <c r="C111" i="15"/>
  <c r="K110" i="15"/>
  <c r="W110" i="15"/>
  <c r="S110" i="15"/>
  <c r="V110" i="15"/>
  <c r="X110" i="15"/>
  <c r="T110" i="15"/>
  <c r="Y110" i="15"/>
  <c r="C112" i="14"/>
  <c r="K111" i="14"/>
  <c r="Y111" i="14"/>
  <c r="W111" i="14"/>
  <c r="X111" i="14"/>
  <c r="S111" i="14"/>
  <c r="U111" i="14"/>
  <c r="T111" i="14"/>
  <c r="V111" i="14"/>
  <c r="R111" i="14"/>
  <c r="V98" i="4"/>
  <c r="R98" i="4"/>
  <c r="U98" i="4"/>
  <c r="X98" i="4"/>
  <c r="S98" i="4"/>
  <c r="Y98" i="4"/>
  <c r="W98" i="4"/>
  <c r="T98" i="4"/>
  <c r="N112" i="11"/>
  <c r="N11" i="11" s="1"/>
  <c r="K108" i="11"/>
  <c r="C109" i="11"/>
  <c r="W108" i="11"/>
  <c r="S108" i="11"/>
  <c r="X108" i="11"/>
  <c r="U108" i="11"/>
  <c r="R108" i="11"/>
  <c r="V108" i="11"/>
  <c r="Y108" i="11"/>
  <c r="T108" i="11"/>
  <c r="C109" i="10"/>
  <c r="K108" i="10"/>
  <c r="U108" i="10"/>
  <c r="W108" i="10"/>
  <c r="S108" i="10"/>
  <c r="R108" i="10"/>
  <c r="X108" i="10"/>
  <c r="T108" i="10"/>
  <c r="Y108" i="10"/>
  <c r="V108" i="10"/>
  <c r="K105" i="9"/>
  <c r="C106" i="9"/>
  <c r="V105" i="9"/>
  <c r="W105" i="9"/>
  <c r="S105" i="9"/>
  <c r="U105" i="9"/>
  <c r="R105" i="9"/>
  <c r="Y105" i="9"/>
  <c r="T105" i="9"/>
  <c r="X105" i="9"/>
  <c r="K106" i="8"/>
  <c r="C107" i="8"/>
  <c r="Y106" i="8"/>
  <c r="V106" i="8"/>
  <c r="T106" i="8"/>
  <c r="W106" i="8"/>
  <c r="S106" i="8"/>
  <c r="R106" i="8"/>
  <c r="X106" i="8"/>
  <c r="U106" i="8"/>
  <c r="C106" i="7"/>
  <c r="K105" i="7"/>
  <c r="S105" i="7"/>
  <c r="W105" i="7"/>
  <c r="X105" i="7"/>
  <c r="Y105" i="7"/>
  <c r="U105" i="7"/>
  <c r="T105" i="7"/>
  <c r="V105" i="7"/>
  <c r="R105" i="7"/>
  <c r="C94" i="1"/>
  <c r="K93" i="1"/>
  <c r="V93" i="1"/>
  <c r="T93" i="1"/>
  <c r="Y93" i="1"/>
  <c r="W93" i="1"/>
  <c r="X93" i="1"/>
  <c r="R93" i="1"/>
  <c r="S93" i="1"/>
  <c r="U93" i="1"/>
  <c r="N104" i="4"/>
  <c r="F105" i="4"/>
  <c r="C99" i="4"/>
  <c r="K98" i="4"/>
  <c r="F103" i="1"/>
  <c r="N102" i="1"/>
  <c r="M102" i="1"/>
  <c r="L101" i="1"/>
  <c r="C112" i="15" l="1"/>
  <c r="K111" i="15"/>
  <c r="W111" i="15"/>
  <c r="T111" i="15"/>
  <c r="X111" i="15"/>
  <c r="Y111" i="15"/>
  <c r="V111" i="15"/>
  <c r="R111" i="15"/>
  <c r="U111" i="15"/>
  <c r="S111" i="15"/>
  <c r="K112" i="14"/>
  <c r="K11" i="14" s="1"/>
  <c r="P9" i="14" s="1"/>
  <c r="W112" i="14"/>
  <c r="W11" i="14" s="1"/>
  <c r="W6" i="14" s="1"/>
  <c r="V112" i="14"/>
  <c r="V11" i="14" s="1"/>
  <c r="V6" i="14" s="1"/>
  <c r="S112" i="14"/>
  <c r="S11" i="14" s="1"/>
  <c r="S6" i="14" s="1"/>
  <c r="R112" i="14"/>
  <c r="R11" i="14" s="1"/>
  <c r="R6" i="14" s="1"/>
  <c r="Y112" i="14"/>
  <c r="Y11" i="14" s="1"/>
  <c r="Y6" i="14" s="1"/>
  <c r="U112" i="14"/>
  <c r="U11" i="14" s="1"/>
  <c r="U6" i="14" s="1"/>
  <c r="T112" i="14"/>
  <c r="T11" i="14" s="1"/>
  <c r="T6" i="14" s="1"/>
  <c r="X112" i="14"/>
  <c r="X11" i="14" s="1"/>
  <c r="X6" i="14" s="1"/>
  <c r="V99" i="4"/>
  <c r="R99" i="4"/>
  <c r="X99" i="4"/>
  <c r="S99" i="4"/>
  <c r="W99" i="4"/>
  <c r="T99" i="4"/>
  <c r="Y99" i="4"/>
  <c r="U99" i="4"/>
  <c r="K109" i="11"/>
  <c r="C110" i="11"/>
  <c r="X109" i="11"/>
  <c r="S109" i="11"/>
  <c r="T109" i="11"/>
  <c r="U109" i="11"/>
  <c r="W109" i="11"/>
  <c r="V109" i="11"/>
  <c r="Y109" i="11"/>
  <c r="R109" i="11"/>
  <c r="K109" i="10"/>
  <c r="C110" i="10"/>
  <c r="X109" i="10"/>
  <c r="T109" i="10"/>
  <c r="R109" i="10"/>
  <c r="V109" i="10"/>
  <c r="W109" i="10"/>
  <c r="S109" i="10"/>
  <c r="U109" i="10"/>
  <c r="Y109" i="10"/>
  <c r="C107" i="9"/>
  <c r="K106" i="9"/>
  <c r="X106" i="9"/>
  <c r="W106" i="9"/>
  <c r="T106" i="9"/>
  <c r="R106" i="9"/>
  <c r="V106" i="9"/>
  <c r="U106" i="9"/>
  <c r="Y106" i="9"/>
  <c r="S106" i="9"/>
  <c r="K107" i="8"/>
  <c r="C108" i="8"/>
  <c r="Y107" i="8"/>
  <c r="R107" i="8"/>
  <c r="W107" i="8"/>
  <c r="X107" i="8"/>
  <c r="V107" i="8"/>
  <c r="T107" i="8"/>
  <c r="S107" i="8"/>
  <c r="U107" i="8"/>
  <c r="K106" i="7"/>
  <c r="C107" i="7"/>
  <c r="V106" i="7"/>
  <c r="X106" i="7"/>
  <c r="Y106" i="7"/>
  <c r="U106" i="7"/>
  <c r="W106" i="7"/>
  <c r="T106" i="7"/>
  <c r="S106" i="7"/>
  <c r="R106" i="7"/>
  <c r="C95" i="1"/>
  <c r="K94" i="1"/>
  <c r="W94" i="1"/>
  <c r="R94" i="1"/>
  <c r="Y94" i="1"/>
  <c r="T94" i="1"/>
  <c r="X94" i="1"/>
  <c r="U94" i="1"/>
  <c r="S94" i="1"/>
  <c r="V94" i="1"/>
  <c r="C100" i="4"/>
  <c r="K99" i="4"/>
  <c r="N105" i="4"/>
  <c r="F106" i="4"/>
  <c r="F104" i="1"/>
  <c r="N103" i="1"/>
  <c r="M103" i="1"/>
  <c r="L102" i="1"/>
  <c r="K112" i="15" l="1"/>
  <c r="K11" i="15" s="1"/>
  <c r="P9" i="15" s="1"/>
  <c r="R112" i="15"/>
  <c r="R11" i="15" s="1"/>
  <c r="R6" i="15" s="1"/>
  <c r="Y112" i="15"/>
  <c r="Y11" i="15" s="1"/>
  <c r="Y6" i="15" s="1"/>
  <c r="X112" i="15"/>
  <c r="X11" i="15" s="1"/>
  <c r="X6" i="15" s="1"/>
  <c r="U112" i="15"/>
  <c r="U11" i="15" s="1"/>
  <c r="U6" i="15" s="1"/>
  <c r="V112" i="15"/>
  <c r="V11" i="15" s="1"/>
  <c r="V6" i="15" s="1"/>
  <c r="W112" i="15"/>
  <c r="W11" i="15" s="1"/>
  <c r="W6" i="15" s="1"/>
  <c r="S112" i="15"/>
  <c r="S11" i="15" s="1"/>
  <c r="S6" i="15" s="1"/>
  <c r="T112" i="15"/>
  <c r="T11" i="15" s="1"/>
  <c r="T6" i="15" s="1"/>
  <c r="V100" i="4"/>
  <c r="R100" i="4"/>
  <c r="U100" i="4"/>
  <c r="W100" i="4"/>
  <c r="T100" i="4"/>
  <c r="S100" i="4"/>
  <c r="Y100" i="4"/>
  <c r="X100" i="4"/>
  <c r="K110" i="11"/>
  <c r="C111" i="11"/>
  <c r="U110" i="11"/>
  <c r="W110" i="11"/>
  <c r="T110" i="11"/>
  <c r="X110" i="11"/>
  <c r="R110" i="11"/>
  <c r="Y110" i="11"/>
  <c r="V110" i="11"/>
  <c r="S110" i="11"/>
  <c r="C111" i="10"/>
  <c r="K110" i="10"/>
  <c r="U110" i="10"/>
  <c r="X110" i="10"/>
  <c r="T110" i="10"/>
  <c r="W110" i="10"/>
  <c r="V110" i="10"/>
  <c r="Y110" i="10"/>
  <c r="S110" i="10"/>
  <c r="R110" i="10"/>
  <c r="K107" i="9"/>
  <c r="C108" i="9"/>
  <c r="R107" i="9"/>
  <c r="U107" i="9"/>
  <c r="W107" i="9"/>
  <c r="V107" i="9"/>
  <c r="T107" i="9"/>
  <c r="X107" i="9"/>
  <c r="S107" i="9"/>
  <c r="Y107" i="9"/>
  <c r="K108" i="8"/>
  <c r="C109" i="8"/>
  <c r="S108" i="8"/>
  <c r="W108" i="8"/>
  <c r="R108" i="8"/>
  <c r="U108" i="8"/>
  <c r="V108" i="8"/>
  <c r="T108" i="8"/>
  <c r="X108" i="8"/>
  <c r="Y108" i="8"/>
  <c r="C108" i="7"/>
  <c r="K107" i="7"/>
  <c r="W107" i="7"/>
  <c r="R107" i="7"/>
  <c r="Y107" i="7"/>
  <c r="T107" i="7"/>
  <c r="U107" i="7"/>
  <c r="X107" i="7"/>
  <c r="S107" i="7"/>
  <c r="V107" i="7"/>
  <c r="C96" i="1"/>
  <c r="K95" i="1"/>
  <c r="W95" i="1"/>
  <c r="R95" i="1"/>
  <c r="Y95" i="1"/>
  <c r="T95" i="1"/>
  <c r="X95" i="1"/>
  <c r="U95" i="1"/>
  <c r="S95" i="1"/>
  <c r="V95" i="1"/>
  <c r="N106" i="4"/>
  <c r="F107" i="4"/>
  <c r="C101" i="4"/>
  <c r="K100" i="4"/>
  <c r="F105" i="1"/>
  <c r="N104" i="1"/>
  <c r="M104" i="1"/>
  <c r="L103" i="1"/>
  <c r="V101" i="4" l="1"/>
  <c r="R101" i="4"/>
  <c r="X101" i="4"/>
  <c r="S101" i="4"/>
  <c r="U101" i="4"/>
  <c r="W101" i="4"/>
  <c r="T101" i="4"/>
  <c r="Y101" i="4"/>
  <c r="K111" i="11"/>
  <c r="C112" i="11"/>
  <c r="W111" i="11"/>
  <c r="X111" i="11"/>
  <c r="U111" i="11"/>
  <c r="V111" i="11"/>
  <c r="S111" i="11"/>
  <c r="T111" i="11"/>
  <c r="Y111" i="11"/>
  <c r="R111" i="11"/>
  <c r="K111" i="10"/>
  <c r="C112" i="10"/>
  <c r="T111" i="10"/>
  <c r="R111" i="10"/>
  <c r="V111" i="10"/>
  <c r="Y111" i="10"/>
  <c r="U111" i="10"/>
  <c r="X111" i="10"/>
  <c r="S111" i="10"/>
  <c r="W111" i="10"/>
  <c r="C109" i="9"/>
  <c r="K108" i="9"/>
  <c r="T108" i="9"/>
  <c r="W108" i="9"/>
  <c r="X108" i="9"/>
  <c r="Y108" i="9"/>
  <c r="S108" i="9"/>
  <c r="U108" i="9"/>
  <c r="V108" i="9"/>
  <c r="R108" i="9"/>
  <c r="K109" i="8"/>
  <c r="C110" i="8"/>
  <c r="U109" i="8"/>
  <c r="V109" i="8"/>
  <c r="R109" i="8"/>
  <c r="T109" i="8"/>
  <c r="Y109" i="8"/>
  <c r="X109" i="8"/>
  <c r="S109" i="8"/>
  <c r="W109" i="8"/>
  <c r="K108" i="7"/>
  <c r="C109" i="7"/>
  <c r="T108" i="7"/>
  <c r="R108" i="7"/>
  <c r="Y108" i="7"/>
  <c r="V108" i="7"/>
  <c r="W108" i="7"/>
  <c r="X108" i="7"/>
  <c r="S108" i="7"/>
  <c r="U108" i="7"/>
  <c r="C97" i="1"/>
  <c r="K96" i="1"/>
  <c r="U96" i="1"/>
  <c r="X96" i="1"/>
  <c r="R96" i="1"/>
  <c r="W96" i="1"/>
  <c r="V96" i="1"/>
  <c r="T96" i="1"/>
  <c r="Y96" i="1"/>
  <c r="S96" i="1"/>
  <c r="C102" i="4"/>
  <c r="K101" i="4"/>
  <c r="F108" i="4"/>
  <c r="N107" i="4"/>
  <c r="F106" i="1"/>
  <c r="N105" i="1"/>
  <c r="M105" i="1"/>
  <c r="L104" i="1"/>
  <c r="V102" i="4" l="1"/>
  <c r="R102" i="4"/>
  <c r="U102" i="4"/>
  <c r="T102" i="4"/>
  <c r="Y102" i="4"/>
  <c r="S102" i="4"/>
  <c r="X102" i="4"/>
  <c r="W102" i="4"/>
  <c r="K112" i="11"/>
  <c r="K11" i="11" s="1"/>
  <c r="P9" i="11" s="1"/>
  <c r="X112" i="11"/>
  <c r="X11" i="11" s="1"/>
  <c r="X6" i="11" s="1"/>
  <c r="W112" i="11"/>
  <c r="W11" i="11" s="1"/>
  <c r="W6" i="11" s="1"/>
  <c r="R112" i="11"/>
  <c r="R11" i="11" s="1"/>
  <c r="R6" i="11" s="1"/>
  <c r="Y112" i="11"/>
  <c r="Y11" i="11" s="1"/>
  <c r="Y6" i="11" s="1"/>
  <c r="T112" i="11"/>
  <c r="T11" i="11" s="1"/>
  <c r="T6" i="11" s="1"/>
  <c r="S112" i="11"/>
  <c r="S11" i="11" s="1"/>
  <c r="S6" i="11" s="1"/>
  <c r="U112" i="11"/>
  <c r="U11" i="11" s="1"/>
  <c r="U6" i="11" s="1"/>
  <c r="V112" i="11"/>
  <c r="V11" i="11" s="1"/>
  <c r="V6" i="11" s="1"/>
  <c r="K112" i="10"/>
  <c r="K11" i="10" s="1"/>
  <c r="P9" i="10" s="1"/>
  <c r="X112" i="10"/>
  <c r="X11" i="10" s="1"/>
  <c r="X6" i="10" s="1"/>
  <c r="R112" i="10"/>
  <c r="R11" i="10" s="1"/>
  <c r="R6" i="10" s="1"/>
  <c r="T112" i="10"/>
  <c r="T11" i="10" s="1"/>
  <c r="T6" i="10" s="1"/>
  <c r="S112" i="10"/>
  <c r="S11" i="10" s="1"/>
  <c r="S6" i="10" s="1"/>
  <c r="Y112" i="10"/>
  <c r="Y11" i="10" s="1"/>
  <c r="Y6" i="10" s="1"/>
  <c r="V112" i="10"/>
  <c r="V11" i="10" s="1"/>
  <c r="V6" i="10" s="1"/>
  <c r="U112" i="10"/>
  <c r="U11" i="10" s="1"/>
  <c r="U6" i="10" s="1"/>
  <c r="W112" i="10"/>
  <c r="W11" i="10" s="1"/>
  <c r="W6" i="10" s="1"/>
  <c r="K109" i="9"/>
  <c r="C110" i="9"/>
  <c r="V109" i="9"/>
  <c r="T109" i="9"/>
  <c r="R109" i="9"/>
  <c r="S109" i="9"/>
  <c r="Y109" i="9"/>
  <c r="X109" i="9"/>
  <c r="U109" i="9"/>
  <c r="W109" i="9"/>
  <c r="K110" i="8"/>
  <c r="C111" i="8"/>
  <c r="R110" i="8"/>
  <c r="W110" i="8"/>
  <c r="S110" i="8"/>
  <c r="V110" i="8"/>
  <c r="T110" i="8"/>
  <c r="Y110" i="8"/>
  <c r="U110" i="8"/>
  <c r="X110" i="8"/>
  <c r="C110" i="7"/>
  <c r="K109" i="7"/>
  <c r="W109" i="7"/>
  <c r="R109" i="7"/>
  <c r="U109" i="7"/>
  <c r="T109" i="7"/>
  <c r="Y109" i="7"/>
  <c r="S109" i="7"/>
  <c r="V109" i="7"/>
  <c r="X109" i="7"/>
  <c r="C98" i="1"/>
  <c r="K97" i="1"/>
  <c r="W97" i="1"/>
  <c r="R97" i="1"/>
  <c r="S97" i="1"/>
  <c r="Y97" i="1"/>
  <c r="T97" i="1"/>
  <c r="X97" i="1"/>
  <c r="U97" i="1"/>
  <c r="V97" i="1"/>
  <c r="F109" i="4"/>
  <c r="N108" i="4"/>
  <c r="C103" i="4"/>
  <c r="K102" i="4"/>
  <c r="F107" i="1"/>
  <c r="N106" i="1"/>
  <c r="M106" i="1"/>
  <c r="L105" i="1"/>
  <c r="V103" i="4" l="1"/>
  <c r="R103" i="4"/>
  <c r="X103" i="4"/>
  <c r="S103" i="4"/>
  <c r="T103" i="4"/>
  <c r="Y103" i="4"/>
  <c r="U103" i="4"/>
  <c r="W103" i="4"/>
  <c r="C111" i="9"/>
  <c r="K110" i="9"/>
  <c r="U110" i="9"/>
  <c r="S110" i="9"/>
  <c r="Y110" i="9"/>
  <c r="T110" i="9"/>
  <c r="X110" i="9"/>
  <c r="R110" i="9"/>
  <c r="W110" i="9"/>
  <c r="V110" i="9"/>
  <c r="K111" i="8"/>
  <c r="C112" i="8"/>
  <c r="R111" i="8"/>
  <c r="W111" i="8"/>
  <c r="V111" i="8"/>
  <c r="Y111" i="8"/>
  <c r="T111" i="8"/>
  <c r="U111" i="8"/>
  <c r="S111" i="8"/>
  <c r="X111" i="8"/>
  <c r="K110" i="7"/>
  <c r="C111" i="7"/>
  <c r="U110" i="7"/>
  <c r="T110" i="7"/>
  <c r="R110" i="7"/>
  <c r="X110" i="7"/>
  <c r="W110" i="7"/>
  <c r="Y110" i="7"/>
  <c r="S110" i="7"/>
  <c r="V110" i="7"/>
  <c r="C99" i="1"/>
  <c r="K98" i="1"/>
  <c r="V98" i="1"/>
  <c r="T98" i="1"/>
  <c r="U98" i="1"/>
  <c r="S98" i="1"/>
  <c r="X98" i="1"/>
  <c r="R98" i="1"/>
  <c r="W98" i="1"/>
  <c r="Y98" i="1"/>
  <c r="C104" i="4"/>
  <c r="K103" i="4"/>
  <c r="F110" i="4"/>
  <c r="N109" i="4"/>
  <c r="F108" i="1"/>
  <c r="N107" i="1"/>
  <c r="M107" i="1"/>
  <c r="L106" i="1"/>
  <c r="V104" i="4" l="1"/>
  <c r="R104" i="4"/>
  <c r="U104" i="4"/>
  <c r="Y104" i="4"/>
  <c r="S104" i="4"/>
  <c r="X104" i="4"/>
  <c r="W104" i="4"/>
  <c r="T104" i="4"/>
  <c r="K111" i="9"/>
  <c r="C112" i="9"/>
  <c r="X111" i="9"/>
  <c r="Y111" i="9"/>
  <c r="V111" i="9"/>
  <c r="R111" i="9"/>
  <c r="T111" i="9"/>
  <c r="W111" i="9"/>
  <c r="S111" i="9"/>
  <c r="U111" i="9"/>
  <c r="K112" i="8"/>
  <c r="K11" i="8" s="1"/>
  <c r="U112" i="8"/>
  <c r="U11" i="8" s="1"/>
  <c r="U6" i="8" s="1"/>
  <c r="W112" i="8"/>
  <c r="W11" i="8" s="1"/>
  <c r="W6" i="8" s="1"/>
  <c r="R112" i="8"/>
  <c r="R11" i="8" s="1"/>
  <c r="R6" i="8" s="1"/>
  <c r="X112" i="8"/>
  <c r="X11" i="8" s="1"/>
  <c r="X6" i="8" s="1"/>
  <c r="V112" i="8"/>
  <c r="V11" i="8" s="1"/>
  <c r="V6" i="8" s="1"/>
  <c r="T112" i="8"/>
  <c r="T11" i="8" s="1"/>
  <c r="T6" i="8" s="1"/>
  <c r="S112" i="8"/>
  <c r="S11" i="8" s="1"/>
  <c r="S6" i="8" s="1"/>
  <c r="Y112" i="8"/>
  <c r="Y11" i="8" s="1"/>
  <c r="Y6" i="8" s="1"/>
  <c r="C112" i="7"/>
  <c r="K111" i="7"/>
  <c r="R111" i="7"/>
  <c r="T111" i="7"/>
  <c r="V111" i="7"/>
  <c r="Y111" i="7"/>
  <c r="U111" i="7"/>
  <c r="W111" i="7"/>
  <c r="X111" i="7"/>
  <c r="S111" i="7"/>
  <c r="C100" i="1"/>
  <c r="K99" i="1"/>
  <c r="U99" i="1"/>
  <c r="S99" i="1"/>
  <c r="T99" i="1"/>
  <c r="Y99" i="1"/>
  <c r="V99" i="1"/>
  <c r="W99" i="1"/>
  <c r="X99" i="1"/>
  <c r="R99" i="1"/>
  <c r="F111" i="4"/>
  <c r="N110" i="4"/>
  <c r="K104" i="4"/>
  <c r="C105" i="4"/>
  <c r="F109" i="1"/>
  <c r="N108" i="1"/>
  <c r="M108" i="1"/>
  <c r="L107" i="1"/>
  <c r="V105" i="4" l="1"/>
  <c r="R105" i="4"/>
  <c r="X105" i="4"/>
  <c r="S105" i="4"/>
  <c r="Y105" i="4"/>
  <c r="W105" i="4"/>
  <c r="T105" i="4"/>
  <c r="U105" i="4"/>
  <c r="K112" i="9"/>
  <c r="K11" i="9" s="1"/>
  <c r="X112" i="9"/>
  <c r="X11" i="9" s="1"/>
  <c r="X6" i="9" s="1"/>
  <c r="V112" i="9"/>
  <c r="V11" i="9" s="1"/>
  <c r="V6" i="9" s="1"/>
  <c r="R112" i="9"/>
  <c r="R11" i="9" s="1"/>
  <c r="R6" i="9" s="1"/>
  <c r="T112" i="9"/>
  <c r="T11" i="9" s="1"/>
  <c r="T6" i="9" s="1"/>
  <c r="W112" i="9"/>
  <c r="W11" i="9" s="1"/>
  <c r="W6" i="9" s="1"/>
  <c r="Y112" i="9"/>
  <c r="Y11" i="9" s="1"/>
  <c r="Y6" i="9" s="1"/>
  <c r="U112" i="9"/>
  <c r="U11" i="9" s="1"/>
  <c r="U6" i="9" s="1"/>
  <c r="S112" i="9"/>
  <c r="S11" i="9" s="1"/>
  <c r="S6" i="9" s="1"/>
  <c r="K112" i="7"/>
  <c r="K11" i="7" s="1"/>
  <c r="T112" i="7"/>
  <c r="T11" i="7" s="1"/>
  <c r="T6" i="7" s="1"/>
  <c r="U112" i="7"/>
  <c r="U11" i="7" s="1"/>
  <c r="U6" i="7" s="1"/>
  <c r="W112" i="7"/>
  <c r="W11" i="7" s="1"/>
  <c r="W6" i="7" s="1"/>
  <c r="Y112" i="7"/>
  <c r="Y11" i="7" s="1"/>
  <c r="Y6" i="7" s="1"/>
  <c r="S112" i="7"/>
  <c r="S11" i="7" s="1"/>
  <c r="S6" i="7" s="1"/>
  <c r="V112" i="7"/>
  <c r="V11" i="7" s="1"/>
  <c r="V6" i="7" s="1"/>
  <c r="R112" i="7"/>
  <c r="R11" i="7" s="1"/>
  <c r="R6" i="7" s="1"/>
  <c r="X112" i="7"/>
  <c r="X11" i="7" s="1"/>
  <c r="X6" i="7" s="1"/>
  <c r="C101" i="1"/>
  <c r="K100" i="1"/>
  <c r="W100" i="1"/>
  <c r="R100" i="1"/>
  <c r="Y100" i="1"/>
  <c r="T100" i="1"/>
  <c r="X100" i="1"/>
  <c r="U100" i="1"/>
  <c r="S100" i="1"/>
  <c r="V100" i="1"/>
  <c r="C106" i="4"/>
  <c r="K105" i="4"/>
  <c r="F112" i="4"/>
  <c r="N112" i="4" s="1"/>
  <c r="N111" i="4"/>
  <c r="F110" i="1"/>
  <c r="N109" i="1"/>
  <c r="M109" i="1"/>
  <c r="L108" i="1"/>
  <c r="V106" i="4" l="1"/>
  <c r="R106" i="4"/>
  <c r="U106" i="4"/>
  <c r="X106" i="4"/>
  <c r="W106" i="4"/>
  <c r="Y106" i="4"/>
  <c r="T106" i="4"/>
  <c r="S106" i="4"/>
  <c r="P9" i="9"/>
  <c r="P8" i="9"/>
  <c r="C102" i="1"/>
  <c r="K101" i="1"/>
  <c r="W101" i="1"/>
  <c r="R101" i="1"/>
  <c r="V101" i="1"/>
  <c r="Y101" i="1"/>
  <c r="T101" i="1"/>
  <c r="X101" i="1"/>
  <c r="U101" i="1"/>
  <c r="S101" i="1"/>
  <c r="N11" i="4"/>
  <c r="C107" i="4"/>
  <c r="K106" i="4"/>
  <c r="F111" i="1"/>
  <c r="N110" i="1"/>
  <c r="M110" i="1"/>
  <c r="L109" i="1"/>
  <c r="V107" i="4" l="1"/>
  <c r="R107" i="4"/>
  <c r="X107" i="4"/>
  <c r="S107" i="4"/>
  <c r="W107" i="4"/>
  <c r="U107" i="4"/>
  <c r="Y107" i="4"/>
  <c r="T107" i="4"/>
  <c r="C103" i="1"/>
  <c r="K102" i="1"/>
  <c r="W102" i="1"/>
  <c r="R102" i="1"/>
  <c r="V102" i="1"/>
  <c r="Y102" i="1"/>
  <c r="T102" i="1"/>
  <c r="X102" i="1"/>
  <c r="U102" i="1"/>
  <c r="S102" i="1"/>
  <c r="C108" i="4"/>
  <c r="K107" i="4"/>
  <c r="F112" i="1"/>
  <c r="N112" i="1" s="1"/>
  <c r="N111" i="1"/>
  <c r="M111" i="1"/>
  <c r="M112" i="1"/>
  <c r="L110" i="1"/>
  <c r="V108" i="4" l="1"/>
  <c r="R108" i="4"/>
  <c r="U108" i="4"/>
  <c r="W108" i="4"/>
  <c r="T108" i="4"/>
  <c r="X108" i="4"/>
  <c r="S108" i="4"/>
  <c r="Y108" i="4"/>
  <c r="C104" i="1"/>
  <c r="K103" i="1"/>
  <c r="W103" i="1"/>
  <c r="R103" i="1"/>
  <c r="V103" i="1"/>
  <c r="Y103" i="1"/>
  <c r="T103" i="1"/>
  <c r="X103" i="1"/>
  <c r="U103" i="1"/>
  <c r="S103" i="1"/>
  <c r="M11" i="1"/>
  <c r="K108" i="4"/>
  <c r="C109" i="4"/>
  <c r="N11" i="1"/>
  <c r="L111" i="1"/>
  <c r="V109" i="4" l="1"/>
  <c r="R109" i="4"/>
  <c r="X109" i="4"/>
  <c r="S109" i="4"/>
  <c r="U109" i="4"/>
  <c r="T109" i="4"/>
  <c r="Y109" i="4"/>
  <c r="W109" i="4"/>
  <c r="C105" i="1"/>
  <c r="K104" i="1"/>
  <c r="V104" i="1"/>
  <c r="T104" i="1"/>
  <c r="U104" i="1"/>
  <c r="S104" i="1"/>
  <c r="X104" i="1"/>
  <c r="R104" i="1"/>
  <c r="W104" i="1"/>
  <c r="Y104" i="1"/>
  <c r="C110" i="4"/>
  <c r="K109" i="4"/>
  <c r="L112" i="1"/>
  <c r="L11" i="1" s="1"/>
  <c r="V110" i="4" l="1"/>
  <c r="R110" i="4"/>
  <c r="U110" i="4"/>
  <c r="T110" i="4"/>
  <c r="Y110" i="4"/>
  <c r="S110" i="4"/>
  <c r="W110" i="4"/>
  <c r="X110" i="4"/>
  <c r="C106" i="1"/>
  <c r="K105" i="1"/>
  <c r="W105" i="1"/>
  <c r="Y105" i="1"/>
  <c r="S105" i="1"/>
  <c r="T105" i="1"/>
  <c r="U105" i="1"/>
  <c r="R105" i="1"/>
  <c r="V105" i="1"/>
  <c r="X105" i="1"/>
  <c r="K110" i="4"/>
  <c r="C111" i="4"/>
  <c r="V111" i="4" l="1"/>
  <c r="R111" i="4"/>
  <c r="X111" i="4"/>
  <c r="S111" i="4"/>
  <c r="T111" i="4"/>
  <c r="Y111" i="4"/>
  <c r="W111" i="4"/>
  <c r="U111" i="4"/>
  <c r="C107" i="1"/>
  <c r="K106" i="1"/>
  <c r="S106" i="1"/>
  <c r="R106" i="1"/>
  <c r="U106" i="1"/>
  <c r="Y106" i="1"/>
  <c r="T106" i="1"/>
  <c r="W106" i="1"/>
  <c r="V106" i="1"/>
  <c r="X106" i="1"/>
  <c r="C112" i="4"/>
  <c r="K111" i="4"/>
  <c r="V112" i="4" l="1"/>
  <c r="V11" i="4" s="1"/>
  <c r="V6" i="4" s="1"/>
  <c r="R112" i="4"/>
  <c r="R11" i="4" s="1"/>
  <c r="R6" i="4" s="1"/>
  <c r="U112" i="4"/>
  <c r="U11" i="4" s="1"/>
  <c r="U6" i="4" s="1"/>
  <c r="Y112" i="4"/>
  <c r="Y11" i="4" s="1"/>
  <c r="Y6" i="4" s="1"/>
  <c r="S112" i="4"/>
  <c r="S11" i="4" s="1"/>
  <c r="S6" i="4" s="1"/>
  <c r="X112" i="4"/>
  <c r="X11" i="4" s="1"/>
  <c r="X6" i="4" s="1"/>
  <c r="T112" i="4"/>
  <c r="T11" i="4" s="1"/>
  <c r="T6" i="4" s="1"/>
  <c r="W112" i="4"/>
  <c r="W11" i="4" s="1"/>
  <c r="W6" i="4" s="1"/>
  <c r="C108" i="1"/>
  <c r="K107" i="1"/>
  <c r="V107" i="1"/>
  <c r="S107" i="1"/>
  <c r="Y107" i="1"/>
  <c r="X107" i="1"/>
  <c r="R107" i="1"/>
  <c r="U107" i="1"/>
  <c r="W107" i="1"/>
  <c r="T107" i="1"/>
  <c r="K112" i="4"/>
  <c r="K11" i="4" s="1"/>
  <c r="P9" i="4" s="1"/>
  <c r="C109" i="1" l="1"/>
  <c r="K108" i="1"/>
  <c r="V108" i="1"/>
  <c r="W108" i="1"/>
  <c r="U108" i="1"/>
  <c r="Y108" i="1"/>
  <c r="T108" i="1"/>
  <c r="X108" i="1"/>
  <c r="R108" i="1"/>
  <c r="S108" i="1"/>
  <c r="C110" i="1" l="1"/>
  <c r="K109" i="1"/>
  <c r="R109" i="1"/>
  <c r="S109" i="1"/>
  <c r="T109" i="1"/>
  <c r="X109" i="1"/>
  <c r="V109" i="1"/>
  <c r="W109" i="1"/>
  <c r="U109" i="1"/>
  <c r="Y109" i="1"/>
  <c r="C111" i="1" l="1"/>
  <c r="K110" i="1"/>
  <c r="T110" i="1"/>
  <c r="X110" i="1"/>
  <c r="W110" i="1"/>
  <c r="R110" i="1"/>
  <c r="S110" i="1"/>
  <c r="U110" i="1"/>
  <c r="Y110" i="1"/>
  <c r="V110" i="1"/>
  <c r="C112" i="1" l="1"/>
  <c r="K111" i="1"/>
  <c r="R111" i="1"/>
  <c r="S111" i="1"/>
  <c r="T111" i="1"/>
  <c r="X111" i="1"/>
  <c r="V111" i="1"/>
  <c r="W111" i="1"/>
  <c r="U111" i="1"/>
  <c r="Y111" i="1"/>
  <c r="K112" i="1" l="1"/>
  <c r="K11" i="1" s="1"/>
  <c r="V112" i="1"/>
  <c r="V11" i="1" s="1"/>
  <c r="V6" i="1" s="1"/>
  <c r="R112" i="1"/>
  <c r="R11" i="1" s="1"/>
  <c r="R6" i="1" s="1"/>
  <c r="X112" i="1"/>
  <c r="X11" i="1" s="1"/>
  <c r="X6" i="1" s="1"/>
  <c r="U112" i="1"/>
  <c r="U11" i="1" s="1"/>
  <c r="U6" i="1" s="1"/>
  <c r="W112" i="1"/>
  <c r="W11" i="1" s="1"/>
  <c r="W6" i="1" s="1"/>
  <c r="T112" i="1"/>
  <c r="T11" i="1" s="1"/>
  <c r="T6" i="1" s="1"/>
  <c r="S112" i="1"/>
  <c r="S11" i="1" s="1"/>
  <c r="S6" i="1" s="1"/>
  <c r="Y112" i="1"/>
  <c r="Y11" i="1" s="1"/>
  <c r="Y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Allen Bellas</author>
    <author>Allen</author>
  </authors>
  <commentList>
    <comment ref="B2" authorId="0" shapeId="0" xr:uid="{00000000-0006-0000-0000-000001000000}">
      <text>
        <r>
          <rPr>
            <b/>
            <sz val="9"/>
            <color indexed="81"/>
            <rFont val="Tahoma"/>
            <family val="2"/>
          </rPr>
          <t>Allen Bellas:</t>
        </r>
        <r>
          <rPr>
            <sz val="9"/>
            <color indexed="81"/>
            <rFont val="Tahoma"/>
            <family val="2"/>
          </rPr>
          <t xml:space="preserve">
The Elwha Report gives a value of $161.08M including $29.5M for project acquisition.    Source:  The Elwha Report, January 1994, Rsstoration of the Elwha River Ecosystem…  Table 15, p. 140.  This suggests construction costs exclusive of project acquisition of $131.5M
Alternatively, in Elwha River Restoration Project: Economic Analysis - Final Technical Report,  "Total project construction costs are scaled at $155 million, $100 million and $80 million respectively - inclusive of $29.5 million for project acquisition." (page 46).  Thi gives construction costs exclusive of acquistion costs of $125.5M, $70.5M and $50.5M.</t>
        </r>
      </text>
    </comment>
    <comment ref="B3" authorId="1" shapeId="0" xr:uid="{00000000-0006-0000-0000-000002000000}">
      <text>
        <r>
          <rPr>
            <b/>
            <sz val="9"/>
            <color indexed="81"/>
            <rFont val="Tahoma"/>
            <charset val="1"/>
          </rPr>
          <t>Allen:</t>
        </r>
        <r>
          <rPr>
            <sz val="9"/>
            <color indexed="81"/>
            <rFont val="Tahoma"/>
            <charset val="1"/>
          </rPr>
          <t xml:space="preserve">
You can take your pick of annual electricity costs.  
Elwha River Restoration Project: Economic Analysis uses rates ranging from 26.7 mills/kwh to 47.5 mills/kwh (Table 2, page 13) to generate annual electricity costs for 172 Gwh of between $4.6M and $8.2M (Table 4, page 15).  The resulting present value of regional energy costs is given as $171.9M at 3% (page iv), $584.6M at 0% (Table 26, page 51), $360.7M at 1% (Table 27, page 52), $240.7M at 2% (Table 28, page 53), $171.9M at 3% (again, Table 29, page 54), ..., and $70.4M at 7% (Table 31, page 56).
The FERC Draft Staff Report from March 1993 in Tabel 2-9, page 2-26 gives a value of $11,524,000 for the annual cost of foregone power generation if both dams are removed.  The supporting tables A-29 through A-33 on pages A-130 through A-134 don't really seem to support or clarify the calculation of the $11.524M value.  The value of $11.524 for 172Gwh yields a rate of 67.0 mills/kwh, higher than other rates presented.
At the very least, the time structure of the power prices and resulting valuations of lost power is not clearly stated in the paper.</t>
        </r>
      </text>
    </comment>
    <comment ref="B4" authorId="1" shapeId="0" xr:uid="{00000000-0006-0000-0000-000003000000}">
      <text>
        <r>
          <rPr>
            <b/>
            <sz val="9"/>
            <color indexed="81"/>
            <rFont val="Tahoma"/>
            <family val="2"/>
          </rPr>
          <t>Allen:</t>
        </r>
        <r>
          <rPr>
            <sz val="9"/>
            <color indexed="81"/>
            <rFont val="Tahoma"/>
            <family val="2"/>
          </rPr>
          <t xml:space="preserve">
This value is taken from Elwha River Restoration Project:   Economic Analysis, Table 13, page 27, adding commercial and excluding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   However, the appropriate value here isn't the value stated in the report for Alternative 5, but rather the difference between the catch levels in Alt. 1 and Alt. 5., as shown oin Tables 5-10 on pages 16-21.</t>
        </r>
      </text>
    </comment>
    <comment ref="B5" authorId="1" shapeId="0" xr:uid="{00000000-0006-0000-0000-000004000000}">
      <text>
        <r>
          <rPr>
            <b/>
            <sz val="9"/>
            <color indexed="81"/>
            <rFont val="Tahoma"/>
            <family val="2"/>
          </rPr>
          <t>Allen:</t>
        </r>
        <r>
          <rPr>
            <sz val="9"/>
            <color indexed="81"/>
            <rFont val="Tahoma"/>
            <family val="2"/>
          </rPr>
          <t xml:space="preserve">
This value is taken from Elwha River Restoration Project:   Economic Analysis, Table 13, page 27, removing commercial to identify only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  However, the appropriate value here isn't the value stated in the report for Alternative 5, but rather the difference between the catch levels in Alt. 1 and Alt. 5., as shown oin Tables 5-10 on pages 16-21.</t>
        </r>
      </text>
    </comment>
    <comment ref="B6" authorId="1" shapeId="0" xr:uid="{00000000-0006-0000-0000-000005000000}">
      <text>
        <r>
          <rPr>
            <b/>
            <sz val="9"/>
            <color indexed="81"/>
            <rFont val="Tahoma"/>
            <family val="2"/>
          </rPr>
          <t>Allen:</t>
        </r>
        <r>
          <rPr>
            <sz val="9"/>
            <color indexed="81"/>
            <rFont val="Tahoma"/>
            <family val="2"/>
          </rPr>
          <t xml:space="preserve">
From page 31 of the Elwha River Restoration Project: Economic Analysis </t>
        </r>
      </text>
    </comment>
    <comment ref="B7" authorId="1" shapeId="0" xr:uid="{00000000-0006-0000-0000-000006000000}">
      <text>
        <r>
          <rPr>
            <b/>
            <sz val="9"/>
            <color indexed="81"/>
            <rFont val="Tahoma"/>
            <family val="2"/>
          </rPr>
          <t>Allen:</t>
        </r>
        <r>
          <rPr>
            <sz val="9"/>
            <color indexed="81"/>
            <rFont val="Tahoma"/>
            <family val="2"/>
          </rPr>
          <t xml:space="preserve">
Source:  Elwha River Restoration Project:  Economic Analysis, page 34.</t>
        </r>
      </text>
    </comment>
    <comment ref="C7" authorId="0" shapeId="0" xr:uid="{00000000-0006-0000-0000-000007000000}">
      <text>
        <r>
          <rPr>
            <b/>
            <sz val="9"/>
            <color indexed="81"/>
            <rFont val="Tahoma"/>
            <charset val="1"/>
          </rPr>
          <t>Allen Bellas:</t>
        </r>
        <r>
          <rPr>
            <sz val="9"/>
            <color indexed="81"/>
            <rFont val="Tahoma"/>
            <charset val="1"/>
          </rPr>
          <t xml:space="preserve">
Source:  Elwha River Restoration Project:  Economic Analysis, page 35.  However, it seems these values are included in the values of the adjacent cell, as per the Economic Analysis, p. 34, "Non-market values associated with recreational use in the study area are included in the totals displayed in Table 18," which is the table from which the value in the adjacent cell was taken.</t>
        </r>
      </text>
    </comment>
    <comment ref="B8" authorId="1" shapeId="0" xr:uid="{00000000-0006-0000-0000-000008000000}">
      <text>
        <r>
          <rPr>
            <b/>
            <sz val="9"/>
            <color indexed="81"/>
            <rFont val="Tahoma"/>
            <family val="2"/>
          </rPr>
          <t>Allen:</t>
        </r>
        <r>
          <rPr>
            <sz val="9"/>
            <color indexed="81"/>
            <rFont val="Tahoma"/>
            <family val="2"/>
          </rPr>
          <t xml:space="preserve">
Source:  Elwha River Restoration Project:  Economic Analysis, page 44</t>
        </r>
      </text>
    </comment>
    <comment ref="C10" authorId="1" shapeId="0" xr:uid="{00000000-0006-0000-0000-000009000000}">
      <text>
        <r>
          <rPr>
            <b/>
            <sz val="9"/>
            <color indexed="81"/>
            <rFont val="Tahoma"/>
            <charset val="1"/>
          </rPr>
          <t>Allen:</t>
        </r>
        <r>
          <rPr>
            <sz val="9"/>
            <color indexed="81"/>
            <rFont val="Tahoma"/>
            <charset val="1"/>
          </rPr>
          <t xml:space="preserve">
Source:  Elwha River Restoration Project:  Economic Analysis, page 12 and Table 25, p. 45
As per point iv. on page 12 and as per the statement on page 45, this annual percentage increase should be imposed only on the first 20 years. </t>
        </r>
      </text>
    </comment>
    <comment ref="D10" authorId="1" shapeId="0" xr:uid="{00000000-0006-0000-0000-00000A000000}">
      <text>
        <r>
          <rPr>
            <b/>
            <sz val="9"/>
            <color indexed="81"/>
            <rFont val="Tahoma"/>
            <charset val="1"/>
          </rPr>
          <t>Allen:</t>
        </r>
        <r>
          <rPr>
            <sz val="9"/>
            <color indexed="81"/>
            <rFont val="Tahoma"/>
            <charset val="1"/>
          </rPr>
          <t xml:space="preserve">
Source:  Elwha River Restoration Project:  Economic Analysis, Table 25, p. 45 and on page 47.   As per the note on page 45 and as stated on page 47, this rate of growth should only be applied to the first 20 years.</t>
        </r>
      </text>
    </comment>
    <comment ref="E10" authorId="1" shapeId="0" xr:uid="{00000000-0006-0000-0000-00000B000000}">
      <text>
        <r>
          <rPr>
            <b/>
            <sz val="9"/>
            <color indexed="81"/>
            <rFont val="Tahoma"/>
            <charset val="1"/>
          </rPr>
          <t>Allen:</t>
        </r>
        <r>
          <rPr>
            <sz val="9"/>
            <color indexed="81"/>
            <rFont val="Tahoma"/>
            <charset val="1"/>
          </rPr>
          <t xml:space="preserve">
Source:  Elwha River Restoration Project:  Economic Analysis, p. 48.   However, this is only applied over the first 20 years of the project, as noted on that page.</t>
        </r>
      </text>
    </comment>
    <comment ref="F10" authorId="1" shapeId="0" xr:uid="{00000000-0006-0000-0000-00000C000000}">
      <text>
        <r>
          <rPr>
            <b/>
            <sz val="9"/>
            <color indexed="81"/>
            <rFont val="Tahoma"/>
            <charset val="1"/>
          </rPr>
          <t>Allen:</t>
        </r>
        <r>
          <rPr>
            <sz val="9"/>
            <color indexed="81"/>
            <rFont val="Tahoma"/>
            <charset val="1"/>
          </rPr>
          <t xml:space="preserve">
Source:  Elwha River Restoration Project:   Economic Analysis, Pages 45 and 49.   As per the note on page 45, this rate of growth should only be applied to the first 20 years.
</t>
        </r>
      </text>
    </comment>
    <comment ref="G10" authorId="1" shapeId="0" xr:uid="{00000000-0006-0000-0000-00000D000000}">
      <text>
        <r>
          <rPr>
            <b/>
            <sz val="9"/>
            <color indexed="81"/>
            <rFont val="Tahoma"/>
            <charset val="1"/>
          </rPr>
          <t>Allen:</t>
        </r>
        <r>
          <rPr>
            <sz val="9"/>
            <color indexed="81"/>
            <rFont val="Tahoma"/>
            <charset val="1"/>
          </rPr>
          <t xml:space="preserve">
Source:  Elwha River Restoration Project:   Economic Analysis, Page 49.     </t>
        </r>
      </text>
    </comment>
    <comment ref="B12" authorId="0" shapeId="0" xr:uid="{00000000-0006-0000-0000-00000E000000}">
      <text>
        <r>
          <rPr>
            <b/>
            <sz val="9"/>
            <color indexed="81"/>
            <rFont val="Tahoma"/>
            <family val="2"/>
          </rPr>
          <t>Allen Bellas:</t>
        </r>
        <r>
          <rPr>
            <sz val="9"/>
            <color indexed="81"/>
            <rFont val="Tahoma"/>
            <family val="2"/>
          </rPr>
          <t xml:space="preserve">
Pcercentages of total construction costs by year as per The Elwha Report, Table 15, p. 140.</t>
        </r>
      </text>
    </comment>
    <comment ref="D12" authorId="0" shapeId="0" xr:uid="{00000000-0006-0000-0000-00000F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E12" authorId="0" shapeId="0" xr:uid="{00000000-0006-0000-0000-000010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F12" authorId="0" shapeId="0" xr:uid="{00000000-0006-0000-0000-000011000000}">
      <text>
        <r>
          <rPr>
            <b/>
            <sz val="9"/>
            <color indexed="81"/>
            <rFont val="Tahoma"/>
            <charset val="1"/>
          </rPr>
          <t>Allen Bellas:</t>
        </r>
        <r>
          <rPr>
            <sz val="9"/>
            <color indexed="81"/>
            <rFont val="Tahoma"/>
            <charset val="1"/>
          </rPr>
          <t xml:space="preserve">
"Benefits are assumed to be zero for the first six years of project life, and are then assumed to increase in 10 even increments to the benefit levels displayed in Section V."  p. 49</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Allen</author>
  </authors>
  <commentList>
    <comment ref="D6" authorId="0" shapeId="0" xr:uid="{00000000-0006-0000-0900-000001000000}">
      <text>
        <r>
          <rPr>
            <b/>
            <sz val="9"/>
            <color indexed="81"/>
            <rFont val="Tahoma"/>
            <charset val="1"/>
          </rPr>
          <t>Allen:</t>
        </r>
        <r>
          <rPr>
            <sz val="9"/>
            <color indexed="81"/>
            <rFont val="Tahoma"/>
            <charset val="1"/>
          </rPr>
          <t xml:space="preserve">
This would be $29.5M, but I don't believe that project acquisition is an appropriate cost to include.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Allen Bellas</author>
  </authors>
  <commentList>
    <comment ref="D1" authorId="0" shapeId="0" xr:uid="{00000000-0006-0000-0A00-000001000000}">
      <text>
        <r>
          <rPr>
            <b/>
            <sz val="9"/>
            <color indexed="81"/>
            <rFont val="Tahoma"/>
            <charset val="1"/>
          </rPr>
          <t>Allen Bellas:</t>
        </r>
        <r>
          <rPr>
            <sz val="9"/>
            <color indexed="81"/>
            <rFont val="Tahoma"/>
            <charset val="1"/>
          </rPr>
          <t xml:space="preserve">
Source:  Elwha River Restoration Project: Economic Analysis, Table 13, p. 27</t>
        </r>
      </text>
    </comment>
    <comment ref="E1" authorId="0" shapeId="0" xr:uid="{00000000-0006-0000-0A00-000002000000}">
      <text>
        <r>
          <rPr>
            <b/>
            <sz val="9"/>
            <color indexed="81"/>
            <rFont val="Tahoma"/>
            <charset val="1"/>
          </rPr>
          <t>Allen Bellas:</t>
        </r>
        <r>
          <rPr>
            <sz val="9"/>
            <color indexed="81"/>
            <rFont val="Tahoma"/>
            <charset val="1"/>
          </rPr>
          <t xml:space="preserve">
Source:  Elwha River Restoration Project: Economic Analysis, Table 13, p. 27</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Allen Bellas</author>
  </authors>
  <commentList>
    <comment ref="E2" authorId="0" shapeId="0" xr:uid="{00000000-0006-0000-0B00-000001000000}">
      <text>
        <r>
          <rPr>
            <b/>
            <sz val="9"/>
            <color indexed="81"/>
            <rFont val="Tahoma"/>
            <family val="2"/>
          </rPr>
          <t>Allen Bellas:</t>
        </r>
        <r>
          <rPr>
            <sz val="9"/>
            <color indexed="81"/>
            <rFont val="Tahoma"/>
            <family val="2"/>
          </rPr>
          <t xml:space="preserve">
Pink Salmon seem to be harvested only in odd-numbered years.  Please see Economic Analysis, Table 8, page 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Allen Bellas</author>
    <author>Allen</author>
  </authors>
  <commentList>
    <comment ref="B2" authorId="0" shapeId="0" xr:uid="{00000000-0006-0000-0100-000001000000}">
      <text>
        <r>
          <rPr>
            <b/>
            <sz val="9"/>
            <color indexed="81"/>
            <rFont val="Tahoma"/>
            <family val="2"/>
          </rPr>
          <t>Allen Bellas:</t>
        </r>
        <r>
          <rPr>
            <sz val="9"/>
            <color indexed="81"/>
            <rFont val="Tahoma"/>
            <family val="2"/>
          </rPr>
          <t xml:space="preserve">
The Elwha Report gives a value of $161.08M including $29.5M for project acquisition.    Source:  The Elwha Report, January 1994, Rsstoration of the Elwha River Ecosystem…  Table 15, p. 140.  This suggests construction costs exclusive of project acquisition of $131.5M
Alternatively, in Elwha River Restoration Project: Economic Analysis - Final Technical Report,  "Total project construction costs are scaled at $155 million, $100 million and $80 million respectively - inclusive of $29.5 million for project acquisition." (page 46).  Thi gives construction costs exclusive of acquistion costs of $125.5M, $70.5M and $50.5M.</t>
        </r>
      </text>
    </comment>
    <comment ref="B3" authorId="1" shapeId="0" xr:uid="{00000000-0006-0000-0100-000002000000}">
      <text>
        <r>
          <rPr>
            <b/>
            <sz val="9"/>
            <color indexed="81"/>
            <rFont val="Tahoma"/>
            <charset val="1"/>
          </rPr>
          <t>Allen:</t>
        </r>
        <r>
          <rPr>
            <sz val="9"/>
            <color indexed="81"/>
            <rFont val="Tahoma"/>
            <charset val="1"/>
          </rPr>
          <t xml:space="preserve">
You can take your pick of annual electricity costs.  
Elwha River Restoration Project: Economic Analysis uses rates ranging from 26.7 mills/kwh to 47.5 mills/kwh (Table 2, page 13) to generate annual electricity costs for 172 Gwh of between $4.6M and $8.2M (Table 4, page 15).  The resulting present value of regional energy costs is given as $171.9M at 3% (page iv), $584.6M at 0% (Table 26, page 51), $360.7M at 1% (Table 27, page 52), $240.7M at 2% (Table 28, page 53), $171.9M at 3% (again, Table 29, page 54), ..., and $70.4M at 7% (Table 31, page 56).
The FERC Draft Staff Report from March 1993 in Tabel 2-9, page 2-26 gives a value of $11,524,000 for the annual cost of foregone power generation if both dams are removed.  The supporting tables A-29 through A-33 on pages A-130 through A-134 don't really seem to support or clarify the calculation of the $11.524M value.  The value of $11.524 for 172Gwh yields a rate of 67.0 mills/kwh, higher than other rates presented.
At the very least, the time structure of the power prices and resulting valuations of lost power is not clearly stated in the paper.</t>
        </r>
      </text>
    </comment>
    <comment ref="B4" authorId="1" shapeId="0" xr:uid="{00000000-0006-0000-0100-000003000000}">
      <text>
        <r>
          <rPr>
            <b/>
            <sz val="9"/>
            <color indexed="81"/>
            <rFont val="Tahoma"/>
            <family val="2"/>
          </rPr>
          <t>Allen:</t>
        </r>
        <r>
          <rPr>
            <sz val="9"/>
            <color indexed="81"/>
            <rFont val="Tahoma"/>
            <family val="2"/>
          </rPr>
          <t xml:space="preserve">
This value is taken from Elwha River Restoration Project:   Economic Analysis, Table 13, page 27, adding commercial and excluding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   However, the appropriate value here isn't the value stated in the report for Alternative 5, but rather the difference between the catch levels in Alt. 1 and Alt. 5., as shown oin Tables 5-10 on pages 16-21.</t>
        </r>
      </text>
    </comment>
    <comment ref="B5" authorId="1" shapeId="0" xr:uid="{00000000-0006-0000-0100-000004000000}">
      <text>
        <r>
          <rPr>
            <b/>
            <sz val="9"/>
            <color indexed="81"/>
            <rFont val="Tahoma"/>
            <family val="2"/>
          </rPr>
          <t>Allen:</t>
        </r>
        <r>
          <rPr>
            <sz val="9"/>
            <color indexed="81"/>
            <rFont val="Tahoma"/>
            <family val="2"/>
          </rPr>
          <t xml:space="preserve">
This value is taken from Elwha River Restoration Project:   Economic Analysis, Table 13, page 27, removing commercial to identify only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  However, the appropriate value here isn't the value stated in the report for Alternative 5, but rather the difference between the catch levels in Alt. 1 and Alt. 5., as shown oin Tables 5-10 on pages 16-21.</t>
        </r>
      </text>
    </comment>
    <comment ref="B6" authorId="1" shapeId="0" xr:uid="{00000000-0006-0000-0100-000005000000}">
      <text>
        <r>
          <rPr>
            <b/>
            <sz val="9"/>
            <color indexed="81"/>
            <rFont val="Tahoma"/>
            <family val="2"/>
          </rPr>
          <t>Allen:</t>
        </r>
        <r>
          <rPr>
            <sz val="9"/>
            <color indexed="81"/>
            <rFont val="Tahoma"/>
            <family val="2"/>
          </rPr>
          <t xml:space="preserve">
From page 31 of the Elwha River Restoration Project: Economic Analysis </t>
        </r>
      </text>
    </comment>
    <comment ref="B7" authorId="1" shapeId="0" xr:uid="{00000000-0006-0000-0100-000006000000}">
      <text>
        <r>
          <rPr>
            <b/>
            <sz val="9"/>
            <color indexed="81"/>
            <rFont val="Tahoma"/>
            <family val="2"/>
          </rPr>
          <t>Allen:</t>
        </r>
        <r>
          <rPr>
            <sz val="9"/>
            <color indexed="81"/>
            <rFont val="Tahoma"/>
            <family val="2"/>
          </rPr>
          <t xml:space="preserve">
Source:  Elwha River Restoration Project:  Economic Analysis, page 34.</t>
        </r>
      </text>
    </comment>
    <comment ref="C7" authorId="0" shapeId="0" xr:uid="{00000000-0006-0000-0100-000007000000}">
      <text>
        <r>
          <rPr>
            <b/>
            <sz val="9"/>
            <color indexed="81"/>
            <rFont val="Tahoma"/>
            <charset val="1"/>
          </rPr>
          <t>Allen Bellas:</t>
        </r>
        <r>
          <rPr>
            <sz val="9"/>
            <color indexed="81"/>
            <rFont val="Tahoma"/>
            <charset val="1"/>
          </rPr>
          <t xml:space="preserve">
Source:  Elwha River Restoration Project:  Economic Analysis, page 35.  However, it seems these values are included in the values of the adjacent cell, as per the Economic Analysis, p. 34, "Non-market values associated with recreational use in the study area are included in the totals displayed in Table 18," which is the table from which the value in the adjacent cell was taken.</t>
        </r>
      </text>
    </comment>
    <comment ref="B8" authorId="1" shapeId="0" xr:uid="{00000000-0006-0000-0100-000008000000}">
      <text>
        <r>
          <rPr>
            <b/>
            <sz val="9"/>
            <color indexed="81"/>
            <rFont val="Tahoma"/>
            <family val="2"/>
          </rPr>
          <t>Allen:</t>
        </r>
        <r>
          <rPr>
            <sz val="9"/>
            <color indexed="81"/>
            <rFont val="Tahoma"/>
            <family val="2"/>
          </rPr>
          <t xml:space="preserve">
Source:  Elwha River Restoration Project:  Economic Analysis, page 44</t>
        </r>
      </text>
    </comment>
    <comment ref="C10" authorId="1" shapeId="0" xr:uid="{00000000-0006-0000-0100-000009000000}">
      <text>
        <r>
          <rPr>
            <b/>
            <sz val="9"/>
            <color indexed="81"/>
            <rFont val="Tahoma"/>
            <charset val="1"/>
          </rPr>
          <t>Allen:</t>
        </r>
        <r>
          <rPr>
            <sz val="9"/>
            <color indexed="81"/>
            <rFont val="Tahoma"/>
            <charset val="1"/>
          </rPr>
          <t xml:space="preserve">
Source:  Elwha River Restoration Project:  Economic Analysis, page 12 and Table 25, p. 45
As per point iv. on page 12 and as per the statement on page 45, this annual percentage increase should be imposed only on the first 20 years. </t>
        </r>
      </text>
    </comment>
    <comment ref="D10" authorId="1" shapeId="0" xr:uid="{00000000-0006-0000-0100-00000A000000}">
      <text>
        <r>
          <rPr>
            <b/>
            <sz val="9"/>
            <color indexed="81"/>
            <rFont val="Tahoma"/>
            <charset val="1"/>
          </rPr>
          <t>Allen:</t>
        </r>
        <r>
          <rPr>
            <sz val="9"/>
            <color indexed="81"/>
            <rFont val="Tahoma"/>
            <charset val="1"/>
          </rPr>
          <t xml:space="preserve">
Source:  Elwha River Restoration Project:  Economic Analysis, Table 25, p. 45 and on page 47.   As per the note on page 45 and as stated on page 47, this rate of growth should only be applied to the first 20 years.</t>
        </r>
      </text>
    </comment>
    <comment ref="E10" authorId="1" shapeId="0" xr:uid="{00000000-0006-0000-0100-00000B000000}">
      <text>
        <r>
          <rPr>
            <b/>
            <sz val="9"/>
            <color indexed="81"/>
            <rFont val="Tahoma"/>
            <charset val="1"/>
          </rPr>
          <t>Allen:</t>
        </r>
        <r>
          <rPr>
            <sz val="9"/>
            <color indexed="81"/>
            <rFont val="Tahoma"/>
            <charset val="1"/>
          </rPr>
          <t xml:space="preserve">
Source:  Elwha River Restoration Project:  Economic Analysis, p. 48.   However, this is only applied over the first 20 years of the project, as noted on that page.</t>
        </r>
      </text>
    </comment>
    <comment ref="F10" authorId="1" shapeId="0" xr:uid="{00000000-0006-0000-0100-00000C000000}">
      <text>
        <r>
          <rPr>
            <b/>
            <sz val="9"/>
            <color indexed="81"/>
            <rFont val="Tahoma"/>
            <charset val="1"/>
          </rPr>
          <t>Allen:</t>
        </r>
        <r>
          <rPr>
            <sz val="9"/>
            <color indexed="81"/>
            <rFont val="Tahoma"/>
            <charset val="1"/>
          </rPr>
          <t xml:space="preserve">
Source:  Elwha River Restoration Project:   Economic Analysis, Pages 45 and 49.   As per the note on page 45, this rate of growth should only be applied to the first 20 years.
</t>
        </r>
      </text>
    </comment>
    <comment ref="G10" authorId="1" shapeId="0" xr:uid="{00000000-0006-0000-0100-00000D000000}">
      <text>
        <r>
          <rPr>
            <b/>
            <sz val="9"/>
            <color indexed="81"/>
            <rFont val="Tahoma"/>
            <charset val="1"/>
          </rPr>
          <t>Allen:</t>
        </r>
        <r>
          <rPr>
            <sz val="9"/>
            <color indexed="81"/>
            <rFont val="Tahoma"/>
            <charset val="1"/>
          </rPr>
          <t xml:space="preserve">
Source:  Elwha River Restoration Project:   Economic Analysis, Page 49.     </t>
        </r>
      </text>
    </comment>
    <comment ref="B12" authorId="0" shapeId="0" xr:uid="{00000000-0006-0000-0100-00000E000000}">
      <text>
        <r>
          <rPr>
            <b/>
            <sz val="9"/>
            <color indexed="81"/>
            <rFont val="Tahoma"/>
            <family val="2"/>
          </rPr>
          <t>Allen Bellas:</t>
        </r>
        <r>
          <rPr>
            <sz val="9"/>
            <color indexed="81"/>
            <rFont val="Tahoma"/>
            <family val="2"/>
          </rPr>
          <t xml:space="preserve">
Pcercentages of total construction costs by year as per The Elwha Report, Table 15, p. 140.</t>
        </r>
      </text>
    </comment>
    <comment ref="D12" authorId="0" shapeId="0" xr:uid="{00000000-0006-0000-0100-00000F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E12" authorId="0" shapeId="0" xr:uid="{00000000-0006-0000-0100-000010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F12" authorId="0" shapeId="0" xr:uid="{00000000-0006-0000-0100-000011000000}">
      <text>
        <r>
          <rPr>
            <b/>
            <sz val="9"/>
            <color indexed="81"/>
            <rFont val="Tahoma"/>
            <charset val="1"/>
          </rPr>
          <t>Allen Bellas:</t>
        </r>
        <r>
          <rPr>
            <sz val="9"/>
            <color indexed="81"/>
            <rFont val="Tahoma"/>
            <charset val="1"/>
          </rPr>
          <t xml:space="preserve">
"Benefits are assumed to be zero for the first six years of project life, and are then assumed to increase in 10 even increments to the benefit levels displayed in Section V."  p. 49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Allen Bellas</author>
    <author>Allen</author>
  </authors>
  <commentList>
    <comment ref="B2" authorId="0" shapeId="0" xr:uid="{00000000-0006-0000-0200-000001000000}">
      <text>
        <r>
          <rPr>
            <b/>
            <sz val="9"/>
            <color indexed="81"/>
            <rFont val="Tahoma"/>
            <family val="2"/>
          </rPr>
          <t>Allen Bellas:</t>
        </r>
        <r>
          <rPr>
            <sz val="9"/>
            <color indexed="81"/>
            <rFont val="Tahoma"/>
            <family val="2"/>
          </rPr>
          <t xml:space="preserve">
The Elwha Report gives a value of $161.08M including $29.5M for project acquisition.    Source:  The Elwha Report, January 1994, Rsstoration of the Elwha River Ecosystem…  Table 15, p. 140.  This suggests construction costs exclusive of project acquisition of $131.5M
Alternatively, in Elwha River Restoration Project: Economic Analysis - Final Technical Report,  "Total project construction costs are scaled at $155 million, $100 million and $80 million respectively - inclusive of $29.5 million for project acquisition." (page 46).  Thi gives construction costs exclusive of acquistion costs of $125.5M, $70.5M and $50.5M.</t>
        </r>
      </text>
    </comment>
    <comment ref="B3" authorId="1" shapeId="0" xr:uid="{00000000-0006-0000-0200-000002000000}">
      <text>
        <r>
          <rPr>
            <b/>
            <sz val="9"/>
            <color indexed="81"/>
            <rFont val="Tahoma"/>
            <charset val="1"/>
          </rPr>
          <t>Allen:</t>
        </r>
        <r>
          <rPr>
            <sz val="9"/>
            <color indexed="81"/>
            <rFont val="Tahoma"/>
            <charset val="1"/>
          </rPr>
          <t xml:space="preserve">
You can take your pick of annual electricity costs.  
Elwha River Restoration Project: Economic Analysis uses rates ranging from 26.7 mills/kwh to 47.5 mills/kwh (Table 2, page 13) to generate annual electricity costs for 172 Gwh of between $4.6M and $8.2M (Table 4, page 15).  The resulting present value of regional energy costs is given as $171.9M at 3% (page iv), $584.6M at 0% (Table 26, page 51), $360.7M at 1% (Table 27, page 52), $240.7M at 2% (Table 28, page 53), $171.9M at 3% (again, Table 29, page 54), ..., and $70.4M at 7% (Table 31, page 56).
The FERC Draft Staff Report from March 1993 in Tabel 2-9, page 2-26 gives a value of $11,524,000 for the annual cost of foregone power generation if both dams are removed.  The supporting tables A-29 through A-33 on pages A-130 through A-134 don't really seem to support or clarify the calculation of the $11.524M value.  The value of $11.524 for 172Gwh yields a rate of 67.0 mills/kwh, higher than other rates presented.
At the very least, the time structure of the power prices and resulting valuations of lost power is not clearly stated in the paper.</t>
        </r>
      </text>
    </comment>
    <comment ref="B4" authorId="1" shapeId="0" xr:uid="{00000000-0006-0000-0200-000003000000}">
      <text>
        <r>
          <rPr>
            <b/>
            <sz val="9"/>
            <color indexed="81"/>
            <rFont val="Tahoma"/>
            <family val="2"/>
          </rPr>
          <t>Allen:</t>
        </r>
        <r>
          <rPr>
            <sz val="9"/>
            <color indexed="81"/>
            <rFont val="Tahoma"/>
            <family val="2"/>
          </rPr>
          <t xml:space="preserve">
This value is taken from Elwha River Restoration Project:   Economic Analysis, Table 13, page 27, adding commercial and excluding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   However, the appropriate value here isn't the value stated in the report for Alternative 5, but rather the difference between the catch levels in Alt. 1 and Alt. 5., as shown oin Tables 5-10 on pages 16-21.</t>
        </r>
      </text>
    </comment>
    <comment ref="B5" authorId="1" shapeId="0" xr:uid="{00000000-0006-0000-0200-000004000000}">
      <text>
        <r>
          <rPr>
            <b/>
            <sz val="9"/>
            <color indexed="81"/>
            <rFont val="Tahoma"/>
            <family val="2"/>
          </rPr>
          <t>Allen:</t>
        </r>
        <r>
          <rPr>
            <sz val="9"/>
            <color indexed="81"/>
            <rFont val="Tahoma"/>
            <family val="2"/>
          </rPr>
          <t xml:space="preserve">
This value is taken from Elwha River Restoration Project:   Economic Analysis, Table 13, page 27, removing commercial to identify only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  However, the appropriate value here isn't the value stated in the report for Alternative 5, but rather the difference between the catch levels in Alt. 1 and Alt. 5., as shown oin Tables 5-10 on pages 16-21.</t>
        </r>
      </text>
    </comment>
    <comment ref="B6" authorId="1" shapeId="0" xr:uid="{00000000-0006-0000-0200-000005000000}">
      <text>
        <r>
          <rPr>
            <b/>
            <sz val="9"/>
            <color indexed="81"/>
            <rFont val="Tahoma"/>
            <family val="2"/>
          </rPr>
          <t>Allen:</t>
        </r>
        <r>
          <rPr>
            <sz val="9"/>
            <color indexed="81"/>
            <rFont val="Tahoma"/>
            <family val="2"/>
          </rPr>
          <t xml:space="preserve">
From page 31 of the Elwha River Restoration Project: Economic Analysis </t>
        </r>
      </text>
    </comment>
    <comment ref="B7" authorId="1" shapeId="0" xr:uid="{00000000-0006-0000-0200-000006000000}">
      <text>
        <r>
          <rPr>
            <b/>
            <sz val="9"/>
            <color indexed="81"/>
            <rFont val="Tahoma"/>
            <family val="2"/>
          </rPr>
          <t>Allen:</t>
        </r>
        <r>
          <rPr>
            <sz val="9"/>
            <color indexed="81"/>
            <rFont val="Tahoma"/>
            <family val="2"/>
          </rPr>
          <t xml:space="preserve">
Source:  Elwha River Restoration Project:  Economic Analysis, page 34.</t>
        </r>
      </text>
    </comment>
    <comment ref="C7" authorId="0" shapeId="0" xr:uid="{00000000-0006-0000-0200-000007000000}">
      <text>
        <r>
          <rPr>
            <b/>
            <sz val="9"/>
            <color indexed="81"/>
            <rFont val="Tahoma"/>
            <charset val="1"/>
          </rPr>
          <t>Allen Bellas:</t>
        </r>
        <r>
          <rPr>
            <sz val="9"/>
            <color indexed="81"/>
            <rFont val="Tahoma"/>
            <charset val="1"/>
          </rPr>
          <t xml:space="preserve">
Source:  Elwha River Restoration Project:  Economic Analysis, page 35.  However, it seems these values are included in the values of the adjacent cell, as per the Economic Analysis, p. 34, "Non-market values associated with recreational use in the study area are included in the totals displayed in Table 18," which is the table from which the value in the adjacent cell was taken.</t>
        </r>
      </text>
    </comment>
    <comment ref="B8" authorId="1" shapeId="0" xr:uid="{00000000-0006-0000-0200-000008000000}">
      <text>
        <r>
          <rPr>
            <b/>
            <sz val="9"/>
            <color indexed="81"/>
            <rFont val="Tahoma"/>
            <family val="2"/>
          </rPr>
          <t>Allen:</t>
        </r>
        <r>
          <rPr>
            <sz val="9"/>
            <color indexed="81"/>
            <rFont val="Tahoma"/>
            <family val="2"/>
          </rPr>
          <t xml:space="preserve">
Source:  Elwha River Restoration Project:  Economic Analysis, page 44</t>
        </r>
      </text>
    </comment>
    <comment ref="C10" authorId="1" shapeId="0" xr:uid="{00000000-0006-0000-0200-000009000000}">
      <text>
        <r>
          <rPr>
            <b/>
            <sz val="9"/>
            <color indexed="81"/>
            <rFont val="Tahoma"/>
            <charset val="1"/>
          </rPr>
          <t>Allen:</t>
        </r>
        <r>
          <rPr>
            <sz val="9"/>
            <color indexed="81"/>
            <rFont val="Tahoma"/>
            <charset val="1"/>
          </rPr>
          <t xml:space="preserve">
Source:  Elwha River Restoration Project:  Economic Analysis, page 12 and Table 25, p. 45
As per point iv. on page 12 and as per the statement on page 45, this annual percentage increase should be imposed only on the first 20 years. </t>
        </r>
      </text>
    </comment>
    <comment ref="D10" authorId="1" shapeId="0" xr:uid="{00000000-0006-0000-0200-00000A000000}">
      <text>
        <r>
          <rPr>
            <b/>
            <sz val="9"/>
            <color indexed="81"/>
            <rFont val="Tahoma"/>
            <charset val="1"/>
          </rPr>
          <t>Allen:</t>
        </r>
        <r>
          <rPr>
            <sz val="9"/>
            <color indexed="81"/>
            <rFont val="Tahoma"/>
            <charset val="1"/>
          </rPr>
          <t xml:space="preserve">
Source:  Elwha River Restoration Project:  Economic Analysis, Table 25, p. 45 and on page 47.   As per the note on page 45 and as stated on page 47, this rate of growth should only be applied to the first 20 years.</t>
        </r>
      </text>
    </comment>
    <comment ref="E10" authorId="1" shapeId="0" xr:uid="{00000000-0006-0000-0200-00000B000000}">
      <text>
        <r>
          <rPr>
            <b/>
            <sz val="9"/>
            <color indexed="81"/>
            <rFont val="Tahoma"/>
            <charset val="1"/>
          </rPr>
          <t>Allen:</t>
        </r>
        <r>
          <rPr>
            <sz val="9"/>
            <color indexed="81"/>
            <rFont val="Tahoma"/>
            <charset val="1"/>
          </rPr>
          <t xml:space="preserve">
Source:  Elwha River Restoration Project:  Economic Analysis, p. 48.   However, this is only applied over the first 20 years of the project, as noted on that page.</t>
        </r>
      </text>
    </comment>
    <comment ref="F10" authorId="1" shapeId="0" xr:uid="{00000000-0006-0000-0200-00000C000000}">
      <text>
        <r>
          <rPr>
            <b/>
            <sz val="9"/>
            <color indexed="81"/>
            <rFont val="Tahoma"/>
            <charset val="1"/>
          </rPr>
          <t>Allen:</t>
        </r>
        <r>
          <rPr>
            <sz val="9"/>
            <color indexed="81"/>
            <rFont val="Tahoma"/>
            <charset val="1"/>
          </rPr>
          <t xml:space="preserve">
Source:  Elwha River Restoration Project:   Economic Analysis, Pages 45 and 49.   As per the note on page 45, this rate of growth should only be applied to the first 20 years.
</t>
        </r>
      </text>
    </comment>
    <comment ref="G10" authorId="1" shapeId="0" xr:uid="{00000000-0006-0000-0200-00000D000000}">
      <text>
        <r>
          <rPr>
            <b/>
            <sz val="9"/>
            <color indexed="81"/>
            <rFont val="Tahoma"/>
            <charset val="1"/>
          </rPr>
          <t>Allen:</t>
        </r>
        <r>
          <rPr>
            <sz val="9"/>
            <color indexed="81"/>
            <rFont val="Tahoma"/>
            <charset val="1"/>
          </rPr>
          <t xml:space="preserve">
Source:  Elwha River Restoration Project:   Economic Analysis, Page 49.     </t>
        </r>
      </text>
    </comment>
    <comment ref="B12" authorId="0" shapeId="0" xr:uid="{00000000-0006-0000-0200-00000E000000}">
      <text>
        <r>
          <rPr>
            <b/>
            <sz val="9"/>
            <color indexed="81"/>
            <rFont val="Tahoma"/>
            <family val="2"/>
          </rPr>
          <t>Allen Bellas:</t>
        </r>
        <r>
          <rPr>
            <sz val="9"/>
            <color indexed="81"/>
            <rFont val="Tahoma"/>
            <family val="2"/>
          </rPr>
          <t xml:space="preserve">
Pcercentages of total construction costs by year as per The Elwha Report, Table 15, p. 140.</t>
        </r>
      </text>
    </comment>
    <comment ref="D12" authorId="0" shapeId="0" xr:uid="{00000000-0006-0000-0200-00000F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E12" authorId="0" shapeId="0" xr:uid="{00000000-0006-0000-0200-000010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F12" authorId="0" shapeId="0" xr:uid="{00000000-0006-0000-0200-000011000000}">
      <text>
        <r>
          <rPr>
            <b/>
            <sz val="9"/>
            <color indexed="81"/>
            <rFont val="Tahoma"/>
            <charset val="1"/>
          </rPr>
          <t>Allen Bellas:</t>
        </r>
        <r>
          <rPr>
            <sz val="9"/>
            <color indexed="81"/>
            <rFont val="Tahoma"/>
            <charset val="1"/>
          </rPr>
          <t xml:space="preserve">
"Benefits are assumed to be zero for the first six years of project life, and are then assumed to increase in 10 even increments to the benefit levels displayed in Section V."  p. 49</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Allen Bellas</author>
    <author>Allen</author>
  </authors>
  <commentList>
    <comment ref="B2" authorId="0" shapeId="0" xr:uid="{00000000-0006-0000-0300-000001000000}">
      <text>
        <r>
          <rPr>
            <b/>
            <sz val="9"/>
            <color indexed="81"/>
            <rFont val="Tahoma"/>
            <family val="2"/>
          </rPr>
          <t>Allen Bellas:</t>
        </r>
        <r>
          <rPr>
            <sz val="9"/>
            <color indexed="81"/>
            <rFont val="Tahoma"/>
            <family val="2"/>
          </rPr>
          <t xml:space="preserve">
The Elwha Report gives a value of $161.08M including $29.5M for project acquisition.    Source:  The Elwha Report, January 1994, Rsstoration of the Elwha River Ecosystem…  Table 15, p. 140.  This suggests construction costs exclusive of project acquisition of $131.5M
Alternatively, in Elwha River Restoration Project: Economic Analysis - Final Technical Report,  "Total project construction costs are scaled at $155 million, $100 million and $80 million respectively - inclusive of $29.5 million for project acquisition." (page 46).  Thi gives construction costs exclusive of acquistion costs of $125.5M, $70.5M and $50.5M.</t>
        </r>
      </text>
    </comment>
    <comment ref="B3" authorId="1" shapeId="0" xr:uid="{00000000-0006-0000-0300-000002000000}">
      <text>
        <r>
          <rPr>
            <b/>
            <sz val="9"/>
            <color indexed="81"/>
            <rFont val="Tahoma"/>
            <charset val="1"/>
          </rPr>
          <t>Allen:</t>
        </r>
        <r>
          <rPr>
            <sz val="9"/>
            <color indexed="81"/>
            <rFont val="Tahoma"/>
            <charset val="1"/>
          </rPr>
          <t xml:space="preserve">
You can take your pick of annual electricity costs.  
Elwha River Restoration Project: Economic Analysis uses rates ranging from 26.7 mills/kwh to 47.5 mills/kwh (Table 2, page 13) to generate annual electricity costs for 172 Gwh of between $4.6M and $8.2M (Table 4, page 15).  The resulting present value of regional energy costs is given as $171.9M at 3% (page iv), $584.6M at 0% (Table 26, page 51), $360.7M at 1% (Table 27, page 52), $240.7M at 2% (Table 28, page 53), $171.9M at 3% (again, Table 29, page 54), ..., and $70.4M at 7% (Table 31, page 56).
The FERC Draft Staff Report from March 1993 in Tabel 2-9, page 2-26 gives a value of $11,524,000 for the annual cost of foregone power generation if both dams are removed.  The supporting tables A-29 through A-33 on pages A-130 through A-134 don't really seem to support or clarify the calculation of the $11.524M value.  The value of $11.524 for 172Gwh yields a rate of 67.0 mills/kwh, higher than other rates presented.
At the very least, the time structure of the power prices and resulting valuations of lost power is not clearly stated in the paper.</t>
        </r>
      </text>
    </comment>
    <comment ref="B4" authorId="1" shapeId="0" xr:uid="{00000000-0006-0000-0300-000003000000}">
      <text>
        <r>
          <rPr>
            <b/>
            <sz val="9"/>
            <color indexed="81"/>
            <rFont val="Tahoma"/>
            <family val="2"/>
          </rPr>
          <t>Allen:</t>
        </r>
        <r>
          <rPr>
            <sz val="9"/>
            <color indexed="81"/>
            <rFont val="Tahoma"/>
            <family val="2"/>
          </rPr>
          <t xml:space="preserve">
This value is taken from Elwha River Restoration Project:   Economic Analysis, Table 13, page 27, adding commercial and excluding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   However, the appropriate value here isn't the value stated in the report for Alternative 5, but rather the difference between the catch levels in Alt. 1 and Alt. 5., as shown oin Tables 5-10 on pages 16-21.</t>
        </r>
      </text>
    </comment>
    <comment ref="B5" authorId="1" shapeId="0" xr:uid="{00000000-0006-0000-0300-000004000000}">
      <text>
        <r>
          <rPr>
            <b/>
            <sz val="9"/>
            <color indexed="81"/>
            <rFont val="Tahoma"/>
            <family val="2"/>
          </rPr>
          <t>Allen:</t>
        </r>
        <r>
          <rPr>
            <sz val="9"/>
            <color indexed="81"/>
            <rFont val="Tahoma"/>
            <family val="2"/>
          </rPr>
          <t xml:space="preserve">
This value is taken from Elwha River Restoration Project:   Economic Analysis, Table 13, page 27, removing commercial to identify only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  However, the appropriate value here isn't the value stated in the report for Alternative 5, but rather the difference between the catch levels in Alt. 1 and Alt. 5., as shown oin Tables 5-10 on pages 16-21.</t>
        </r>
      </text>
    </comment>
    <comment ref="B6" authorId="1" shapeId="0" xr:uid="{00000000-0006-0000-0300-000005000000}">
      <text>
        <r>
          <rPr>
            <b/>
            <sz val="9"/>
            <color indexed="81"/>
            <rFont val="Tahoma"/>
            <family val="2"/>
          </rPr>
          <t>Allen:</t>
        </r>
        <r>
          <rPr>
            <sz val="9"/>
            <color indexed="81"/>
            <rFont val="Tahoma"/>
            <family val="2"/>
          </rPr>
          <t xml:space="preserve">
From page 31 of the Elwha River Restoration Project: Economic Analysis </t>
        </r>
      </text>
    </comment>
    <comment ref="B7" authorId="1" shapeId="0" xr:uid="{00000000-0006-0000-0300-000006000000}">
      <text>
        <r>
          <rPr>
            <b/>
            <sz val="9"/>
            <color indexed="81"/>
            <rFont val="Tahoma"/>
            <family val="2"/>
          </rPr>
          <t>Allen:</t>
        </r>
        <r>
          <rPr>
            <sz val="9"/>
            <color indexed="81"/>
            <rFont val="Tahoma"/>
            <family val="2"/>
          </rPr>
          <t xml:space="preserve">
Source:  Elwha River Restoration Project:  Economic Analysis, page 34.</t>
        </r>
      </text>
    </comment>
    <comment ref="C7" authorId="0" shapeId="0" xr:uid="{00000000-0006-0000-0300-000007000000}">
      <text>
        <r>
          <rPr>
            <b/>
            <sz val="9"/>
            <color indexed="81"/>
            <rFont val="Tahoma"/>
            <charset val="1"/>
          </rPr>
          <t>Allen Bellas:</t>
        </r>
        <r>
          <rPr>
            <sz val="9"/>
            <color indexed="81"/>
            <rFont val="Tahoma"/>
            <charset val="1"/>
          </rPr>
          <t xml:space="preserve">
Source:  Elwha River Restoration Project:  Economic Analysis, page 35.  However, it seems these values are included in the values of the adjacent cell, as per the Economic Analysis, p. 34, "Non-market values associated with recreational use in the study area are included in the totals displayed in Table 18," which is the table from which the value in the adjacent cell was taken.</t>
        </r>
      </text>
    </comment>
    <comment ref="B8" authorId="1" shapeId="0" xr:uid="{00000000-0006-0000-0300-000008000000}">
      <text>
        <r>
          <rPr>
            <b/>
            <sz val="9"/>
            <color indexed="81"/>
            <rFont val="Tahoma"/>
            <family val="2"/>
          </rPr>
          <t>Allen:</t>
        </r>
        <r>
          <rPr>
            <sz val="9"/>
            <color indexed="81"/>
            <rFont val="Tahoma"/>
            <family val="2"/>
          </rPr>
          <t xml:space="preserve">
Source:  Elwha River Restoration Project:  Economic Analysis, page 44</t>
        </r>
      </text>
    </comment>
    <comment ref="C10" authorId="1" shapeId="0" xr:uid="{00000000-0006-0000-0300-000009000000}">
      <text>
        <r>
          <rPr>
            <b/>
            <sz val="9"/>
            <color indexed="81"/>
            <rFont val="Tahoma"/>
            <charset val="1"/>
          </rPr>
          <t>Allen:</t>
        </r>
        <r>
          <rPr>
            <sz val="9"/>
            <color indexed="81"/>
            <rFont val="Tahoma"/>
            <charset val="1"/>
          </rPr>
          <t xml:space="preserve">
Source:  Elwha River Restoration Project:  Economic Analysis, page 12 and Table 25, p. 45
As per point iv. on page 12 and as per the statement on page 45, this annual percentage increase should be imposed only on the first 20 years. </t>
        </r>
      </text>
    </comment>
    <comment ref="D10" authorId="1" shapeId="0" xr:uid="{00000000-0006-0000-0300-00000A000000}">
      <text>
        <r>
          <rPr>
            <b/>
            <sz val="9"/>
            <color indexed="81"/>
            <rFont val="Tahoma"/>
            <charset val="1"/>
          </rPr>
          <t>Allen:</t>
        </r>
        <r>
          <rPr>
            <sz val="9"/>
            <color indexed="81"/>
            <rFont val="Tahoma"/>
            <charset val="1"/>
          </rPr>
          <t xml:space="preserve">
Source:  Elwha River Restoration Project:  Economic Analysis, Table 25, p. 45 and on page 47.   As per the note on page 45 and as stated on page 47, this rate of growth should only be applied to the first 20 years.</t>
        </r>
      </text>
    </comment>
    <comment ref="E10" authorId="1" shapeId="0" xr:uid="{00000000-0006-0000-0300-00000B000000}">
      <text>
        <r>
          <rPr>
            <b/>
            <sz val="9"/>
            <color indexed="81"/>
            <rFont val="Tahoma"/>
            <charset val="1"/>
          </rPr>
          <t>Allen:</t>
        </r>
        <r>
          <rPr>
            <sz val="9"/>
            <color indexed="81"/>
            <rFont val="Tahoma"/>
            <charset val="1"/>
          </rPr>
          <t xml:space="preserve">
Source:  Elwha River Restoration Project:  Economic Analysis, p. 48.   However, this is only applied over the first 20 years of the project, as noted on that page.</t>
        </r>
      </text>
    </comment>
    <comment ref="F10" authorId="1" shapeId="0" xr:uid="{00000000-0006-0000-0300-00000C000000}">
      <text>
        <r>
          <rPr>
            <b/>
            <sz val="9"/>
            <color indexed="81"/>
            <rFont val="Tahoma"/>
            <charset val="1"/>
          </rPr>
          <t>Allen:</t>
        </r>
        <r>
          <rPr>
            <sz val="9"/>
            <color indexed="81"/>
            <rFont val="Tahoma"/>
            <charset val="1"/>
          </rPr>
          <t xml:space="preserve">
Source:  Elwha River Restoration Project:   Economic Analysis, Pages 45 and 49.   As per the note on page 45, this rate of growth should only be applied to the first 20 years.
</t>
        </r>
      </text>
    </comment>
    <comment ref="G10" authorId="1" shapeId="0" xr:uid="{00000000-0006-0000-0300-00000D000000}">
      <text>
        <r>
          <rPr>
            <b/>
            <sz val="9"/>
            <color indexed="81"/>
            <rFont val="Tahoma"/>
            <charset val="1"/>
          </rPr>
          <t>Allen:</t>
        </r>
        <r>
          <rPr>
            <sz val="9"/>
            <color indexed="81"/>
            <rFont val="Tahoma"/>
            <charset val="1"/>
          </rPr>
          <t xml:space="preserve">
Source:  Elwha River Restoration Project:   Economic Analysis, Page 49.     </t>
        </r>
      </text>
    </comment>
    <comment ref="B12" authorId="0" shapeId="0" xr:uid="{00000000-0006-0000-0300-00000E000000}">
      <text>
        <r>
          <rPr>
            <b/>
            <sz val="9"/>
            <color indexed="81"/>
            <rFont val="Tahoma"/>
            <family val="2"/>
          </rPr>
          <t>Allen Bellas:</t>
        </r>
        <r>
          <rPr>
            <sz val="9"/>
            <color indexed="81"/>
            <rFont val="Tahoma"/>
            <family val="2"/>
          </rPr>
          <t xml:space="preserve">
Pcercentages of total construction costs by year as per The Elwha Report, Table 15, p. 140.</t>
        </r>
      </text>
    </comment>
    <comment ref="D12" authorId="0" shapeId="0" xr:uid="{00000000-0006-0000-0300-00000F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E12" authorId="0" shapeId="0" xr:uid="{00000000-0006-0000-0300-000010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F12" authorId="0" shapeId="0" xr:uid="{00000000-0006-0000-0300-000011000000}">
      <text>
        <r>
          <rPr>
            <b/>
            <sz val="9"/>
            <color indexed="81"/>
            <rFont val="Tahoma"/>
            <charset val="1"/>
          </rPr>
          <t>Allen Bellas:</t>
        </r>
        <r>
          <rPr>
            <sz val="9"/>
            <color indexed="81"/>
            <rFont val="Tahoma"/>
            <charset val="1"/>
          </rPr>
          <t xml:space="preserve">
"Benefits are assumed to be zero for the first six years of project life, and are then assumed to increase in 10 even increments to the benefit levels displayed in Section V."  p. 49</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Allen Bellas</author>
    <author>Allen</author>
  </authors>
  <commentList>
    <comment ref="B2" authorId="0" shapeId="0" xr:uid="{00000000-0006-0000-0400-000001000000}">
      <text>
        <r>
          <rPr>
            <b/>
            <sz val="9"/>
            <color indexed="81"/>
            <rFont val="Tahoma"/>
            <family val="2"/>
          </rPr>
          <t>Allen Bellas:</t>
        </r>
        <r>
          <rPr>
            <sz val="9"/>
            <color indexed="81"/>
            <rFont val="Tahoma"/>
            <family val="2"/>
          </rPr>
          <t xml:space="preserve">
The Elwha Report gives a value of $161.08M including $29.5M for project acquisition.    Source:  The Elwha Report, January 1994, Rsstoration of the Elwha River Ecosystem…  Table 15, p. 140.  This suggests construction costs exclusive of project acquisition of $131.5M
Alternatively, in Elwha River Restoration Project: Economic Analysis - Final Technical Report,  "Total project construction costs are scaled at $155 million, $100 million and $80 million respectively - inclusive of $29.5 million for project acquisition." (page 46).  Thi gives construction costs exclusive of acquistion costs of $125.5M, $70.5M and $50.5M.</t>
        </r>
      </text>
    </comment>
    <comment ref="B3" authorId="1" shapeId="0" xr:uid="{00000000-0006-0000-0400-000002000000}">
      <text>
        <r>
          <rPr>
            <b/>
            <sz val="9"/>
            <color indexed="81"/>
            <rFont val="Tahoma"/>
            <charset val="1"/>
          </rPr>
          <t>Allen:</t>
        </r>
        <r>
          <rPr>
            <sz val="9"/>
            <color indexed="81"/>
            <rFont val="Tahoma"/>
            <charset val="1"/>
          </rPr>
          <t xml:space="preserve">
You can take your pick of annual electricity costs.  
Elwha River Restoration Project: Economic Analysis uses rates ranging from 26.7 mills/kwh to 47.5 mills/kwh (Table 2, page 13) to generate annual electricity costs for 172 Gwh of between $4.6M and $8.2M (Table 4, page 15).  The resulting present value of regional energy costs is given as $171.9M at 3% (page iv), $584.6M at 0% (Table 26, page 51), $360.7M at 1% (Table 27, page 52), $240.7M at 2% (Table 28, page 53), $171.9M at 3% (again, Table 29, page 54), ..., and $70.4M at 7% (Table 31, page 56).
The FERC Draft Staff Report from March 1993 in Tabel 2-9, page 2-26 gives a value of $11,524,000 for the annual cost of foregone power generation if both dams are removed.  The supporting tables A-29 through A-33 on pages A-130 through A-134 don't really seem to support or clarify the calculation of the $11.524M value.  The value of $11.524 for 172Gwh yields a rate of 67.0 mills/kwh, higher than other rates presented.
At the very least, the time structure of the power prices and resulting valuations of lost power is not clearly stated in the paper.</t>
        </r>
      </text>
    </comment>
    <comment ref="B4" authorId="1" shapeId="0" xr:uid="{00000000-0006-0000-0400-000003000000}">
      <text>
        <r>
          <rPr>
            <b/>
            <sz val="9"/>
            <color indexed="81"/>
            <rFont val="Tahoma"/>
            <family val="2"/>
          </rPr>
          <t>Allen:</t>
        </r>
        <r>
          <rPr>
            <sz val="9"/>
            <color indexed="81"/>
            <rFont val="Tahoma"/>
            <family val="2"/>
          </rPr>
          <t xml:space="preserve">
This value is taken from Elwha River Restoration Project:   Economic Analysis, Table 13, page 27, adding commercial and excluding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   However, the appropriate value here isn't the value stated in the report for Alternative 5, but rather the difference between the catch levels in Alt. 1 and Alt. 5., as shown oin Tables 5-10 on pages 16-21.</t>
        </r>
      </text>
    </comment>
    <comment ref="B5" authorId="1" shapeId="0" xr:uid="{00000000-0006-0000-0400-000004000000}">
      <text>
        <r>
          <rPr>
            <b/>
            <sz val="9"/>
            <color indexed="81"/>
            <rFont val="Tahoma"/>
            <family val="2"/>
          </rPr>
          <t>Allen:</t>
        </r>
        <r>
          <rPr>
            <sz val="9"/>
            <color indexed="81"/>
            <rFont val="Tahoma"/>
            <family val="2"/>
          </rPr>
          <t xml:space="preserve">
This value is taken from Elwha River Restoration Project:   Economic Analysis, Table 13, page 27, removing commercial to identify only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  However, the appropriate value here isn't the value stated in the report for Alternative 5, but rather the difference between the catch levels in Alt. 1 and Alt. 5., as shown oin Tables 5-10 on pages 16-21.</t>
        </r>
      </text>
    </comment>
    <comment ref="B6" authorId="1" shapeId="0" xr:uid="{00000000-0006-0000-0400-000005000000}">
      <text>
        <r>
          <rPr>
            <b/>
            <sz val="9"/>
            <color indexed="81"/>
            <rFont val="Tahoma"/>
            <family val="2"/>
          </rPr>
          <t>Allen:</t>
        </r>
        <r>
          <rPr>
            <sz val="9"/>
            <color indexed="81"/>
            <rFont val="Tahoma"/>
            <family val="2"/>
          </rPr>
          <t xml:space="preserve">
From page 31 of the Elwha River Restoration Project: Economic Analysis </t>
        </r>
      </text>
    </comment>
    <comment ref="B7" authorId="1" shapeId="0" xr:uid="{00000000-0006-0000-0400-000006000000}">
      <text>
        <r>
          <rPr>
            <b/>
            <sz val="9"/>
            <color indexed="81"/>
            <rFont val="Tahoma"/>
            <family val="2"/>
          </rPr>
          <t>Allen:</t>
        </r>
        <r>
          <rPr>
            <sz val="9"/>
            <color indexed="81"/>
            <rFont val="Tahoma"/>
            <family val="2"/>
          </rPr>
          <t xml:space="preserve">
Source:  Elwha River Restoration Project:  Economic Analysis, page 34.</t>
        </r>
      </text>
    </comment>
    <comment ref="C7" authorId="0" shapeId="0" xr:uid="{00000000-0006-0000-0400-000007000000}">
      <text>
        <r>
          <rPr>
            <b/>
            <sz val="9"/>
            <color indexed="81"/>
            <rFont val="Tahoma"/>
            <charset val="1"/>
          </rPr>
          <t>Allen Bellas:</t>
        </r>
        <r>
          <rPr>
            <sz val="9"/>
            <color indexed="81"/>
            <rFont val="Tahoma"/>
            <charset val="1"/>
          </rPr>
          <t xml:space="preserve">
Source:  Elwha River Restoration Project:  Economic Analysis, page 35.  However, it seems these values are included in the values of the adjacent cell, as per the Economic Analysis, p. 34, "Non-market values associated with recreational use in the study area are included in the totals displayed in Table 18," which is the table from which the value in the adjacent cell was taken.</t>
        </r>
      </text>
    </comment>
    <comment ref="B8" authorId="1" shapeId="0" xr:uid="{00000000-0006-0000-0400-000008000000}">
      <text>
        <r>
          <rPr>
            <b/>
            <sz val="9"/>
            <color indexed="81"/>
            <rFont val="Tahoma"/>
            <family val="2"/>
          </rPr>
          <t>Allen:</t>
        </r>
        <r>
          <rPr>
            <sz val="9"/>
            <color indexed="81"/>
            <rFont val="Tahoma"/>
            <family val="2"/>
          </rPr>
          <t xml:space="preserve">
Source:  Elwha River Restoration Project:  Economic Analysis, page 44</t>
        </r>
      </text>
    </comment>
    <comment ref="C10" authorId="1" shapeId="0" xr:uid="{00000000-0006-0000-0400-000009000000}">
      <text>
        <r>
          <rPr>
            <b/>
            <sz val="9"/>
            <color indexed="81"/>
            <rFont val="Tahoma"/>
            <charset val="1"/>
          </rPr>
          <t>Allen:</t>
        </r>
        <r>
          <rPr>
            <sz val="9"/>
            <color indexed="81"/>
            <rFont val="Tahoma"/>
            <charset val="1"/>
          </rPr>
          <t xml:space="preserve">
Source:  Elwha River Restoration Project:  Economic Analysis, page 12 and Table 25, p. 45
As per point iv. on page 12 and as per the statement on page 45, this annual percentage increase should be imposed only on the first 20 years. </t>
        </r>
      </text>
    </comment>
    <comment ref="D10" authorId="1" shapeId="0" xr:uid="{00000000-0006-0000-0400-00000A000000}">
      <text>
        <r>
          <rPr>
            <b/>
            <sz val="9"/>
            <color indexed="81"/>
            <rFont val="Tahoma"/>
            <charset val="1"/>
          </rPr>
          <t>Allen:</t>
        </r>
        <r>
          <rPr>
            <sz val="9"/>
            <color indexed="81"/>
            <rFont val="Tahoma"/>
            <charset val="1"/>
          </rPr>
          <t xml:space="preserve">
Source:  Elwha River Restoration Project:  Economic Analysis, Table 25, p. 45 and on page 47.   As per the note on page 45 and as stated on page 47, this rate of growth should only be applied to the first 20 years.</t>
        </r>
      </text>
    </comment>
    <comment ref="E10" authorId="1" shapeId="0" xr:uid="{00000000-0006-0000-0400-00000B000000}">
      <text>
        <r>
          <rPr>
            <b/>
            <sz val="9"/>
            <color indexed="81"/>
            <rFont val="Tahoma"/>
            <charset val="1"/>
          </rPr>
          <t>Allen:</t>
        </r>
        <r>
          <rPr>
            <sz val="9"/>
            <color indexed="81"/>
            <rFont val="Tahoma"/>
            <charset val="1"/>
          </rPr>
          <t xml:space="preserve">
Source:  Elwha River Restoration Project:  Economic Analysis, p. 48.   However, this is only applied over the first 20 years of the project, as noted on that page.</t>
        </r>
      </text>
    </comment>
    <comment ref="F10" authorId="1" shapeId="0" xr:uid="{00000000-0006-0000-0400-00000C000000}">
      <text>
        <r>
          <rPr>
            <b/>
            <sz val="9"/>
            <color indexed="81"/>
            <rFont val="Tahoma"/>
            <charset val="1"/>
          </rPr>
          <t>Allen:</t>
        </r>
        <r>
          <rPr>
            <sz val="9"/>
            <color indexed="81"/>
            <rFont val="Tahoma"/>
            <charset val="1"/>
          </rPr>
          <t xml:space="preserve">
Source:  Elwha River Restoration Project:   Economic Analysis, Pages 45 and 49.   As per the note on page 45, this rate of growth should only be applied to the first 20 years.
</t>
        </r>
      </text>
    </comment>
    <comment ref="G10" authorId="1" shapeId="0" xr:uid="{00000000-0006-0000-0400-00000D000000}">
      <text>
        <r>
          <rPr>
            <b/>
            <sz val="9"/>
            <color indexed="81"/>
            <rFont val="Tahoma"/>
            <charset val="1"/>
          </rPr>
          <t>Allen:</t>
        </r>
        <r>
          <rPr>
            <sz val="9"/>
            <color indexed="81"/>
            <rFont val="Tahoma"/>
            <charset val="1"/>
          </rPr>
          <t xml:space="preserve">
Source:  Elwha River Restoration Project:   Economic Analysis, Page 49.     </t>
        </r>
      </text>
    </comment>
    <comment ref="B12" authorId="0" shapeId="0" xr:uid="{00000000-0006-0000-0400-00000E000000}">
      <text>
        <r>
          <rPr>
            <b/>
            <sz val="9"/>
            <color indexed="81"/>
            <rFont val="Tahoma"/>
            <family val="2"/>
          </rPr>
          <t>Allen Bellas:</t>
        </r>
        <r>
          <rPr>
            <sz val="9"/>
            <color indexed="81"/>
            <rFont val="Tahoma"/>
            <family val="2"/>
          </rPr>
          <t xml:space="preserve">
Pcercentages of total construction costs by year as per The Elwha Report, Table 15, p. 140.</t>
        </r>
      </text>
    </comment>
    <comment ref="D12" authorId="0" shapeId="0" xr:uid="{00000000-0006-0000-0400-00000F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E12" authorId="0" shapeId="0" xr:uid="{00000000-0006-0000-0400-000010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F12" authorId="0" shapeId="0" xr:uid="{00000000-0006-0000-0400-000011000000}">
      <text>
        <r>
          <rPr>
            <b/>
            <sz val="9"/>
            <color indexed="81"/>
            <rFont val="Tahoma"/>
            <charset val="1"/>
          </rPr>
          <t>Allen Bellas:</t>
        </r>
        <r>
          <rPr>
            <sz val="9"/>
            <color indexed="81"/>
            <rFont val="Tahoma"/>
            <charset val="1"/>
          </rPr>
          <t xml:space="preserve">
"Benefits are assumed to be zero for the first six years of project life, and are then assumed to increase in 10 even increments to the benefit levels displayed in Section V."  p. 49</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Allen Bellas</author>
    <author>Allen</author>
  </authors>
  <commentList>
    <comment ref="B2" authorId="0" shapeId="0" xr:uid="{00000000-0006-0000-0500-000001000000}">
      <text>
        <r>
          <rPr>
            <b/>
            <sz val="9"/>
            <color indexed="81"/>
            <rFont val="Tahoma"/>
            <family val="2"/>
          </rPr>
          <t>Allen Bellas:</t>
        </r>
        <r>
          <rPr>
            <sz val="9"/>
            <color indexed="81"/>
            <rFont val="Tahoma"/>
            <family val="2"/>
          </rPr>
          <t xml:space="preserve">
The Elwha Report gives a value of $161.08M including $29.5M for project acquisition.    Source:  The Elwha Report, January 1994, Rsstoration of the Elwha River Ecosystem…  Table 15, p. 140.  This suggests construction costs exclusive of project acquisition of $131.5M
Alternatively, in Elwha River Restoration Project: Economic Analysis - Final Technical Report,  "Total project construction costs are scaled at $155 million, $100 million and $80 million respectively - inclusive of $29.5 million for project acquisition." (page 46).  Thi gives construction costs exclusive of acquistion costs of $125.5M, $70.5M and $50.5M.</t>
        </r>
      </text>
    </comment>
    <comment ref="B3" authorId="1" shapeId="0" xr:uid="{00000000-0006-0000-0500-000002000000}">
      <text>
        <r>
          <rPr>
            <b/>
            <sz val="9"/>
            <color indexed="81"/>
            <rFont val="Tahoma"/>
            <charset val="1"/>
          </rPr>
          <t>Allen:</t>
        </r>
        <r>
          <rPr>
            <sz val="9"/>
            <color indexed="81"/>
            <rFont val="Tahoma"/>
            <charset val="1"/>
          </rPr>
          <t xml:space="preserve">
You can take your pick of annual electricity costs.  
Elwha River Restoration Project: Economic Analysis uses rates ranging from 26.7 mills/kwh to 47.5 mills/kwh (Table 2, page 13) to generate annual electricity costs for 172 Gwh of between $4.6M and $8.2M (Table 4, page 15).  The resulting present value of regional energy costs is given as $171.9M at 3% (page iv), $584.6M at 0% (Table 26, page 51), $360.7M at 1% (Table 27, page 52), $240.7M at 2% (Table 28, page 53), $171.9M at 3% (again, Table 29, page 54), ..., and $70.4M at 7% (Table 31, page 56).
The FERC Draft Staff Report from March 1993 in Tabel 2-9, page 2-26 gives a value of $11,524,000 for the annual cost of foregone power generation if both dams are removed.  The supporting tables A-29 through A-33 on pages A-130 through A-134 don't really seem to support or clarify the calculation of the $11.524M value.  The value of $11.524 for 172Gwh yields a rate of 67.0 mills/kwh, higher than other rates presented.
At the very least, the time structure of the power prices and resulting valuations of lost power is not clearly stated in the paper.</t>
        </r>
      </text>
    </comment>
    <comment ref="B4" authorId="1" shapeId="0" xr:uid="{00000000-0006-0000-0500-000003000000}">
      <text>
        <r>
          <rPr>
            <b/>
            <sz val="9"/>
            <color indexed="81"/>
            <rFont val="Tahoma"/>
            <family val="2"/>
          </rPr>
          <t>Allen:</t>
        </r>
        <r>
          <rPr>
            <sz val="9"/>
            <color indexed="81"/>
            <rFont val="Tahoma"/>
            <family val="2"/>
          </rPr>
          <t xml:space="preserve">
This value is taken from Elwha River Restoration Project:   Economic Analysis, Table 13, page 27, adding commercial and excluding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   However, the appropriate value here isn't the value stated in the report for Alternative 5, but rather the difference between the catch levels in Alt. 1 and Alt. 5., as shown oin Tables 5-10 on pages 16-21.</t>
        </r>
      </text>
    </comment>
    <comment ref="B5" authorId="1" shapeId="0" xr:uid="{00000000-0006-0000-0500-000004000000}">
      <text>
        <r>
          <rPr>
            <b/>
            <sz val="9"/>
            <color indexed="81"/>
            <rFont val="Tahoma"/>
            <family val="2"/>
          </rPr>
          <t>Allen:</t>
        </r>
        <r>
          <rPr>
            <sz val="9"/>
            <color indexed="81"/>
            <rFont val="Tahoma"/>
            <family val="2"/>
          </rPr>
          <t xml:space="preserve">
This value is taken from Elwha River Restoration Project:   Economic Analysis, Table 13, page 27, removing commercial to identify only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  However, the appropriate value here isn't the value stated in the report for Alternative 5, but rather the difference between the catch levels in Alt. 1 and Alt. 5., as shown oin Tables 5-10 on pages 16-21.</t>
        </r>
      </text>
    </comment>
    <comment ref="B6" authorId="1" shapeId="0" xr:uid="{00000000-0006-0000-0500-000005000000}">
      <text>
        <r>
          <rPr>
            <b/>
            <sz val="9"/>
            <color indexed="81"/>
            <rFont val="Tahoma"/>
            <family val="2"/>
          </rPr>
          <t>Allen:</t>
        </r>
        <r>
          <rPr>
            <sz val="9"/>
            <color indexed="81"/>
            <rFont val="Tahoma"/>
            <family val="2"/>
          </rPr>
          <t xml:space="preserve">
From page 31 of the Elwha River Restoration Project: Economic Analysis </t>
        </r>
      </text>
    </comment>
    <comment ref="B7" authorId="1" shapeId="0" xr:uid="{00000000-0006-0000-0500-000006000000}">
      <text>
        <r>
          <rPr>
            <b/>
            <sz val="9"/>
            <color indexed="81"/>
            <rFont val="Tahoma"/>
            <family val="2"/>
          </rPr>
          <t>Allen:</t>
        </r>
        <r>
          <rPr>
            <sz val="9"/>
            <color indexed="81"/>
            <rFont val="Tahoma"/>
            <family val="2"/>
          </rPr>
          <t xml:space="preserve">
Source:  Elwha River Restoration Project:  Economic Analysis, page 34.</t>
        </r>
      </text>
    </comment>
    <comment ref="C7" authorId="0" shapeId="0" xr:uid="{00000000-0006-0000-0500-000007000000}">
      <text>
        <r>
          <rPr>
            <b/>
            <sz val="9"/>
            <color indexed="81"/>
            <rFont val="Tahoma"/>
            <charset val="1"/>
          </rPr>
          <t>Allen Bellas:</t>
        </r>
        <r>
          <rPr>
            <sz val="9"/>
            <color indexed="81"/>
            <rFont val="Tahoma"/>
            <charset val="1"/>
          </rPr>
          <t xml:space="preserve">
Source:  Elwha River Restoration Project:  Economic Analysis, page 35.  However, it seems these values are included in the values of the adjacent cell, as per the Economic Analysis, p. 34, "Non-market values associated with recreational use in the study area are included in the totals displayed in Table 18," which is the table from which the value in the adjacent cell was taken.</t>
        </r>
      </text>
    </comment>
    <comment ref="B8" authorId="1" shapeId="0" xr:uid="{00000000-0006-0000-0500-000008000000}">
      <text>
        <r>
          <rPr>
            <b/>
            <sz val="9"/>
            <color indexed="81"/>
            <rFont val="Tahoma"/>
            <family val="2"/>
          </rPr>
          <t>Allen:</t>
        </r>
        <r>
          <rPr>
            <sz val="9"/>
            <color indexed="81"/>
            <rFont val="Tahoma"/>
            <family val="2"/>
          </rPr>
          <t xml:space="preserve">
Source:  Elwha River Restoration Project:  Economic Analysis, page 44</t>
        </r>
      </text>
    </comment>
    <comment ref="C10" authorId="1" shapeId="0" xr:uid="{00000000-0006-0000-0500-000009000000}">
      <text>
        <r>
          <rPr>
            <b/>
            <sz val="9"/>
            <color indexed="81"/>
            <rFont val="Tahoma"/>
            <charset val="1"/>
          </rPr>
          <t>Allen:</t>
        </r>
        <r>
          <rPr>
            <sz val="9"/>
            <color indexed="81"/>
            <rFont val="Tahoma"/>
            <charset val="1"/>
          </rPr>
          <t xml:space="preserve">
Source:  Elwha River Restoration Project:  Economic Analysis, page 12 and Table 25, p. 45
As per point iv. on page 12 and as per the statement on page 45, this annual percentage increase should be imposed only on the first 20 years. </t>
        </r>
      </text>
    </comment>
    <comment ref="D10" authorId="1" shapeId="0" xr:uid="{00000000-0006-0000-0500-00000A000000}">
      <text>
        <r>
          <rPr>
            <b/>
            <sz val="9"/>
            <color indexed="81"/>
            <rFont val="Tahoma"/>
            <charset val="1"/>
          </rPr>
          <t>Allen:</t>
        </r>
        <r>
          <rPr>
            <sz val="9"/>
            <color indexed="81"/>
            <rFont val="Tahoma"/>
            <charset val="1"/>
          </rPr>
          <t xml:space="preserve">
Source:  Elwha River Restoration Project:  Economic Analysis, Table 25, p. 45 and on page 47.   As per the note on page 45 and as stated on page 47, this rate of growth should only be applied to the first 20 years.</t>
        </r>
      </text>
    </comment>
    <comment ref="E10" authorId="1" shapeId="0" xr:uid="{00000000-0006-0000-0500-00000B000000}">
      <text>
        <r>
          <rPr>
            <b/>
            <sz val="9"/>
            <color indexed="81"/>
            <rFont val="Tahoma"/>
            <charset val="1"/>
          </rPr>
          <t>Allen:</t>
        </r>
        <r>
          <rPr>
            <sz val="9"/>
            <color indexed="81"/>
            <rFont val="Tahoma"/>
            <charset val="1"/>
          </rPr>
          <t xml:space="preserve">
Source:  Elwha River Restoration Project:  Economic Analysis, p. 48.   However, this is only applied over the first 20 years of the project, as noted on that page.</t>
        </r>
      </text>
    </comment>
    <comment ref="F10" authorId="1" shapeId="0" xr:uid="{00000000-0006-0000-0500-00000C000000}">
      <text>
        <r>
          <rPr>
            <b/>
            <sz val="9"/>
            <color indexed="81"/>
            <rFont val="Tahoma"/>
            <charset val="1"/>
          </rPr>
          <t>Allen:</t>
        </r>
        <r>
          <rPr>
            <sz val="9"/>
            <color indexed="81"/>
            <rFont val="Tahoma"/>
            <charset val="1"/>
          </rPr>
          <t xml:space="preserve">
Source:  Elwha River Restoration Project:   Economic Analysis, Pages 45 and 49.   As per the note on page 45, this rate of growth should only be applied to the first 20 years.
</t>
        </r>
      </text>
    </comment>
    <comment ref="G10" authorId="1" shapeId="0" xr:uid="{00000000-0006-0000-0500-00000D000000}">
      <text>
        <r>
          <rPr>
            <b/>
            <sz val="9"/>
            <color indexed="81"/>
            <rFont val="Tahoma"/>
            <charset val="1"/>
          </rPr>
          <t>Allen:</t>
        </r>
        <r>
          <rPr>
            <sz val="9"/>
            <color indexed="81"/>
            <rFont val="Tahoma"/>
            <charset val="1"/>
          </rPr>
          <t xml:space="preserve">
Source:  Elwha River Restoration Project:   Economic Analysis, Page 49.     </t>
        </r>
      </text>
    </comment>
    <comment ref="B12" authorId="0" shapeId="0" xr:uid="{00000000-0006-0000-0500-00000E000000}">
      <text>
        <r>
          <rPr>
            <b/>
            <sz val="9"/>
            <color indexed="81"/>
            <rFont val="Tahoma"/>
            <family val="2"/>
          </rPr>
          <t>Allen Bellas:</t>
        </r>
        <r>
          <rPr>
            <sz val="9"/>
            <color indexed="81"/>
            <rFont val="Tahoma"/>
            <family val="2"/>
          </rPr>
          <t xml:space="preserve">
Pcercentages of total construction costs by year as per The Elwha Report, Table 15, p. 140.</t>
        </r>
      </text>
    </comment>
    <comment ref="D12" authorId="0" shapeId="0" xr:uid="{00000000-0006-0000-0500-00000F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E12" authorId="0" shapeId="0" xr:uid="{00000000-0006-0000-0500-000010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F12" authorId="0" shapeId="0" xr:uid="{00000000-0006-0000-0500-000011000000}">
      <text>
        <r>
          <rPr>
            <b/>
            <sz val="9"/>
            <color indexed="81"/>
            <rFont val="Tahoma"/>
            <charset val="1"/>
          </rPr>
          <t>Allen Bellas:</t>
        </r>
        <r>
          <rPr>
            <sz val="9"/>
            <color indexed="81"/>
            <rFont val="Tahoma"/>
            <charset val="1"/>
          </rPr>
          <t xml:space="preserve">
"Benefits are assumed to be zero for the first six years of project life, and are then assumed to increase in 10 even increments to the benefit levels displayed in Section V."  p. 49</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Allen Bellas</author>
    <author>Allen</author>
  </authors>
  <commentList>
    <comment ref="B2" authorId="0" shapeId="0" xr:uid="{00000000-0006-0000-0600-000001000000}">
      <text>
        <r>
          <rPr>
            <b/>
            <sz val="9"/>
            <color indexed="81"/>
            <rFont val="Tahoma"/>
            <family val="2"/>
          </rPr>
          <t>Allen Bellas:</t>
        </r>
        <r>
          <rPr>
            <sz val="9"/>
            <color indexed="81"/>
            <rFont val="Tahoma"/>
            <family val="2"/>
          </rPr>
          <t xml:space="preserve">
Source:  </t>
        </r>
      </text>
    </comment>
    <comment ref="B3" authorId="1" shapeId="0" xr:uid="{00000000-0006-0000-0600-000002000000}">
      <text>
        <r>
          <rPr>
            <b/>
            <sz val="9"/>
            <color indexed="81"/>
            <rFont val="Tahoma"/>
            <charset val="1"/>
          </rPr>
          <t>Allen:</t>
        </r>
        <r>
          <rPr>
            <sz val="9"/>
            <color indexed="81"/>
            <rFont val="Tahoma"/>
            <charset val="1"/>
          </rPr>
          <t xml:space="preserve">
This is a midpoint based on a range in prices of $0.03/KwH and $0.04/KwH multiplied by 172GwH of annual generation.  
Source for the price of electricity is Historical Firm Priority Power Rates, No Transmission, FY1984-FY2017 and other sources as described in the paper.
172GwH is the standard figure for annual generation used in the original analysis.</t>
        </r>
      </text>
    </comment>
    <comment ref="B4" authorId="1" shapeId="0" xr:uid="{00000000-0006-0000-0600-000003000000}">
      <text>
        <r>
          <rPr>
            <b/>
            <sz val="9"/>
            <color indexed="81"/>
            <rFont val="Tahoma"/>
            <family val="2"/>
          </rPr>
          <t>Allen:</t>
        </r>
        <r>
          <rPr>
            <sz val="9"/>
            <color indexed="81"/>
            <rFont val="Tahoma"/>
            <family val="2"/>
          </rPr>
          <t xml:space="preserve">
This value is taken from Elwha River Restoration Project:   Economic Analysis, Table 13, page 27, adding commercial and excluding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 and Elwha River Restoration Project:  Economic Analysis, Tables 5-10, pages 16-21.</t>
        </r>
      </text>
    </comment>
    <comment ref="B5" authorId="1" shapeId="0" xr:uid="{00000000-0006-0000-0600-000004000000}">
      <text>
        <r>
          <rPr>
            <b/>
            <sz val="9"/>
            <color indexed="81"/>
            <rFont val="Tahoma"/>
            <family val="2"/>
          </rPr>
          <t>Allen:</t>
        </r>
        <r>
          <rPr>
            <sz val="9"/>
            <color indexed="81"/>
            <rFont val="Tahoma"/>
            <family val="2"/>
          </rPr>
          <t xml:space="preserve">
This value is taken from Elwha River Restoration Project:   Economic Analysis, Table 13, page 27, removing commercial to identify only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B6" authorId="1" shapeId="0" xr:uid="{00000000-0006-0000-0600-000005000000}">
      <text>
        <r>
          <rPr>
            <b/>
            <sz val="9"/>
            <color indexed="81"/>
            <rFont val="Tahoma"/>
            <family val="2"/>
          </rPr>
          <t>Allen:</t>
        </r>
        <r>
          <rPr>
            <sz val="9"/>
            <color indexed="81"/>
            <rFont val="Tahoma"/>
            <family val="2"/>
          </rPr>
          <t xml:space="preserve">
From page 31 of the Elwha River Restoration Project: Economic Analysis </t>
        </r>
      </text>
    </comment>
    <comment ref="B7" authorId="1" shapeId="0" xr:uid="{00000000-0006-0000-0600-000006000000}">
      <text>
        <r>
          <rPr>
            <b/>
            <sz val="9"/>
            <color indexed="81"/>
            <rFont val="Tahoma"/>
            <family val="2"/>
          </rPr>
          <t>Allen:</t>
        </r>
        <r>
          <rPr>
            <sz val="9"/>
            <color indexed="81"/>
            <rFont val="Tahoma"/>
            <family val="2"/>
          </rPr>
          <t xml:space="preserve">
Source:  Elwha River Restoration Project:  Economic Analysis, pages 34 and 49.</t>
        </r>
      </text>
    </comment>
    <comment ref="L7" authorId="0" shapeId="0" xr:uid="{00000000-0006-0000-0600-000007000000}">
      <text>
        <r>
          <rPr>
            <b/>
            <sz val="9"/>
            <color indexed="81"/>
            <rFont val="Tahoma"/>
            <family val="2"/>
          </rPr>
          <t>Allen Bellas:</t>
        </r>
        <r>
          <rPr>
            <sz val="9"/>
            <color indexed="81"/>
            <rFont val="Tahoma"/>
            <family val="2"/>
          </rPr>
          <t xml:space="preserve">
Given that a fishing moratorium has been imposed until at least June of 2019, which would be year 7 of the project, fishing benefits will be delayed some number of years, and this would add to the discounting of future fishing benefits.
</t>
        </r>
      </text>
    </comment>
    <comment ref="B8" authorId="1" shapeId="0" xr:uid="{00000000-0006-0000-0600-000008000000}">
      <text>
        <r>
          <rPr>
            <b/>
            <sz val="9"/>
            <color indexed="81"/>
            <rFont val="Tahoma"/>
            <family val="2"/>
          </rPr>
          <t>Allen:</t>
        </r>
        <r>
          <rPr>
            <sz val="9"/>
            <color indexed="81"/>
            <rFont val="Tahoma"/>
            <family val="2"/>
          </rPr>
          <t xml:space="preserve">
Source:  Elwha River Restoration Project:  Economic Analysis, page 44</t>
        </r>
      </text>
    </comment>
    <comment ref="C10" authorId="1" shapeId="0" xr:uid="{00000000-0006-0000-0600-000009000000}">
      <text>
        <r>
          <rPr>
            <b/>
            <sz val="9"/>
            <color indexed="81"/>
            <rFont val="Tahoma"/>
            <charset val="1"/>
          </rPr>
          <t>Allen:</t>
        </r>
        <r>
          <rPr>
            <sz val="9"/>
            <color indexed="81"/>
            <rFont val="Tahoma"/>
            <charset val="1"/>
          </rPr>
          <t xml:space="preserve">
Source:  Elwha River Restoration Project:  Economic Analysis, page 12 and Table 25, p. 45
As per point iv. on page 12 and as per the statement on page 45, this annual percentage increase should be imposed only on the first 20 years. 
However, in the ex-post analysis, there doesn't seem to be evidence for a sustained increase in electricity prices, so the original assumption about annual increases has been replaced with a figure of 0% annual growth in electricity prices.</t>
        </r>
      </text>
    </comment>
    <comment ref="D10" authorId="1" shapeId="0" xr:uid="{00000000-0006-0000-0600-00000A000000}">
      <text>
        <r>
          <rPr>
            <b/>
            <sz val="9"/>
            <color indexed="81"/>
            <rFont val="Tahoma"/>
            <charset val="1"/>
          </rPr>
          <t>Allen:</t>
        </r>
        <r>
          <rPr>
            <sz val="9"/>
            <color indexed="81"/>
            <rFont val="Tahoma"/>
            <charset val="1"/>
          </rPr>
          <t xml:space="preserve">
Source:  Elwha River Restoration Project:  Economic Analysis, Table 25, p. 45 and on page 47.   As per the note on page 45 and as stated on page 47, this rate of growth should only be applied to the first 20 years.</t>
        </r>
      </text>
    </comment>
    <comment ref="E10" authorId="1" shapeId="0" xr:uid="{00000000-0006-0000-0600-00000B000000}">
      <text>
        <r>
          <rPr>
            <b/>
            <sz val="9"/>
            <color indexed="81"/>
            <rFont val="Tahoma"/>
            <charset val="1"/>
          </rPr>
          <t>Allen:</t>
        </r>
        <r>
          <rPr>
            <sz val="9"/>
            <color indexed="81"/>
            <rFont val="Tahoma"/>
            <charset val="1"/>
          </rPr>
          <t xml:space="preserve">
Source:  Elwha River Restoration Project:  Economic Analysis, p. 48.   However, this is only applied over the first 20 years of the project, as noted on that page.</t>
        </r>
      </text>
    </comment>
    <comment ref="F10" authorId="1" shapeId="0" xr:uid="{00000000-0006-0000-0600-00000C000000}">
      <text>
        <r>
          <rPr>
            <b/>
            <sz val="9"/>
            <color indexed="81"/>
            <rFont val="Tahoma"/>
            <charset val="1"/>
          </rPr>
          <t>Allen:</t>
        </r>
        <r>
          <rPr>
            <sz val="9"/>
            <color indexed="81"/>
            <rFont val="Tahoma"/>
            <charset val="1"/>
          </rPr>
          <t xml:space="preserve">
Source:  Elwha River Restoration Project:   Economic Analysis, Pages 45 and 49.   As per the note on page 45, this rate of growth should only be applied to the first 20 years.
</t>
        </r>
      </text>
    </comment>
    <comment ref="G10" authorId="1" shapeId="0" xr:uid="{00000000-0006-0000-0600-00000D000000}">
      <text>
        <r>
          <rPr>
            <b/>
            <sz val="9"/>
            <color indexed="81"/>
            <rFont val="Tahoma"/>
            <charset val="1"/>
          </rPr>
          <t>Allen:</t>
        </r>
        <r>
          <rPr>
            <sz val="9"/>
            <color indexed="81"/>
            <rFont val="Tahoma"/>
            <charset val="1"/>
          </rPr>
          <t xml:space="preserve">
Source:  Elwha River Restoration Project:   Economic Analysis, Page 49.     </t>
        </r>
      </text>
    </comment>
    <comment ref="B12" authorId="0" shapeId="0" xr:uid="{00000000-0006-0000-0600-00000E000000}">
      <text>
        <r>
          <rPr>
            <b/>
            <sz val="9"/>
            <color indexed="81"/>
            <rFont val="Tahoma"/>
            <family val="2"/>
          </rPr>
          <t>Allen Bellas:</t>
        </r>
        <r>
          <rPr>
            <sz val="9"/>
            <color indexed="81"/>
            <rFont val="Tahoma"/>
            <family val="2"/>
          </rPr>
          <t xml:space="preserve">
Pcercentages of total construction costs by year as per The Elwha Report, Table 15, p. 140.</t>
        </r>
      </text>
    </comment>
    <comment ref="D12" authorId="0" shapeId="0" xr:uid="{00000000-0006-0000-0600-00000F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E12" authorId="0" shapeId="0" xr:uid="{00000000-0006-0000-0600-000010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Allen Bellas</author>
    <author>Allen</author>
  </authors>
  <commentList>
    <comment ref="B2" authorId="0" shapeId="0" xr:uid="{00000000-0006-0000-0700-000001000000}">
      <text>
        <r>
          <rPr>
            <b/>
            <sz val="9"/>
            <color indexed="81"/>
            <rFont val="Tahoma"/>
            <family val="2"/>
          </rPr>
          <t>Allen Bellas:</t>
        </r>
        <r>
          <rPr>
            <sz val="9"/>
            <color indexed="81"/>
            <rFont val="Tahoma"/>
            <family val="2"/>
          </rPr>
          <t xml:space="preserve">
Source:  </t>
        </r>
      </text>
    </comment>
    <comment ref="B3" authorId="1" shapeId="0" xr:uid="{00000000-0006-0000-0700-000002000000}">
      <text>
        <r>
          <rPr>
            <b/>
            <sz val="9"/>
            <color indexed="81"/>
            <rFont val="Tahoma"/>
            <charset val="1"/>
          </rPr>
          <t>Allen:</t>
        </r>
        <r>
          <rPr>
            <sz val="9"/>
            <color indexed="81"/>
            <rFont val="Tahoma"/>
            <charset val="1"/>
          </rPr>
          <t xml:space="preserve">
This is a midpoint based on a range in prices of $0.03/KwH and $0.04/KwH multiplied by 172GwH of annual generation.  
Source for the price of electricity is Historical Firm Priority Power Rates, No Transmission, FY1984-FY2017 and other sources as described in the paper.
172GwH is the standard figure for annual generation used in the original analysis.</t>
        </r>
      </text>
    </comment>
    <comment ref="B4" authorId="1" shapeId="0" xr:uid="{00000000-0006-0000-0700-000003000000}">
      <text>
        <r>
          <rPr>
            <b/>
            <sz val="9"/>
            <color indexed="81"/>
            <rFont val="Tahoma"/>
            <family val="2"/>
          </rPr>
          <t>Allen:</t>
        </r>
        <r>
          <rPr>
            <sz val="9"/>
            <color indexed="81"/>
            <rFont val="Tahoma"/>
            <family val="2"/>
          </rPr>
          <t xml:space="preserve">
This value is taken from Elwha River Restoration Project:   Economic Analysis, Table 13, page 27, adding commercial and excluding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 and Elwha River Restoration Project:  Economic Analysis, Tables 5-10, pages 16-21.</t>
        </r>
      </text>
    </comment>
    <comment ref="B5" authorId="1" shapeId="0" xr:uid="{00000000-0006-0000-0700-000004000000}">
      <text>
        <r>
          <rPr>
            <b/>
            <sz val="9"/>
            <color indexed="81"/>
            <rFont val="Tahoma"/>
            <family val="2"/>
          </rPr>
          <t>Allen:</t>
        </r>
        <r>
          <rPr>
            <sz val="9"/>
            <color indexed="81"/>
            <rFont val="Tahoma"/>
            <family val="2"/>
          </rPr>
          <t xml:space="preserve">
This value is taken from Elwha River Restoration Project:   Economic Analysis, Table 13, page 27, removing commercial to identify only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B6" authorId="1" shapeId="0" xr:uid="{00000000-0006-0000-0700-000005000000}">
      <text>
        <r>
          <rPr>
            <b/>
            <sz val="9"/>
            <color indexed="81"/>
            <rFont val="Tahoma"/>
            <family val="2"/>
          </rPr>
          <t>Allen:</t>
        </r>
        <r>
          <rPr>
            <sz val="9"/>
            <color indexed="81"/>
            <rFont val="Tahoma"/>
            <family val="2"/>
          </rPr>
          <t xml:space="preserve">
From page 31 of the Elwha River Restoration Project: Economic Analysis </t>
        </r>
      </text>
    </comment>
    <comment ref="B7" authorId="1" shapeId="0" xr:uid="{00000000-0006-0000-0700-000006000000}">
      <text>
        <r>
          <rPr>
            <b/>
            <sz val="9"/>
            <color indexed="81"/>
            <rFont val="Tahoma"/>
            <family val="2"/>
          </rPr>
          <t>Allen:</t>
        </r>
        <r>
          <rPr>
            <sz val="9"/>
            <color indexed="81"/>
            <rFont val="Tahoma"/>
            <family val="2"/>
          </rPr>
          <t xml:space="preserve">
Source:  Elwha River Restoration Project:  Economic Analysis, pages 34 and 49.</t>
        </r>
      </text>
    </comment>
    <comment ref="L7" authorId="0" shapeId="0" xr:uid="{00000000-0006-0000-0700-000007000000}">
      <text>
        <r>
          <rPr>
            <b/>
            <sz val="9"/>
            <color indexed="81"/>
            <rFont val="Tahoma"/>
            <family val="2"/>
          </rPr>
          <t>Allen Bellas:</t>
        </r>
        <r>
          <rPr>
            <sz val="9"/>
            <color indexed="81"/>
            <rFont val="Tahoma"/>
            <family val="2"/>
          </rPr>
          <t xml:space="preserve">
Given that a fishing moratorium has been imposed until at least June of 2019, which would be year 7 of the project, fishing benefits will be delayed some number of years, and this would add to the discounting of future fishing benefits.
</t>
        </r>
      </text>
    </comment>
    <comment ref="B8" authorId="1" shapeId="0" xr:uid="{00000000-0006-0000-0700-000008000000}">
      <text>
        <r>
          <rPr>
            <b/>
            <sz val="9"/>
            <color indexed="81"/>
            <rFont val="Tahoma"/>
            <family val="2"/>
          </rPr>
          <t>Allen:</t>
        </r>
        <r>
          <rPr>
            <sz val="9"/>
            <color indexed="81"/>
            <rFont val="Tahoma"/>
            <family val="2"/>
          </rPr>
          <t xml:space="preserve">
Source:  Elwha River Restoration Project:  Economic Analysis, page 44</t>
        </r>
      </text>
    </comment>
    <comment ref="C10" authorId="1" shapeId="0" xr:uid="{00000000-0006-0000-0700-000009000000}">
      <text>
        <r>
          <rPr>
            <b/>
            <sz val="9"/>
            <color indexed="81"/>
            <rFont val="Tahoma"/>
            <charset val="1"/>
          </rPr>
          <t>Allen:</t>
        </r>
        <r>
          <rPr>
            <sz val="9"/>
            <color indexed="81"/>
            <rFont val="Tahoma"/>
            <charset val="1"/>
          </rPr>
          <t xml:space="preserve">
Source:  Elwha River Restoration Project:  Economic Analysis, page 12 and Table 25, p. 45
As per point iv. on page 12 and as per the statement on page 45, this annual percentage increase should be imposed only on the first 20 years. 
However, in the ex-post analysis, there doesn't seem to be evidence for a sustained increase in electricity prices, so the original assumption about annual increases has been replaced with a figure of 0% annual growth in electricity prices.</t>
        </r>
      </text>
    </comment>
    <comment ref="D10" authorId="1" shapeId="0" xr:uid="{00000000-0006-0000-0700-00000A000000}">
      <text>
        <r>
          <rPr>
            <b/>
            <sz val="9"/>
            <color indexed="81"/>
            <rFont val="Tahoma"/>
            <charset val="1"/>
          </rPr>
          <t>Allen:</t>
        </r>
        <r>
          <rPr>
            <sz val="9"/>
            <color indexed="81"/>
            <rFont val="Tahoma"/>
            <charset val="1"/>
          </rPr>
          <t xml:space="preserve">
Source:  Elwha River Restoration Project:  Economic Analysis, Table 25, p. 45 and on page 47.   As per the note on page 45 and as stated on page 47, this rate of growth should only be applied to the first 20 years.</t>
        </r>
      </text>
    </comment>
    <comment ref="E10" authorId="1" shapeId="0" xr:uid="{00000000-0006-0000-0700-00000B000000}">
      <text>
        <r>
          <rPr>
            <b/>
            <sz val="9"/>
            <color indexed="81"/>
            <rFont val="Tahoma"/>
            <charset val="1"/>
          </rPr>
          <t>Allen:</t>
        </r>
        <r>
          <rPr>
            <sz val="9"/>
            <color indexed="81"/>
            <rFont val="Tahoma"/>
            <charset val="1"/>
          </rPr>
          <t xml:space="preserve">
Source:  Elwha River Restoration Project:  Economic Analysis, p. 48.   However, this is only applied over the first 20 years of the project, as noted on that page.</t>
        </r>
      </text>
    </comment>
    <comment ref="F10" authorId="1" shapeId="0" xr:uid="{00000000-0006-0000-0700-00000C000000}">
      <text>
        <r>
          <rPr>
            <b/>
            <sz val="9"/>
            <color indexed="81"/>
            <rFont val="Tahoma"/>
            <charset val="1"/>
          </rPr>
          <t>Allen:</t>
        </r>
        <r>
          <rPr>
            <sz val="9"/>
            <color indexed="81"/>
            <rFont val="Tahoma"/>
            <charset val="1"/>
          </rPr>
          <t xml:space="preserve">
Source:  Elwha River Restoration Project:   Economic Analysis, Pages 45 and 49.   As per the note on page 45, this rate of growth should only be applied to the first 20 years.
</t>
        </r>
      </text>
    </comment>
    <comment ref="G10" authorId="1" shapeId="0" xr:uid="{00000000-0006-0000-0700-00000D000000}">
      <text>
        <r>
          <rPr>
            <b/>
            <sz val="9"/>
            <color indexed="81"/>
            <rFont val="Tahoma"/>
            <charset val="1"/>
          </rPr>
          <t>Allen:</t>
        </r>
        <r>
          <rPr>
            <sz val="9"/>
            <color indexed="81"/>
            <rFont val="Tahoma"/>
            <charset val="1"/>
          </rPr>
          <t xml:space="preserve">
Source:  Elwha River Restoration Project:   Economic Analysis, Page 49.     </t>
        </r>
      </text>
    </comment>
    <comment ref="B12" authorId="0" shapeId="0" xr:uid="{00000000-0006-0000-0700-00000E000000}">
      <text>
        <r>
          <rPr>
            <b/>
            <sz val="9"/>
            <color indexed="81"/>
            <rFont val="Tahoma"/>
            <family val="2"/>
          </rPr>
          <t>Allen Bellas:</t>
        </r>
        <r>
          <rPr>
            <sz val="9"/>
            <color indexed="81"/>
            <rFont val="Tahoma"/>
            <family val="2"/>
          </rPr>
          <t xml:space="preserve">
Pcercentages of total construction costs by year as per The Elwha Report, Table 15, p. 140.</t>
        </r>
      </text>
    </comment>
    <comment ref="D12" authorId="0" shapeId="0" xr:uid="{00000000-0006-0000-0700-00000F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E12" authorId="0" shapeId="0" xr:uid="{00000000-0006-0000-0700-000010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Allen Bellas</author>
    <author>Allen</author>
  </authors>
  <commentList>
    <comment ref="B2" authorId="0" shapeId="0" xr:uid="{00000000-0006-0000-0800-000001000000}">
      <text>
        <r>
          <rPr>
            <b/>
            <sz val="9"/>
            <color indexed="81"/>
            <rFont val="Tahoma"/>
            <family val="2"/>
          </rPr>
          <t>Allen Bellas:</t>
        </r>
        <r>
          <rPr>
            <sz val="9"/>
            <color indexed="81"/>
            <rFont val="Tahoma"/>
            <family val="2"/>
          </rPr>
          <t xml:space="preserve">
Source:  </t>
        </r>
      </text>
    </comment>
    <comment ref="B3" authorId="1" shapeId="0" xr:uid="{00000000-0006-0000-0800-000002000000}">
      <text>
        <r>
          <rPr>
            <b/>
            <sz val="9"/>
            <color indexed="81"/>
            <rFont val="Tahoma"/>
            <charset val="1"/>
          </rPr>
          <t>Allen:</t>
        </r>
        <r>
          <rPr>
            <sz val="9"/>
            <color indexed="81"/>
            <rFont val="Tahoma"/>
            <charset val="1"/>
          </rPr>
          <t xml:space="preserve">
This is a midpoint based on a range in prices of $0.03/KwH and $0.04/KwH multiplied by 172GwH of annual generation.  
Source for the price of electricity is Historical Firm Priority Power Rates, No Transmission, FY1984-FY2017 and other sources as described in the paper.
172GwH is the standard figure for annual generation used in the original analysis.</t>
        </r>
      </text>
    </comment>
    <comment ref="B4" authorId="1" shapeId="0" xr:uid="{00000000-0006-0000-0800-000003000000}">
      <text>
        <r>
          <rPr>
            <b/>
            <sz val="9"/>
            <color indexed="81"/>
            <rFont val="Tahoma"/>
            <family val="2"/>
          </rPr>
          <t>Allen:</t>
        </r>
        <r>
          <rPr>
            <sz val="9"/>
            <color indexed="81"/>
            <rFont val="Tahoma"/>
            <family val="2"/>
          </rPr>
          <t xml:space="preserve">
This value is taken from Elwha River Restoration Project:   Economic Analysis, Table 13, page 27, adding commercial and excluding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 and Elwha River Restoration Project:  Economic Analysis, Tables 5-10, pages 16-21.</t>
        </r>
      </text>
    </comment>
    <comment ref="B5" authorId="1" shapeId="0" xr:uid="{00000000-0006-0000-0800-000004000000}">
      <text>
        <r>
          <rPr>
            <b/>
            <sz val="9"/>
            <color indexed="81"/>
            <rFont val="Tahoma"/>
            <family val="2"/>
          </rPr>
          <t>Allen:</t>
        </r>
        <r>
          <rPr>
            <sz val="9"/>
            <color indexed="81"/>
            <rFont val="Tahoma"/>
            <family val="2"/>
          </rPr>
          <t xml:space="preserve">
This value is taken from Elwha River Restoration Project:   Economic Analysis, Table 13, page 27, removing commercial to identify only sport fishing.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B6" authorId="1" shapeId="0" xr:uid="{00000000-0006-0000-0800-000005000000}">
      <text>
        <r>
          <rPr>
            <b/>
            <sz val="9"/>
            <color indexed="81"/>
            <rFont val="Tahoma"/>
            <family val="2"/>
          </rPr>
          <t>Allen:</t>
        </r>
        <r>
          <rPr>
            <sz val="9"/>
            <color indexed="81"/>
            <rFont val="Tahoma"/>
            <family val="2"/>
          </rPr>
          <t xml:space="preserve">
From page 31 of the Elwha River Restoration Project: Economic Analysis </t>
        </r>
      </text>
    </comment>
    <comment ref="B7" authorId="1" shapeId="0" xr:uid="{00000000-0006-0000-0800-000006000000}">
      <text>
        <r>
          <rPr>
            <b/>
            <sz val="9"/>
            <color indexed="81"/>
            <rFont val="Tahoma"/>
            <family val="2"/>
          </rPr>
          <t>Allen:</t>
        </r>
        <r>
          <rPr>
            <sz val="9"/>
            <color indexed="81"/>
            <rFont val="Tahoma"/>
            <family val="2"/>
          </rPr>
          <t xml:space="preserve">
Source:  Elwha River Restoration Project:  Economic Analysis, pages 34 and 49.</t>
        </r>
      </text>
    </comment>
    <comment ref="L7" authorId="0" shapeId="0" xr:uid="{00000000-0006-0000-0800-000007000000}">
      <text>
        <r>
          <rPr>
            <b/>
            <sz val="9"/>
            <color indexed="81"/>
            <rFont val="Tahoma"/>
            <family val="2"/>
          </rPr>
          <t>Allen Bellas:</t>
        </r>
        <r>
          <rPr>
            <sz val="9"/>
            <color indexed="81"/>
            <rFont val="Tahoma"/>
            <family val="2"/>
          </rPr>
          <t xml:space="preserve">
Given that a fishing moratorium has been imposed until at least June of 2019, which would be year 7 of the project, fishing benefits will be delayed some number of years, and this would add to the discounting of future fishing benefits.
</t>
        </r>
      </text>
    </comment>
    <comment ref="B8" authorId="1" shapeId="0" xr:uid="{00000000-0006-0000-0800-000008000000}">
      <text>
        <r>
          <rPr>
            <b/>
            <sz val="9"/>
            <color indexed="81"/>
            <rFont val="Tahoma"/>
            <family val="2"/>
          </rPr>
          <t>Allen:</t>
        </r>
        <r>
          <rPr>
            <sz val="9"/>
            <color indexed="81"/>
            <rFont val="Tahoma"/>
            <family val="2"/>
          </rPr>
          <t xml:space="preserve">
Source:  Elwha River Restoration Project:  Economic Analysis, page 44</t>
        </r>
      </text>
    </comment>
    <comment ref="C10" authorId="1" shapeId="0" xr:uid="{00000000-0006-0000-0800-000009000000}">
      <text>
        <r>
          <rPr>
            <b/>
            <sz val="9"/>
            <color indexed="81"/>
            <rFont val="Tahoma"/>
            <charset val="1"/>
          </rPr>
          <t>Allen:</t>
        </r>
        <r>
          <rPr>
            <sz val="9"/>
            <color indexed="81"/>
            <rFont val="Tahoma"/>
            <charset val="1"/>
          </rPr>
          <t xml:space="preserve">
Source:  Elwha River Restoration Project:  Economic Analysis, page 12 and Table 25, p. 45
As per point iv. on page 12 and as per the statement on page 45, this annual percentage increase should be imposed only on the first 20 years. 
However, in the ex-post analysis, there doesn't seem to be evidence for a sustained increase in electricity prices, so the original assumption about annual increases has been replaced with a figure of 0% annual growth in electricity prices.</t>
        </r>
      </text>
    </comment>
    <comment ref="D10" authorId="1" shapeId="0" xr:uid="{00000000-0006-0000-0800-00000A000000}">
      <text>
        <r>
          <rPr>
            <b/>
            <sz val="9"/>
            <color indexed="81"/>
            <rFont val="Tahoma"/>
            <charset val="1"/>
          </rPr>
          <t>Allen:</t>
        </r>
        <r>
          <rPr>
            <sz val="9"/>
            <color indexed="81"/>
            <rFont val="Tahoma"/>
            <charset val="1"/>
          </rPr>
          <t xml:space="preserve">
Source:  Elwha River Restoration Project:  Economic Analysis, Table 25, p. 45 and on page 47.   As per the note on page 45 and as stated on page 47, this rate of growth should only be applied to the first 20 years.</t>
        </r>
      </text>
    </comment>
    <comment ref="E10" authorId="1" shapeId="0" xr:uid="{00000000-0006-0000-0800-00000B000000}">
      <text>
        <r>
          <rPr>
            <b/>
            <sz val="9"/>
            <color indexed="81"/>
            <rFont val="Tahoma"/>
            <charset val="1"/>
          </rPr>
          <t>Allen:</t>
        </r>
        <r>
          <rPr>
            <sz val="9"/>
            <color indexed="81"/>
            <rFont val="Tahoma"/>
            <charset val="1"/>
          </rPr>
          <t xml:space="preserve">
Source:  Elwha River Restoration Project:  Economic Analysis, p. 48.   However, this is only applied over the first 20 years of the project, as noted on that page.</t>
        </r>
      </text>
    </comment>
    <comment ref="F10" authorId="1" shapeId="0" xr:uid="{00000000-0006-0000-0800-00000C000000}">
      <text>
        <r>
          <rPr>
            <b/>
            <sz val="9"/>
            <color indexed="81"/>
            <rFont val="Tahoma"/>
            <charset val="1"/>
          </rPr>
          <t>Allen:</t>
        </r>
        <r>
          <rPr>
            <sz val="9"/>
            <color indexed="81"/>
            <rFont val="Tahoma"/>
            <charset val="1"/>
          </rPr>
          <t xml:space="preserve">
Source:  Elwha River Restoration Project:   Economic Analysis, Pages 45 and 49.   As per the note on page 45, this rate of growth should only be applied to the first 20 years.
</t>
        </r>
      </text>
    </comment>
    <comment ref="G10" authorId="1" shapeId="0" xr:uid="{00000000-0006-0000-0800-00000D000000}">
      <text>
        <r>
          <rPr>
            <b/>
            <sz val="9"/>
            <color indexed="81"/>
            <rFont val="Tahoma"/>
            <charset val="1"/>
          </rPr>
          <t>Allen:</t>
        </r>
        <r>
          <rPr>
            <sz val="9"/>
            <color indexed="81"/>
            <rFont val="Tahoma"/>
            <charset val="1"/>
          </rPr>
          <t xml:space="preserve">
Source:  Elwha River Restoration Project:   Economic Analysis, Page 49.     </t>
        </r>
      </text>
    </comment>
    <comment ref="B12" authorId="0" shapeId="0" xr:uid="{00000000-0006-0000-0800-00000E000000}">
      <text>
        <r>
          <rPr>
            <b/>
            <sz val="9"/>
            <color indexed="81"/>
            <rFont val="Tahoma"/>
            <family val="2"/>
          </rPr>
          <t>Allen Bellas:</t>
        </r>
        <r>
          <rPr>
            <sz val="9"/>
            <color indexed="81"/>
            <rFont val="Tahoma"/>
            <family val="2"/>
          </rPr>
          <t xml:space="preserve">
Pcercentages of total construction costs by year as per The Elwha Report, Table 15, p. 140.</t>
        </r>
      </text>
    </comment>
    <comment ref="D12" authorId="0" shapeId="0" xr:uid="{00000000-0006-0000-0800-00000F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 ref="E12" authorId="0" shapeId="0" xr:uid="{00000000-0006-0000-0800-000010000000}">
      <text>
        <r>
          <rPr>
            <b/>
            <sz val="9"/>
            <color indexed="81"/>
            <rFont val="Tahoma"/>
            <charset val="1"/>
          </rPr>
          <t>Allen Bellas:</t>
        </r>
        <r>
          <rPr>
            <sz val="9"/>
            <color indexed="81"/>
            <rFont val="Tahoma"/>
            <charset val="1"/>
          </rPr>
          <t xml:space="preserve">
This is the annual value after the fisheries are completely rebuilt, as discussed in Final Environmental Impact Statement - Elwha River Ecosystem Restoration, Table 10, page 98.  Time delay to full recovery tends to be about 20 years as per Final Environmental Impact Statement, Table 3, page 50, and Elwha River Restoration Project:  Economic Analysis, Tables 5-10, pages 16-21.</t>
        </r>
      </text>
    </comment>
  </commentList>
</comments>
</file>

<file path=xl/sharedStrings.xml><?xml version="1.0" encoding="utf-8"?>
<sst xmlns="http://schemas.openxmlformats.org/spreadsheetml/2006/main" count="452" uniqueCount="123">
  <si>
    <t>Year</t>
  </si>
  <si>
    <t>Total Construction Costs</t>
  </si>
  <si>
    <t>Annual Electricity Costs</t>
  </si>
  <si>
    <t>Annual Growth Factor</t>
  </si>
  <si>
    <t>Construction Costs</t>
  </si>
  <si>
    <t>Electricity Costs</t>
  </si>
  <si>
    <t>Commercial Fishing Benefits</t>
  </si>
  <si>
    <t>Recreation and Tourism Benefits</t>
  </si>
  <si>
    <t>Activity</t>
  </si>
  <si>
    <t>Data Collection</t>
  </si>
  <si>
    <t>E.I.S.</t>
  </si>
  <si>
    <t>Engineering Design</t>
  </si>
  <si>
    <t>Acquisition of Projects</t>
  </si>
  <si>
    <t>Dam Removal/Sediment Management</t>
  </si>
  <si>
    <t>Water Quality Protection</t>
  </si>
  <si>
    <t>Hazardous Waste Cleanup</t>
  </si>
  <si>
    <t>Decommissioning of Projects</t>
  </si>
  <si>
    <t>Levee Modifications</t>
  </si>
  <si>
    <t>Fish Restoration</t>
  </si>
  <si>
    <t>Interpretation</t>
  </si>
  <si>
    <t>Archeological/Historical</t>
  </si>
  <si>
    <t>Restoration/Scientific Studies</t>
  </si>
  <si>
    <t>Annual Total - All Activities</t>
  </si>
  <si>
    <t>Habitat Restoration</t>
  </si>
  <si>
    <t>Total</t>
  </si>
  <si>
    <t>Percentage of Total in Year</t>
  </si>
  <si>
    <t>Values in $MM</t>
  </si>
  <si>
    <t>Annual Commercial Fishery Benefits</t>
  </si>
  <si>
    <t>Pct. Of Harvest</t>
  </si>
  <si>
    <t>Alt. 1 Value</t>
  </si>
  <si>
    <t>Alt. 5 Value</t>
  </si>
  <si>
    <t>Pct. Of Alt. 5 Value</t>
  </si>
  <si>
    <t>Alt. 5 Value/Harvest</t>
  </si>
  <si>
    <t>Chinook</t>
  </si>
  <si>
    <t>CNT</t>
  </si>
  <si>
    <t>CT</t>
  </si>
  <si>
    <t>R</t>
  </si>
  <si>
    <t>Coho</t>
  </si>
  <si>
    <t>Pink</t>
  </si>
  <si>
    <t>Chum</t>
  </si>
  <si>
    <t>Sockeye</t>
  </si>
  <si>
    <t>Steelhead</t>
  </si>
  <si>
    <t>Commercial Total</t>
  </si>
  <si>
    <t>Recreational/Sport Total</t>
  </si>
  <si>
    <t>Sport Fishing Benefits</t>
  </si>
  <si>
    <t>Annual Sport Fishing Benefits</t>
  </si>
  <si>
    <t>Annual Recreation/Tourism Benefits</t>
  </si>
  <si>
    <t>Non-Market Benefits</t>
  </si>
  <si>
    <t>Annual Non-Market Benefits (10 yrs)</t>
  </si>
  <si>
    <t>Impact on Ediz Hook</t>
  </si>
  <si>
    <t>Savings on Ediz Hook Maintenance</t>
  </si>
  <si>
    <t>NPV</t>
  </si>
  <si>
    <t>Present Values</t>
  </si>
  <si>
    <t>i=</t>
  </si>
  <si>
    <t>30 yrs</t>
  </si>
  <si>
    <t>40 yrs</t>
  </si>
  <si>
    <t>50 yrs</t>
  </si>
  <si>
    <t>100 yrs</t>
  </si>
  <si>
    <t>Current Real Values</t>
  </si>
  <si>
    <t>Source: The Elwha Report Table 15, p. 140</t>
  </si>
  <si>
    <t>CNT = commercial non-tribal</t>
  </si>
  <si>
    <t>CT = commercial tribal</t>
  </si>
  <si>
    <t>R = recreational</t>
  </si>
  <si>
    <t>Source:  Elwha River Restroation Project: Economic Analysi, Table 11, page 22 and Table 13, page 27.</t>
  </si>
  <si>
    <t>Source:  Elwha River Restoration Project: Economic Analysis Final Technical Report, Tables 5-10, Pages 16-21</t>
  </si>
  <si>
    <t>Project Year</t>
  </si>
  <si>
    <t>Chinook Pct. Of Mature Harvest</t>
  </si>
  <si>
    <t>Coho  Pct. Of Mature Harvest</t>
  </si>
  <si>
    <t>Steelhead  Pct. Of Mature Harvest</t>
  </si>
  <si>
    <t>Pink  Pct. Of Mature Harvest</t>
  </si>
  <si>
    <t>Chum  Pct. Of Mature Harvest</t>
  </si>
  <si>
    <t>Sockeye  Pct. Of Mature Harvest</t>
  </si>
  <si>
    <t>Chinook Comm. Value</t>
  </si>
  <si>
    <t>Chinook Rec. Value</t>
  </si>
  <si>
    <t>Coho Comm. Value</t>
  </si>
  <si>
    <t>Coho Rec. Value</t>
  </si>
  <si>
    <t>Steelhead Comm. Value</t>
  </si>
  <si>
    <t>Steelhead Rec. Value</t>
  </si>
  <si>
    <t>Pink Comm. Value</t>
  </si>
  <si>
    <t>Pink Rec. Value</t>
  </si>
  <si>
    <t>Chum Comm. Value</t>
  </si>
  <si>
    <t>Sockeye Comm. Value</t>
  </si>
  <si>
    <t>Values at Mature Harvest in $MM - Source:   Elwha River Restroation Project: Economic Analysis Table 13, page 27.</t>
  </si>
  <si>
    <t>Comm. Value</t>
  </si>
  <si>
    <t>Rec. Value</t>
  </si>
  <si>
    <t>Interpolated Annual Harvest Values</t>
  </si>
  <si>
    <t>Fish Delay</t>
  </si>
  <si>
    <t>Excess Burden of Taxation</t>
  </si>
  <si>
    <t>Yes</t>
  </si>
  <si>
    <t>Sport Fishing Benefits Included? Yes/No</t>
  </si>
  <si>
    <t>Recreation/Tourism Benefits Included? Yes/No</t>
  </si>
  <si>
    <t>Source: Final Technical Report - Economic Analysis, Table 2, p. 13 and Table 4, p. 15.</t>
  </si>
  <si>
    <t>Local Cost</t>
  </si>
  <si>
    <t>Regional Cost</t>
  </si>
  <si>
    <t>Table 2</t>
  </si>
  <si>
    <t>Table 4</t>
  </si>
  <si>
    <t>Local</t>
  </si>
  <si>
    <t>Regional</t>
  </si>
  <si>
    <t>Multiplying by 172MWH</t>
  </si>
  <si>
    <t>Initial Annual Electricity Costs</t>
  </si>
  <si>
    <t>5-1 Difference</t>
  </si>
  <si>
    <t xml:space="preserve"> Chinook Harvest - Alternative 5</t>
  </si>
  <si>
    <t xml:space="preserve"> Coho Harvest - Alternative 5</t>
  </si>
  <si>
    <t xml:space="preserve"> Steelhead Harvest - Alternative 5</t>
  </si>
  <si>
    <t xml:space="preserve"> Pink Salmon Harvest - Alternative 5</t>
  </si>
  <si>
    <t xml:space="preserve"> Chum Salmon Harvest - Alternative 5</t>
  </si>
  <si>
    <t xml:space="preserve"> Sockeye Harvest - Alternative 5</t>
  </si>
  <si>
    <t>No Action (Alternative 1) Harvest</t>
  </si>
  <si>
    <t>Acquisition Cost</t>
  </si>
  <si>
    <t>mills/Kwh</t>
  </si>
  <si>
    <t>Values in $MM2012</t>
  </si>
  <si>
    <t>Values highlighted in blue are cited in the paper.</t>
  </si>
  <si>
    <t>Range is $70MM to $183.7MM</t>
  </si>
  <si>
    <t>B/C</t>
  </si>
  <si>
    <t>B</t>
  </si>
  <si>
    <t>C</t>
  </si>
  <si>
    <t>Low Cost</t>
  </si>
  <si>
    <t>Medium Cost</t>
  </si>
  <si>
    <t>High Cost</t>
  </si>
  <si>
    <t>Benefits</t>
  </si>
  <si>
    <t>NPV In 2012$</t>
  </si>
  <si>
    <t>Source:  Lichtkoppler et al, Tables 26-31 on pages 51-56.</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</si>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</sst>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164" formatCode="0.0%"/>
    <numFmt numFmtId="165" formatCode="_(&quot;$&quot;* #,##0_);_(&quot;$&quot;* \(#,##0\);_(&quot;$&quot;* &quot;-&quot;??_);_(@_)"/>
    <numFmt numFmtId="166" formatCode="&quot;$&quot;#,##0.00"/>
    <numFmt numFmtId="167" formatCode="_([$$-409]* #,##0.00_);_([$$-409]* \(#,##0.00\);_([$$-409]* &quot;-&quot;??_);_(@_)"/>
    <numFmt numFmtId="168" formatCode="0.0"/>
    <numFmt numFmtId="169" formatCode="_(&quot;$&quot;* #,##0.0_);_(&quot;$&quot;* \(#,##0.0\);_(&quot;$&quot;* &quot;-&quot;??_);_(@_)"/>
    <numFmt numFmtId="170" formatCode="&quot;$&quot;#,##0.0"/>
  </numFmts>
  <fonts count="9" x14ac:knownFonts="1">
    <font>
      <sz val="11"/>
      <color theme="1"/>
      <name val="Calibri"/>
      <family val="2"/>
      <scheme val="minor"/>
    </font>
    <font>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11"/>
      <color theme="1"/>
      <name val="Calibri"/>
      <family val="2"/>
      <scheme val="minor"/>
    </font>
    <font>
      <i/>
      <sz val="11"/>
      <color theme="1"/>
      <name val="Calibri"/>
      <family val="2"/>
      <scheme val="minor"/>
    </font>
    <font>
      <sz val="11"/>
      <color rgb="FF00B0F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164" fontId="0" fillId="0" borderId="0" xfId="2" applyNumberFormat="1" applyFont="1"/>
    <xf numFmtId="44" fontId="0" fillId="0" borderId="0" xfId="1" applyFont="1" applyAlignment="1">
      <alignment horizontal="right"/>
    </xf>
    <xf numFmtId="44" fontId="0" fillId="2" borderId="0" xfId="1" applyFont="1" applyFill="1" applyAlignment="1">
      <alignment horizontal="right"/>
    </xf>
    <xf numFmtId="164" fontId="0" fillId="0" borderId="0" xfId="0" applyNumberFormat="1"/>
    <xf numFmtId="0" fontId="0" fillId="0" borderId="1" xfId="0" applyBorder="1"/>
    <xf numFmtId="0" fontId="0" fillId="0" borderId="2" xfId="0" applyBorder="1"/>
    <xf numFmtId="9" fontId="0" fillId="0" borderId="2" xfId="2" applyFont="1" applyBorder="1"/>
    <xf numFmtId="2" fontId="0" fillId="0" borderId="3" xfId="2" applyNumberFormat="1" applyFont="1" applyBorder="1"/>
    <xf numFmtId="0" fontId="0" fillId="0" borderId="4" xfId="0" applyBorder="1"/>
    <xf numFmtId="0" fontId="0" fillId="0" borderId="0" xfId="0" applyBorder="1"/>
    <xf numFmtId="9" fontId="0" fillId="0" borderId="0" xfId="2" applyFont="1" applyBorder="1"/>
    <xf numFmtId="2" fontId="0" fillId="0" borderId="5" xfId="2" applyNumberFormat="1" applyFont="1" applyBorder="1"/>
    <xf numFmtId="0" fontId="0" fillId="0" borderId="6" xfId="0" applyBorder="1"/>
    <xf numFmtId="0" fontId="0" fillId="0" borderId="7" xfId="0" applyBorder="1"/>
    <xf numFmtId="9" fontId="0" fillId="0" borderId="7" xfId="2" applyFont="1" applyBorder="1"/>
    <xf numFmtId="2" fontId="0" fillId="0" borderId="8" xfId="2" applyNumberFormat="1" applyFont="1" applyBorder="1"/>
    <xf numFmtId="0" fontId="0" fillId="0" borderId="2" xfId="0" applyBorder="1" applyAlignment="1">
      <alignment horizontal="right"/>
    </xf>
    <xf numFmtId="0" fontId="0" fillId="0" borderId="3" xfId="0" applyBorder="1"/>
    <xf numFmtId="0" fontId="0" fillId="0" borderId="7" xfId="0" applyBorder="1" applyAlignment="1">
      <alignment horizontal="right"/>
    </xf>
    <xf numFmtId="0" fontId="0" fillId="0" borderId="8" xfId="0" applyBorder="1"/>
    <xf numFmtId="0" fontId="6" fillId="0" borderId="0" xfId="0" applyFont="1"/>
    <xf numFmtId="8" fontId="6" fillId="0" borderId="0" xfId="0" applyNumberFormat="1" applyFont="1"/>
    <xf numFmtId="44" fontId="6" fillId="0" borderId="0" xfId="1" applyFont="1"/>
    <xf numFmtId="0" fontId="6" fillId="0" borderId="0" xfId="0" applyFont="1" applyAlignment="1">
      <alignment horizontal="right" wrapText="1"/>
    </xf>
    <xf numFmtId="44" fontId="6" fillId="0" borderId="0" xfId="1" applyFont="1" applyAlignment="1">
      <alignment horizontal="right"/>
    </xf>
    <xf numFmtId="0" fontId="6" fillId="0" borderId="0" xfId="0" applyFont="1" applyAlignment="1">
      <alignment wrapText="1"/>
    </xf>
    <xf numFmtId="165" fontId="6" fillId="0" borderId="0" xfId="1" applyNumberFormat="1" applyFont="1"/>
    <xf numFmtId="0" fontId="0" fillId="0" borderId="0" xfId="0" applyFont="1"/>
    <xf numFmtId="0" fontId="6" fillId="0" borderId="1" xfId="0" applyFont="1" applyBorder="1"/>
    <xf numFmtId="6" fontId="6" fillId="0" borderId="3" xfId="0" applyNumberFormat="1" applyFont="1" applyBorder="1"/>
    <xf numFmtId="0" fontId="6" fillId="0" borderId="4" xfId="0" applyFont="1" applyBorder="1"/>
    <xf numFmtId="8" fontId="6" fillId="0" borderId="5" xfId="0" applyNumberFormat="1" applyFont="1" applyBorder="1"/>
    <xf numFmtId="44" fontId="6" fillId="0" borderId="5" xfId="1" applyFont="1" applyBorder="1"/>
    <xf numFmtId="6" fontId="6" fillId="0" borderId="5" xfId="0" applyNumberFormat="1" applyFont="1" applyBorder="1"/>
    <xf numFmtId="0" fontId="6" fillId="0" borderId="6" xfId="0" applyFont="1" applyBorder="1"/>
    <xf numFmtId="8" fontId="6" fillId="0" borderId="8" xfId="0" applyNumberFormat="1" applyFont="1" applyBorder="1"/>
    <xf numFmtId="8" fontId="6" fillId="0" borderId="5" xfId="0" applyNumberFormat="1" applyFont="1" applyFill="1" applyBorder="1"/>
    <xf numFmtId="0" fontId="6" fillId="2" borderId="0" xfId="0" applyFont="1" applyFill="1"/>
    <xf numFmtId="0" fontId="0" fillId="0" borderId="9" xfId="0" applyFont="1" applyBorder="1" applyAlignment="1">
      <alignment horizontal="right"/>
    </xf>
    <xf numFmtId="0" fontId="6" fillId="0" borderId="10" xfId="0" applyFont="1" applyBorder="1" applyAlignment="1">
      <alignment horizontal="left"/>
    </xf>
    <xf numFmtId="166" fontId="6" fillId="0" borderId="0" xfId="0" applyNumberFormat="1" applyFont="1"/>
    <xf numFmtId="165" fontId="6" fillId="0" borderId="0" xfId="0" applyNumberFormat="1" applyFont="1"/>
    <xf numFmtId="0" fontId="0" fillId="0" borderId="0" xfId="0" applyAlignment="1">
      <alignment wrapText="1"/>
    </xf>
    <xf numFmtId="0" fontId="7" fillId="0" borderId="0" xfId="0" applyFont="1"/>
    <xf numFmtId="9" fontId="0" fillId="0" borderId="0" xfId="2" applyFont="1"/>
    <xf numFmtId="167" fontId="0" fillId="0" borderId="0" xfId="0" applyNumberFormat="1"/>
    <xf numFmtId="0" fontId="0" fillId="0" borderId="0" xfId="0" applyFont="1" applyAlignment="1">
      <alignment horizontal="right"/>
    </xf>
    <xf numFmtId="9" fontId="6" fillId="0" borderId="0" xfId="2" applyFont="1" applyAlignment="1">
      <alignment horizontal="left"/>
    </xf>
    <xf numFmtId="0" fontId="6" fillId="0" borderId="2" xfId="0" applyFont="1" applyBorder="1"/>
    <xf numFmtId="0" fontId="0" fillId="0" borderId="2" xfId="0" applyFont="1" applyBorder="1" applyAlignment="1">
      <alignment horizontal="right"/>
    </xf>
    <xf numFmtId="0" fontId="0" fillId="0" borderId="3" xfId="0" applyFont="1" applyBorder="1" applyAlignment="1">
      <alignment horizontal="right"/>
    </xf>
    <xf numFmtId="0" fontId="6" fillId="0" borderId="0" xfId="0" applyFont="1" applyBorder="1"/>
    <xf numFmtId="0" fontId="0" fillId="0" borderId="0" xfId="0" applyFont="1" applyBorder="1" applyAlignment="1">
      <alignment horizontal="right"/>
    </xf>
    <xf numFmtId="0" fontId="0" fillId="0" borderId="5" xfId="0" applyFont="1" applyBorder="1" applyAlignment="1">
      <alignment horizontal="right"/>
    </xf>
    <xf numFmtId="0" fontId="6" fillId="0" borderId="5" xfId="0" applyFont="1" applyBorder="1"/>
    <xf numFmtId="0" fontId="6" fillId="0" borderId="7" xfId="0" applyFont="1" applyBorder="1"/>
    <xf numFmtId="9" fontId="6" fillId="0" borderId="5" xfId="2" applyFont="1" applyBorder="1"/>
    <xf numFmtId="0" fontId="0" fillId="0" borderId="7" xfId="0" applyFont="1" applyBorder="1"/>
    <xf numFmtId="168" fontId="0" fillId="0" borderId="0" xfId="0" applyNumberFormat="1"/>
    <xf numFmtId="0" fontId="0" fillId="0" borderId="4" xfId="0" applyFont="1" applyBorder="1"/>
    <xf numFmtId="0" fontId="0" fillId="0" borderId="11" xfId="0" applyBorder="1"/>
    <xf numFmtId="0" fontId="0" fillId="0" borderId="12" xfId="0" applyBorder="1"/>
    <xf numFmtId="0" fontId="0" fillId="0" borderId="13" xfId="0" applyBorder="1"/>
    <xf numFmtId="169" fontId="6" fillId="0" borderId="0" xfId="1" applyNumberFormat="1" applyFont="1" applyAlignment="1">
      <alignment horizontal="right"/>
    </xf>
    <xf numFmtId="44" fontId="6" fillId="0" borderId="0" xfId="1" applyNumberFormat="1" applyFont="1"/>
    <xf numFmtId="8" fontId="6" fillId="0" borderId="0" xfId="0" applyNumberFormat="1" applyFont="1" applyAlignment="1">
      <alignment horizontal="right"/>
    </xf>
    <xf numFmtId="44" fontId="6" fillId="0" borderId="0" xfId="0" applyNumberFormat="1" applyFont="1"/>
    <xf numFmtId="6" fontId="6" fillId="3" borderId="3" xfId="0" applyNumberFormat="1" applyFont="1" applyFill="1" applyBorder="1"/>
    <xf numFmtId="8" fontId="6" fillId="3" borderId="5" xfId="0" applyNumberFormat="1" applyFont="1" applyFill="1" applyBorder="1"/>
    <xf numFmtId="0" fontId="0" fillId="0" borderId="0" xfId="0" applyFont="1" applyFill="1"/>
    <xf numFmtId="8" fontId="6" fillId="3" borderId="0" xfId="0" applyNumberFormat="1" applyFont="1" applyFill="1" applyAlignment="1">
      <alignment horizontal="right"/>
    </xf>
    <xf numFmtId="166" fontId="6" fillId="3" borderId="0" xfId="0" applyNumberFormat="1" applyFont="1" applyFill="1"/>
    <xf numFmtId="44" fontId="6" fillId="3" borderId="5" xfId="1" applyFont="1" applyFill="1" applyBorder="1"/>
    <xf numFmtId="0" fontId="8" fillId="0" borderId="0" xfId="0" applyFont="1"/>
    <xf numFmtId="8" fontId="6" fillId="3" borderId="8" xfId="0" applyNumberFormat="1" applyFont="1" applyFill="1" applyBorder="1"/>
    <xf numFmtId="6" fontId="6" fillId="3" borderId="5" xfId="0" applyNumberFormat="1" applyFont="1" applyFill="1" applyBorder="1"/>
    <xf numFmtId="2" fontId="6" fillId="0" borderId="10" xfId="0" applyNumberFormat="1" applyFont="1" applyBorder="1" applyAlignment="1">
      <alignment horizontal="left"/>
    </xf>
    <xf numFmtId="44" fontId="6" fillId="3" borderId="0" xfId="1" applyFont="1" applyFill="1"/>
    <xf numFmtId="9" fontId="0" fillId="0" borderId="0" xfId="0" applyNumberFormat="1"/>
    <xf numFmtId="2" fontId="0" fillId="0" borderId="0" xfId="0" applyNumberFormat="1"/>
    <xf numFmtId="2" fontId="0" fillId="3" borderId="0" xfId="0" applyNumberFormat="1" applyFill="1"/>
    <xf numFmtId="165" fontId="0" fillId="3" borderId="0" xfId="1" applyNumberFormat="1" applyFont="1" applyFill="1"/>
    <xf numFmtId="165" fontId="0" fillId="0" borderId="0" xfId="1" applyNumberFormat="1" applyFont="1" applyFill="1"/>
    <xf numFmtId="170" fontId="6" fillId="3" borderId="0" xfId="0" applyNumberFormat="1" applyFont="1" applyFill="1"/>
    <xf numFmtId="0" fontId="6" fillId="3" borderId="8" xfId="0" applyFont="1" applyFill="1" applyBorder="1"/>
    <xf numFmtId="165" fontId="6" fillId="3" borderId="0" xfId="0" applyNumberFormat="1" applyFont="1" applyFill="1"/>
    <xf numFmtId="0" fontId="0" fillId="3" borderId="9" xfId="0" applyFont="1" applyFill="1" applyBorder="1" applyAlignment="1">
      <alignment horizontal="right"/>
    </xf>
    <xf numFmtId="2" fontId="6" fillId="3" borderId="10" xfId="0" applyNumberFormat="1"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2"/>
  <sheetViews>
    <sheetView workbookViewId="0">
      <selection activeCell="F12" sqref="F12"/>
    </sheetView>
  </sheetViews>
  <sheetFormatPr defaultRowHeight="15" x14ac:dyDescent="0.25"/>
  <cols>
    <col min="1" max="1" width="36.42578125" style="21" customWidth="1"/>
    <col min="2" max="2" width="14.28515625" style="21" customWidth="1"/>
    <col min="3" max="3" width="11.85546875" style="21" customWidth="1"/>
    <col min="4" max="4" width="13.140625" style="21" customWidth="1"/>
    <col min="5" max="5" width="13.28515625" style="21" customWidth="1"/>
    <col min="6" max="6" width="14.28515625" style="21" customWidth="1"/>
    <col min="7" max="7" width="13.42578125" style="21" customWidth="1"/>
    <col min="8" max="9" width="11.5703125" style="21" customWidth="1"/>
    <col min="10" max="10" width="12.42578125" style="21" customWidth="1"/>
    <col min="11" max="16" width="11.5703125" style="21" customWidth="1"/>
    <col min="17" max="17" width="9.140625" style="21"/>
    <col min="18" max="25" width="12.5703125" style="21" bestFit="1" customWidth="1"/>
    <col min="26" max="16384" width="9.140625" style="21"/>
  </cols>
  <sheetData>
    <row r="1" spans="1:25" x14ac:dyDescent="0.25">
      <c r="B1" s="21" t="s">
        <v>26</v>
      </c>
      <c r="R1" s="28" t="s">
        <v>51</v>
      </c>
    </row>
    <row r="2" spans="1:25" x14ac:dyDescent="0.25">
      <c r="A2" s="29" t="s">
        <v>1</v>
      </c>
      <c r="B2" s="30">
        <v>131.5</v>
      </c>
      <c r="R2" s="28">
        <v>0</v>
      </c>
      <c r="S2" s="28">
        <v>0.01</v>
      </c>
      <c r="T2" s="28">
        <v>0.02</v>
      </c>
      <c r="U2" s="28">
        <v>0.03</v>
      </c>
      <c r="V2" s="28">
        <v>0.04</v>
      </c>
      <c r="W2" s="28">
        <v>0.05</v>
      </c>
      <c r="X2" s="28">
        <v>0.06</v>
      </c>
      <c r="Y2" s="28">
        <v>7.0000000000000007E-2</v>
      </c>
    </row>
    <row r="3" spans="1:25" x14ac:dyDescent="0.25">
      <c r="A3" s="60" t="s">
        <v>99</v>
      </c>
      <c r="B3" s="32">
        <v>3.7225000000000001</v>
      </c>
      <c r="C3" s="66">
        <f>B3/0.172</f>
        <v>21.642441860465119</v>
      </c>
      <c r="D3" s="28" t="s">
        <v>109</v>
      </c>
      <c r="Q3" s="28" t="s">
        <v>54</v>
      </c>
      <c r="R3" s="42">
        <f>SUM(R13:R42)</f>
        <v>34632.694096116313</v>
      </c>
      <c r="S3" s="42">
        <f t="shared" ref="S3:Y3" si="0">SUM(S13:S42)</f>
        <v>33123.682868884913</v>
      </c>
      <c r="T3" s="42">
        <f t="shared" si="0"/>
        <v>31720.682177121191</v>
      </c>
      <c r="U3" s="42">
        <f t="shared" si="0"/>
        <v>30414.550472071729</v>
      </c>
      <c r="V3" s="42">
        <f t="shared" si="0"/>
        <v>29197.07089225145</v>
      </c>
      <c r="W3" s="42">
        <f t="shared" si="0"/>
        <v>28060.842252162278</v>
      </c>
      <c r="X3" s="42">
        <f t="shared" si="0"/>
        <v>26999.185197284914</v>
      </c>
      <c r="Y3" s="42">
        <f t="shared" si="0"/>
        <v>26006.061000767091</v>
      </c>
    </row>
    <row r="4" spans="1:25" x14ac:dyDescent="0.25">
      <c r="A4" s="31" t="s">
        <v>27</v>
      </c>
      <c r="B4" s="37">
        <v>1.3</v>
      </c>
      <c r="C4" s="21">
        <v>2.94</v>
      </c>
      <c r="Q4" s="28" t="s">
        <v>55</v>
      </c>
      <c r="R4" s="42">
        <f>SUM(R13:R52)</f>
        <v>34657.196031307743</v>
      </c>
      <c r="S4" s="42">
        <f t="shared" ref="S4:Y4" si="1">SUM(S13:S52)</f>
        <v>33141.069282607787</v>
      </c>
      <c r="T4" s="42">
        <f t="shared" si="1"/>
        <v>31733.071196202538</v>
      </c>
      <c r="U4" s="42">
        <f t="shared" si="1"/>
        <v>30423.414718943015</v>
      </c>
      <c r="V4" s="42">
        <f t="shared" si="1"/>
        <v>29203.438647849085</v>
      </c>
      <c r="W4" s="42">
        <f t="shared" si="1"/>
        <v>28065.434581705431</v>
      </c>
      <c r="X4" s="42">
        <f t="shared" si="1"/>
        <v>27002.509841507337</v>
      </c>
      <c r="Y4" s="42">
        <f t="shared" si="1"/>
        <v>26008.476945479037</v>
      </c>
    </row>
    <row r="5" spans="1:25" x14ac:dyDescent="0.25">
      <c r="A5" s="31" t="s">
        <v>45</v>
      </c>
      <c r="B5" s="33">
        <v>0.28999999999999998</v>
      </c>
      <c r="C5" s="21">
        <v>0.52</v>
      </c>
      <c r="Q5" s="28" t="s">
        <v>56</v>
      </c>
      <c r="R5" s="42">
        <f>SUM(R13:R62)</f>
        <v>34682.111570630965</v>
      </c>
      <c r="S5" s="42">
        <f t="shared" ref="S5:Y5" si="2">SUM(S13:S62)</f>
        <v>33157.076046659058</v>
      </c>
      <c r="T5" s="42">
        <f t="shared" si="2"/>
        <v>31743.407837529387</v>
      </c>
      <c r="U5" s="42">
        <f t="shared" si="2"/>
        <v>30430.123604563822</v>
      </c>
      <c r="V5" s="42">
        <f t="shared" si="2"/>
        <v>29207.81457302202</v>
      </c>
      <c r="W5" s="42">
        <f t="shared" si="2"/>
        <v>28068.302670410136</v>
      </c>
      <c r="X5" s="42">
        <f t="shared" si="2"/>
        <v>27004.398590247856</v>
      </c>
      <c r="Y5" s="42">
        <f t="shared" si="2"/>
        <v>26009.726546883408</v>
      </c>
    </row>
    <row r="6" spans="1:25" x14ac:dyDescent="0.25">
      <c r="A6" s="31" t="s">
        <v>46</v>
      </c>
      <c r="B6" s="32">
        <v>5.7</v>
      </c>
      <c r="Q6" s="28" t="s">
        <v>57</v>
      </c>
      <c r="R6" s="42">
        <f>R11</f>
        <v>34811.093759288102</v>
      </c>
      <c r="S6" s="42">
        <f t="shared" ref="S6:Y6" si="3">S11</f>
        <v>33219.02502716559</v>
      </c>
      <c r="T6" s="42">
        <f t="shared" si="3"/>
        <v>31773.98499643863</v>
      </c>
      <c r="U6" s="42">
        <f t="shared" si="3"/>
        <v>30445.612670361479</v>
      </c>
      <c r="V6" s="42">
        <f t="shared" si="3"/>
        <v>29215.853347743996</v>
      </c>
      <c r="W6" s="42">
        <f t="shared" si="3"/>
        <v>28072.5692653527</v>
      </c>
      <c r="X6" s="42">
        <f t="shared" si="3"/>
        <v>27006.709916944317</v>
      </c>
      <c r="Y6" s="42">
        <f t="shared" si="3"/>
        <v>26011.002120151716</v>
      </c>
    </row>
    <row r="7" spans="1:25" x14ac:dyDescent="0.25">
      <c r="A7" s="31" t="s">
        <v>48</v>
      </c>
      <c r="B7" s="34">
        <v>3469.4</v>
      </c>
      <c r="C7" s="25">
        <v>37.6</v>
      </c>
    </row>
    <row r="8" spans="1:25" x14ac:dyDescent="0.25">
      <c r="A8" s="35" t="s">
        <v>50</v>
      </c>
      <c r="B8" s="36">
        <v>2.8000000000000001E-2</v>
      </c>
      <c r="L8" s="47"/>
      <c r="M8" s="48"/>
    </row>
    <row r="9" spans="1:25" x14ac:dyDescent="0.25">
      <c r="B9" s="28" t="s">
        <v>58</v>
      </c>
      <c r="J9" s="47" t="s">
        <v>52</v>
      </c>
      <c r="L9" s="39" t="s">
        <v>53</v>
      </c>
      <c r="M9" s="40">
        <v>7.0000000000000007E-2</v>
      </c>
      <c r="R9" s="28" t="s">
        <v>51</v>
      </c>
    </row>
    <row r="10" spans="1:25" x14ac:dyDescent="0.25">
      <c r="A10" s="21" t="s">
        <v>3</v>
      </c>
      <c r="C10" s="21">
        <v>0.02</v>
      </c>
      <c r="D10" s="21">
        <v>8.0000000000000004E-4</v>
      </c>
      <c r="E10" s="38">
        <v>5.0000000000000001E-4</v>
      </c>
      <c r="F10" s="21">
        <v>5.0000000000000001E-4</v>
      </c>
      <c r="G10" s="38">
        <v>5.0000000000000001E-4</v>
      </c>
      <c r="J10" s="28"/>
      <c r="K10" s="28"/>
      <c r="L10" s="28"/>
      <c r="M10" s="28"/>
      <c r="N10" s="28"/>
      <c r="O10" s="28"/>
      <c r="R10" s="28">
        <v>0</v>
      </c>
      <c r="S10" s="28">
        <v>0.01</v>
      </c>
      <c r="T10" s="28">
        <v>0.02</v>
      </c>
      <c r="U10" s="28">
        <v>0.03</v>
      </c>
      <c r="V10" s="28">
        <v>0.04</v>
      </c>
      <c r="W10" s="28">
        <v>0.05</v>
      </c>
      <c r="X10" s="28">
        <v>0.06</v>
      </c>
      <c r="Y10" s="28">
        <v>7.0000000000000007E-2</v>
      </c>
    </row>
    <row r="11" spans="1:25" x14ac:dyDescent="0.25">
      <c r="B11" s="22"/>
      <c r="C11" s="22"/>
      <c r="D11" s="22"/>
      <c r="J11" s="41">
        <f>SUM(J13:J112)</f>
        <v>95.128973137450004</v>
      </c>
      <c r="K11" s="41">
        <f t="shared" ref="K11:P11" si="4">SUM(K13:K112)</f>
        <v>70.397603047278736</v>
      </c>
      <c r="L11" s="41">
        <f t="shared" si="4"/>
        <v>7.3386265540174032</v>
      </c>
      <c r="M11" s="41">
        <f t="shared" si="4"/>
        <v>0.68033390754841028</v>
      </c>
      <c r="N11" s="41">
        <f t="shared" si="4"/>
        <v>43.373370522207011</v>
      </c>
      <c r="O11" s="41">
        <f>SUM(O13:O112)</f>
        <v>26124.854624063111</v>
      </c>
      <c r="P11" s="41">
        <f t="shared" si="4"/>
        <v>0.26604364076846893</v>
      </c>
      <c r="R11" s="27">
        <f>SUM(R13:R112)</f>
        <v>34811.093759288102</v>
      </c>
      <c r="S11" s="27">
        <f t="shared" ref="S11:Y11" si="5">SUM(S13:S112)</f>
        <v>33219.02502716559</v>
      </c>
      <c r="T11" s="27">
        <f t="shared" si="5"/>
        <v>31773.98499643863</v>
      </c>
      <c r="U11" s="27">
        <f t="shared" si="5"/>
        <v>30445.612670361479</v>
      </c>
      <c r="V11" s="27">
        <f t="shared" si="5"/>
        <v>29215.853347743996</v>
      </c>
      <c r="W11" s="27">
        <f t="shared" si="5"/>
        <v>28072.5692653527</v>
      </c>
      <c r="X11" s="27">
        <f t="shared" si="5"/>
        <v>27006.709916944317</v>
      </c>
      <c r="Y11" s="27">
        <f t="shared" si="5"/>
        <v>26011.002120151716</v>
      </c>
    </row>
    <row r="12" spans="1:25" ht="60" x14ac:dyDescent="0.25">
      <c r="A12" s="21" t="s">
        <v>0</v>
      </c>
      <c r="B12" s="24" t="s">
        <v>4</v>
      </c>
      <c r="C12" s="24" t="s">
        <v>5</v>
      </c>
      <c r="D12" s="24" t="s">
        <v>6</v>
      </c>
      <c r="E12" s="24" t="s">
        <v>44</v>
      </c>
      <c r="F12" s="24" t="s">
        <v>7</v>
      </c>
      <c r="G12" s="26" t="s">
        <v>47</v>
      </c>
      <c r="H12" s="26" t="s">
        <v>49</v>
      </c>
      <c r="I12" s="26"/>
      <c r="J12" s="24" t="s">
        <v>4</v>
      </c>
      <c r="K12" s="24" t="s">
        <v>5</v>
      </c>
      <c r="L12" s="24" t="s">
        <v>6</v>
      </c>
      <c r="M12" s="24" t="s">
        <v>44</v>
      </c>
      <c r="N12" s="24" t="s">
        <v>7</v>
      </c>
      <c r="O12" s="26" t="s">
        <v>47</v>
      </c>
      <c r="P12" s="26" t="s">
        <v>49</v>
      </c>
      <c r="R12" s="27"/>
      <c r="S12" s="27"/>
      <c r="T12" s="27"/>
      <c r="U12" s="27"/>
      <c r="V12" s="27"/>
      <c r="W12" s="27"/>
      <c r="X12" s="27"/>
      <c r="Y12" s="27"/>
    </row>
    <row r="13" spans="1:25" x14ac:dyDescent="0.25">
      <c r="A13" s="21">
        <v>1</v>
      </c>
      <c r="B13" s="22">
        <f>B$2*'Cost Distribution By Year'!C20</f>
        <v>3.2795012165450119</v>
      </c>
      <c r="C13" s="25">
        <f>B3</f>
        <v>3.7225000000000001</v>
      </c>
      <c r="D13" s="23">
        <f>FishHarvestTimeTrends!AC22*((1+OriginalBCACalculations!D$10)^MIN(OriginalBCACalculations!$A13,20))</f>
        <v>-0.45009477652942353</v>
      </c>
      <c r="E13" s="23">
        <f>FishHarvestTimeTrends!AD22*((1+OriginalBCACalculations!E$10)^MIN(OriginalBCACalculations!$A13,20))</f>
        <v>-9.968905080817865E-2</v>
      </c>
      <c r="G13" s="27">
        <f>B7</f>
        <v>3469.4</v>
      </c>
      <c r="J13" s="41">
        <f>B13/((1+$M$9)^($A13-1))</f>
        <v>3.2795012165450119</v>
      </c>
      <c r="K13" s="41">
        <f t="shared" ref="K13:N76" si="6">C13/((1+$M$9)^($A13-1))</f>
        <v>3.7225000000000001</v>
      </c>
      <c r="L13" s="41">
        <f t="shared" si="6"/>
        <v>-0.45009477652942353</v>
      </c>
      <c r="M13" s="41">
        <f t="shared" si="6"/>
        <v>-9.968905080817865E-2</v>
      </c>
      <c r="N13" s="41"/>
      <c r="O13" s="41">
        <f>B7</f>
        <v>3469.4</v>
      </c>
      <c r="P13" s="41"/>
      <c r="R13" s="27">
        <f>(SUM($D13:$H13)-SUM($B13:$C13))/((1+R$10)^($A13-1))</f>
        <v>3461.8482149561173</v>
      </c>
      <c r="S13" s="27">
        <f t="shared" ref="S13:Y28" si="7">(SUM($D13:$H13)-SUM($B13:$C13))/((1+S$10)^($A13-1))</f>
        <v>3461.8482149561173</v>
      </c>
      <c r="T13" s="27">
        <f t="shared" si="7"/>
        <v>3461.8482149561173</v>
      </c>
      <c r="U13" s="27">
        <f t="shared" si="7"/>
        <v>3461.8482149561173</v>
      </c>
      <c r="V13" s="27">
        <f t="shared" si="7"/>
        <v>3461.8482149561173</v>
      </c>
      <c r="W13" s="27">
        <f t="shared" si="7"/>
        <v>3461.8482149561173</v>
      </c>
      <c r="X13" s="27">
        <f t="shared" si="7"/>
        <v>3461.8482149561173</v>
      </c>
      <c r="Y13" s="27">
        <f t="shared" si="7"/>
        <v>3461.8482149561173</v>
      </c>
    </row>
    <row r="14" spans="1:25" x14ac:dyDescent="0.25">
      <c r="A14" s="21">
        <v>2</v>
      </c>
      <c r="B14" s="22">
        <f>B$2*'Cost Distribution By Year'!C21</f>
        <v>3.6394464720194639</v>
      </c>
      <c r="C14" s="25">
        <f>C13*(1+C$10)</f>
        <v>3.7969500000000003</v>
      </c>
      <c r="D14" s="23">
        <f>FishHarvestTimeTrends!AC23*((1+OriginalBCACalculations!D$10)^MIN(OriginalBCACalculations!$A14,20))</f>
        <v>-0.45045485235064703</v>
      </c>
      <c r="E14" s="23">
        <f>FishHarvestTimeTrends!AD23*((1+OriginalBCACalculations!E$10)^MIN(OriginalBCACalculations!$A14,20))</f>
        <v>-9.9738895333582739E-2</v>
      </c>
      <c r="G14" s="27">
        <f t="shared" ref="G14:G22" si="8">G13*(1+G$10)</f>
        <v>3471.1347000000001</v>
      </c>
      <c r="J14" s="41">
        <f t="shared" ref="J14:J31" si="9">B14/((1+$M$9)^($A14-1))</f>
        <v>3.4013518430088445</v>
      </c>
      <c r="K14" s="41">
        <f t="shared" si="6"/>
        <v>3.5485514018691591</v>
      </c>
      <c r="L14" s="41">
        <f t="shared" si="6"/>
        <v>-0.4209858433183617</v>
      </c>
      <c r="M14" s="41">
        <f t="shared" si="6"/>
        <v>-9.3213920872507225E-2</v>
      </c>
      <c r="N14" s="41"/>
      <c r="O14" s="41">
        <f t="shared" ref="O14:O19" si="10">G14/((1+$M$9)^($A14-1))</f>
        <v>3244.0511214953272</v>
      </c>
      <c r="P14" s="41"/>
      <c r="R14" s="27">
        <f t="shared" ref="R14:Y29" si="11">(SUM($D14:$H14)-SUM($B14:$C14))/((1+R$10)^($A14-1))</f>
        <v>3463.1481097802962</v>
      </c>
      <c r="S14" s="27">
        <f t="shared" si="7"/>
        <v>3428.8595146339567</v>
      </c>
      <c r="T14" s="27">
        <f t="shared" si="7"/>
        <v>3395.2432448826435</v>
      </c>
      <c r="U14" s="27">
        <f t="shared" si="7"/>
        <v>3362.279718233297</v>
      </c>
      <c r="V14" s="27">
        <f t="shared" si="7"/>
        <v>3329.9501055579772</v>
      </c>
      <c r="W14" s="27">
        <f t="shared" si="7"/>
        <v>3298.2362950288534</v>
      </c>
      <c r="X14" s="27">
        <f t="shared" si="7"/>
        <v>3267.1208582832983</v>
      </c>
      <c r="Y14" s="27">
        <f t="shared" si="7"/>
        <v>3236.5870184862579</v>
      </c>
    </row>
    <row r="15" spans="1:25" x14ac:dyDescent="0.25">
      <c r="A15" s="21">
        <v>3</v>
      </c>
      <c r="B15" s="22">
        <f>B$2*'Cost Distribution By Year'!C22</f>
        <v>6.7489735401459834</v>
      </c>
      <c r="C15" s="25">
        <f t="shared" ref="C15:C32" si="12">C14*(1+C$10)</f>
        <v>3.8728890000000002</v>
      </c>
      <c r="D15" s="23">
        <f>FishHarvestTimeTrends!AC24*((1+OriginalBCACalculations!D$10)^MIN(OriginalBCACalculations!$A15,20))</f>
        <v>-0.40817195254769112</v>
      </c>
      <c r="E15" s="23">
        <f>FishHarvestTimeTrends!AD24*((1+OriginalBCACalculations!E$10)^MIN(OriginalBCACalculations!$A15,20))</f>
        <v>-9.9788764781249525E-2</v>
      </c>
      <c r="G15" s="27">
        <f t="shared" si="8"/>
        <v>3472.8702673499997</v>
      </c>
      <c r="J15" s="41">
        <f t="shared" si="9"/>
        <v>5.8948148660546629</v>
      </c>
      <c r="K15" s="41">
        <f t="shared" si="6"/>
        <v>3.3827312429033105</v>
      </c>
      <c r="L15" s="41">
        <f t="shared" si="6"/>
        <v>-0.35651319115004898</v>
      </c>
      <c r="M15" s="41">
        <f t="shared" si="6"/>
        <v>-8.7159371806489236E-2</v>
      </c>
      <c r="N15" s="41"/>
      <c r="O15" s="41">
        <f t="shared" si="10"/>
        <v>3033.3393897720321</v>
      </c>
      <c r="P15" s="41"/>
      <c r="R15" s="27">
        <f t="shared" si="11"/>
        <v>3461.7404440925247</v>
      </c>
      <c r="S15" s="27">
        <f t="shared" si="7"/>
        <v>3393.5304814160618</v>
      </c>
      <c r="T15" s="27">
        <f t="shared" si="7"/>
        <v>3327.3168436106544</v>
      </c>
      <c r="U15" s="27">
        <f t="shared" si="7"/>
        <v>3263.02238108448</v>
      </c>
      <c r="V15" s="27">
        <f t="shared" si="7"/>
        <v>3200.5736354405735</v>
      </c>
      <c r="W15" s="27">
        <f t="shared" si="7"/>
        <v>3139.9006295623808</v>
      </c>
      <c r="X15" s="27">
        <f t="shared" si="7"/>
        <v>3080.9366714956604</v>
      </c>
      <c r="Y15" s="27">
        <f t="shared" si="7"/>
        <v>3023.6181711001177</v>
      </c>
    </row>
    <row r="16" spans="1:25" x14ac:dyDescent="0.25">
      <c r="A16" s="21">
        <v>4</v>
      </c>
      <c r="B16" s="22">
        <f>B$2*'Cost Distribution By Year'!C23</f>
        <v>11.078315085158149</v>
      </c>
      <c r="C16" s="25">
        <f t="shared" si="12"/>
        <v>3.9503467800000003</v>
      </c>
      <c r="D16" s="23">
        <f>FishHarvestTimeTrends!AC25*((1+OriginalBCACalculations!D$10)^MIN(OriginalBCACalculations!$A16,20))</f>
        <v>-0.40319854528381316</v>
      </c>
      <c r="E16" s="23">
        <f>FishHarvestTimeTrends!AD25*((1+OriginalBCACalculations!E$10)^MIN(OriginalBCACalculations!$A16,20))</f>
        <v>-9.9838659163640153E-2</v>
      </c>
      <c r="G16" s="27">
        <f t="shared" si="8"/>
        <v>3474.6067024836743</v>
      </c>
      <c r="J16" s="41">
        <f t="shared" si="9"/>
        <v>9.0432050835424942</v>
      </c>
      <c r="K16" s="41">
        <f t="shared" si="6"/>
        <v>3.2246596894966135</v>
      </c>
      <c r="L16" s="41">
        <f t="shared" si="6"/>
        <v>-0.32913011648065671</v>
      </c>
      <c r="M16" s="41">
        <f t="shared" si="6"/>
        <v>-8.149808550690886E-2</v>
      </c>
      <c r="N16" s="41"/>
      <c r="O16" s="41">
        <f t="shared" si="10"/>
        <v>2836.3140742681471</v>
      </c>
      <c r="P16" s="41"/>
      <c r="R16" s="27">
        <f t="shared" si="11"/>
        <v>3459.0750034140688</v>
      </c>
      <c r="S16" s="27">
        <f t="shared" si="7"/>
        <v>3357.3441192564783</v>
      </c>
      <c r="T16" s="27">
        <f t="shared" si="7"/>
        <v>3259.5636325904716</v>
      </c>
      <c r="U16" s="27">
        <f t="shared" si="7"/>
        <v>3165.5436384513869</v>
      </c>
      <c r="V16" s="27">
        <f t="shared" si="7"/>
        <v>3075.1050824046893</v>
      </c>
      <c r="W16" s="27">
        <f t="shared" si="7"/>
        <v>2988.0790440894662</v>
      </c>
      <c r="X16" s="27">
        <f t="shared" si="7"/>
        <v>2904.3060743214769</v>
      </c>
      <c r="Y16" s="27">
        <f t="shared" si="7"/>
        <v>2823.6355812931206</v>
      </c>
    </row>
    <row r="17" spans="1:25" x14ac:dyDescent="0.25">
      <c r="A17" s="21">
        <v>5</v>
      </c>
      <c r="B17" s="22">
        <f>B$2*'Cost Distribution By Year'!C24</f>
        <v>33.974832725060814</v>
      </c>
      <c r="C17" s="25">
        <f t="shared" si="12"/>
        <v>4.0293537156000001</v>
      </c>
      <c r="D17" s="23">
        <f>FishHarvestTimeTrends!AC26*((1+OriginalBCACalculations!D$10)^MIN(OriginalBCACalculations!$A17,20))</f>
        <v>-0.39461345716601587</v>
      </c>
      <c r="E17" s="23">
        <f>FishHarvestTimeTrends!AD26*((1+OriginalBCACalculations!E$10)^MIN(OriginalBCACalculations!$A17,20))</f>
        <v>-9.9407067189483431E-2</v>
      </c>
      <c r="G17" s="27">
        <f t="shared" si="8"/>
        <v>3476.3440058349161</v>
      </c>
      <c r="J17" s="41">
        <f t="shared" si="9"/>
        <v>25.91923721606447</v>
      </c>
      <c r="K17" s="41">
        <f t="shared" si="6"/>
        <v>3.0739746572771458</v>
      </c>
      <c r="L17" s="41">
        <f t="shared" si="6"/>
        <v>-0.30104871708147468</v>
      </c>
      <c r="M17" s="41">
        <f t="shared" si="6"/>
        <v>-7.583717560254355E-2</v>
      </c>
      <c r="N17" s="41"/>
      <c r="O17" s="41">
        <f t="shared" si="10"/>
        <v>2652.0861974815716</v>
      </c>
      <c r="P17" s="41"/>
      <c r="R17" s="27">
        <f t="shared" si="11"/>
        <v>3437.8457988698997</v>
      </c>
      <c r="S17" s="27">
        <f t="shared" si="7"/>
        <v>3303.7022400767987</v>
      </c>
      <c r="T17" s="27">
        <f t="shared" si="7"/>
        <v>3176.0381166704246</v>
      </c>
      <c r="U17" s="27">
        <f t="shared" si="7"/>
        <v>3054.4814650272706</v>
      </c>
      <c r="V17" s="27">
        <f t="shared" si="7"/>
        <v>2938.6849969879258</v>
      </c>
      <c r="W17" s="27">
        <f t="shared" si="7"/>
        <v>2828.3242466831412</v>
      </c>
      <c r="X17" s="27">
        <f t="shared" si="7"/>
        <v>2723.0958724742977</v>
      </c>
      <c r="Y17" s="27">
        <f t="shared" si="7"/>
        <v>2622.7160997155461</v>
      </c>
    </row>
    <row r="18" spans="1:25" x14ac:dyDescent="0.25">
      <c r="A18" s="21">
        <v>6</v>
      </c>
      <c r="B18" s="22">
        <f>B$2*'Cost Distribution By Year'!C25</f>
        <v>22.756538929440381</v>
      </c>
      <c r="C18" s="25">
        <f t="shared" si="12"/>
        <v>4.1099407899120006</v>
      </c>
      <c r="D18" s="23">
        <f>FishHarvestTimeTrends!AC27*((1+OriginalBCACalculations!D$10)^MIN(OriginalBCACalculations!$A18,20))</f>
        <v>-0.36609789732137704</v>
      </c>
      <c r="E18" s="23">
        <f>FishHarvestTimeTrends!AD27*((1+OriginalBCACalculations!E$10)^MIN(OriginalBCACalculations!$A18,20))</f>
        <v>-9.2998613393808327E-2</v>
      </c>
      <c r="G18" s="27">
        <f t="shared" si="8"/>
        <v>3478.0821778378331</v>
      </c>
      <c r="J18" s="41">
        <f t="shared" si="9"/>
        <v>16.225097749573067</v>
      </c>
      <c r="K18" s="41">
        <f t="shared" si="6"/>
        <v>2.9303309817034475</v>
      </c>
      <c r="L18" s="41">
        <f t="shared" si="6"/>
        <v>-0.26102274112817292</v>
      </c>
      <c r="M18" s="41">
        <f t="shared" si="6"/>
        <v>-6.6306726060930105E-2</v>
      </c>
      <c r="N18" s="41"/>
      <c r="O18" s="41">
        <f t="shared" si="10"/>
        <v>2479.8245239068333</v>
      </c>
      <c r="P18" s="41"/>
      <c r="R18" s="27">
        <f t="shared" si="11"/>
        <v>3450.7566016077658</v>
      </c>
      <c r="S18" s="27">
        <f t="shared" si="7"/>
        <v>3283.2765027122609</v>
      </c>
      <c r="T18" s="27">
        <f t="shared" si="7"/>
        <v>3125.4565713001302</v>
      </c>
      <c r="U18" s="27">
        <f t="shared" si="7"/>
        <v>2976.6529573185039</v>
      </c>
      <c r="V18" s="27">
        <f t="shared" si="7"/>
        <v>2836.270389690203</v>
      </c>
      <c r="W18" s="27">
        <f t="shared" si="7"/>
        <v>2703.7580914734599</v>
      </c>
      <c r="X18" s="27">
        <f t="shared" si="7"/>
        <v>2578.6060731229027</v>
      </c>
      <c r="Y18" s="27">
        <f t="shared" si="7"/>
        <v>2460.3417657083678</v>
      </c>
    </row>
    <row r="19" spans="1:25" x14ac:dyDescent="0.25">
      <c r="A19" s="21">
        <v>7</v>
      </c>
      <c r="B19" s="22">
        <f>B$2*'Cost Distribution By Year'!C26</f>
        <v>21.886671228710455</v>
      </c>
      <c r="C19" s="25">
        <f t="shared" si="12"/>
        <v>4.1921396057102411</v>
      </c>
      <c r="D19" s="23">
        <f>FishHarvestTimeTrends!AC28*((1+OriginalBCACalculations!D$10)^MIN(OriginalBCACalculations!$A19,20))</f>
        <v>-0.30824294902145893</v>
      </c>
      <c r="E19" s="23">
        <f>FishHarvestTimeTrends!AD28*((1+OriginalBCACalculations!E$10)^MIN(OriginalBCACalculations!$A19,20))</f>
        <v>-8.3994920579371024E-2</v>
      </c>
      <c r="F19" s="23">
        <f>B6/10</f>
        <v>0.57000000000000006</v>
      </c>
      <c r="G19" s="27">
        <f t="shared" si="8"/>
        <v>3479.821218926752</v>
      </c>
      <c r="J19" s="41">
        <f t="shared" si="9"/>
        <v>14.584013178479807</v>
      </c>
      <c r="K19" s="41">
        <f t="shared" si="6"/>
        <v>2.79339962741824</v>
      </c>
      <c r="L19" s="41">
        <f t="shared" si="6"/>
        <v>-0.20539529212671886</v>
      </c>
      <c r="M19" s="41">
        <f t="shared" si="6"/>
        <v>-5.596936216814944E-2</v>
      </c>
      <c r="N19" s="41"/>
      <c r="O19" s="41">
        <f t="shared" si="10"/>
        <v>2318.7518095035393</v>
      </c>
      <c r="P19" s="41"/>
      <c r="R19" s="27">
        <f t="shared" si="11"/>
        <v>3453.9201702227301</v>
      </c>
      <c r="S19" s="27">
        <f t="shared" si="7"/>
        <v>3253.749039306721</v>
      </c>
      <c r="T19" s="27">
        <f t="shared" si="7"/>
        <v>3066.9822675134451</v>
      </c>
      <c r="U19" s="27">
        <f t="shared" si="7"/>
        <v>2892.6037664036644</v>
      </c>
      <c r="V19" s="27">
        <f t="shared" si="7"/>
        <v>2729.6832812393609</v>
      </c>
      <c r="W19" s="27">
        <f t="shared" si="7"/>
        <v>2577.3684097740029</v>
      </c>
      <c r="X19" s="27">
        <f t="shared" si="7"/>
        <v>2434.8774298357143</v>
      </c>
      <c r="Y19" s="27">
        <f t="shared" si="7"/>
        <v>2301.4928471109215</v>
      </c>
    </row>
    <row r="20" spans="1:25" x14ac:dyDescent="0.25">
      <c r="A20" s="21">
        <v>8</v>
      </c>
      <c r="B20" s="22">
        <f>B$2*'Cost Distribution By Year'!C27</f>
        <v>21.906668187347925</v>
      </c>
      <c r="C20" s="25">
        <f t="shared" si="12"/>
        <v>4.2759823978244462</v>
      </c>
      <c r="D20" s="23">
        <f>FishHarvestTimeTrends!AC29*((1+OriginalBCACalculations!D$10)^MIN(OriginalBCACalculations!$A20,20))</f>
        <v>-0.31754299951791759</v>
      </c>
      <c r="E20" s="23">
        <f>FishHarvestTimeTrends!AD29*((1+OriginalBCACalculations!E$10)^MIN(OriginalBCACalculations!$A20,20))</f>
        <v>-8.534578261212164E-2</v>
      </c>
      <c r="F20" s="23">
        <f>2*(B6/10)</f>
        <v>1.1400000000000001</v>
      </c>
      <c r="G20" s="27">
        <f t="shared" si="8"/>
        <v>3481.561129536215</v>
      </c>
      <c r="H20" s="22">
        <f>B$8</f>
        <v>2.8000000000000001E-2</v>
      </c>
      <c r="I20" s="22"/>
      <c r="J20" s="41">
        <f t="shared" si="9"/>
        <v>13.642371959222304</v>
      </c>
      <c r="K20" s="41">
        <f t="shared" si="6"/>
        <v>2.6628669345482288</v>
      </c>
      <c r="L20" s="41">
        <f t="shared" si="6"/>
        <v>-0.19774982098704202</v>
      </c>
      <c r="M20" s="41">
        <f t="shared" si="6"/>
        <v>-5.3149064092637179E-2</v>
      </c>
      <c r="N20" s="41">
        <f t="shared" si="6"/>
        <v>0.70993470574843398</v>
      </c>
      <c r="O20" s="41">
        <f>(G20/((1+$M$9)^($A20-1)))</f>
        <v>2168.1412947741032</v>
      </c>
      <c r="P20" s="41">
        <f t="shared" ref="P20:P83" si="13">H20/((1+$M$9)^($A20-1))</f>
        <v>1.7436992772768552E-2</v>
      </c>
      <c r="R20" s="27">
        <f t="shared" si="11"/>
        <v>3456.1435901689124</v>
      </c>
      <c r="S20" s="27">
        <f t="shared" si="7"/>
        <v>3223.6075262108834</v>
      </c>
      <c r="T20" s="27">
        <f t="shared" si="7"/>
        <v>3008.780981172782</v>
      </c>
      <c r="U20" s="27">
        <f t="shared" si="7"/>
        <v>2810.1610151500854</v>
      </c>
      <c r="V20" s="27">
        <f t="shared" si="7"/>
        <v>2626.3850791534878</v>
      </c>
      <c r="W20" s="27">
        <f t="shared" si="7"/>
        <v>2456.2167237819358</v>
      </c>
      <c r="X20" s="27">
        <f t="shared" si="7"/>
        <v>2298.5328803420748</v>
      </c>
      <c r="Y20" s="27">
        <f t="shared" si="7"/>
        <v>2152.3125286937743</v>
      </c>
    </row>
    <row r="21" spans="1:25" x14ac:dyDescent="0.25">
      <c r="A21" s="21">
        <v>9</v>
      </c>
      <c r="B21" s="22">
        <f>B$2*'Cost Distribution By Year'!C28</f>
        <v>1.6797445255474448</v>
      </c>
      <c r="C21" s="25">
        <f t="shared" si="12"/>
        <v>4.3615020457809353</v>
      </c>
      <c r="D21" s="23">
        <f>FishHarvestTimeTrends!AC30*((1+OriginalBCACalculations!D$10)^MIN(OriginalBCACalculations!$A21,20))</f>
        <v>-0.24394231149703147</v>
      </c>
      <c r="E21" s="23">
        <f>FishHarvestTimeTrends!AD30*((1+OriginalBCACalculations!E$10)^MIN(OriginalBCACalculations!$A21,20))</f>
        <v>-7.2090804198112118E-2</v>
      </c>
      <c r="F21" s="23">
        <f>3*(B6/10)</f>
        <v>1.7100000000000002</v>
      </c>
      <c r="G21" s="27">
        <f t="shared" si="8"/>
        <v>3483.3019101009832</v>
      </c>
      <c r="H21" s="22">
        <f t="shared" ref="H21:H84" si="14">B$8</f>
        <v>2.8000000000000001E-2</v>
      </c>
      <c r="I21" s="22"/>
      <c r="J21" s="41">
        <f t="shared" si="9"/>
        <v>0.97762660721189365</v>
      </c>
      <c r="K21" s="41">
        <f t="shared" si="6"/>
        <v>2.5384339002235454</v>
      </c>
      <c r="L21" s="41">
        <f t="shared" si="6"/>
        <v>-0.14197664627991297</v>
      </c>
      <c r="M21" s="41">
        <f t="shared" si="6"/>
        <v>-4.1957504398716747E-2</v>
      </c>
      <c r="N21" s="41">
        <f t="shared" si="6"/>
        <v>0.99523556880621589</v>
      </c>
      <c r="O21" s="41">
        <f>G21/((1+$M$9)^($A21-1))</f>
        <v>2027.3134256275612</v>
      </c>
      <c r="P21" s="41">
        <f t="shared" si="13"/>
        <v>1.6296254927821077E-2</v>
      </c>
      <c r="R21" s="27">
        <f t="shared" si="11"/>
        <v>3478.6826304139595</v>
      </c>
      <c r="S21" s="27">
        <f t="shared" si="7"/>
        <v>3212.5050455279293</v>
      </c>
      <c r="T21" s="27">
        <f t="shared" si="7"/>
        <v>2969.0221294846042</v>
      </c>
      <c r="U21" s="27">
        <f t="shared" si="7"/>
        <v>2746.1041916962718</v>
      </c>
      <c r="V21" s="27">
        <f t="shared" si="7"/>
        <v>2541.8393243540163</v>
      </c>
      <c r="W21" s="27">
        <f t="shared" si="7"/>
        <v>2354.5093322696598</v>
      </c>
      <c r="X21" s="27">
        <f t="shared" si="7"/>
        <v>2182.568518293645</v>
      </c>
      <c r="Y21" s="27">
        <f t="shared" si="7"/>
        <v>2024.6249627931811</v>
      </c>
    </row>
    <row r="22" spans="1:25" x14ac:dyDescent="0.25">
      <c r="A22" s="21">
        <v>10</v>
      </c>
      <c r="B22" s="22">
        <f>B$2*'Cost Distribution By Year'!C29</f>
        <v>1.6797445255474448</v>
      </c>
      <c r="C22" s="25">
        <f t="shared" si="12"/>
        <v>4.4487320866965536</v>
      </c>
      <c r="D22" s="23">
        <f>FishHarvestTimeTrends!AC31*((1+OriginalBCACalculations!D$10)^MIN(OriginalBCACalculations!$A22,20))</f>
        <v>-0.19428149710205203</v>
      </c>
      <c r="E22" s="23">
        <f>FishHarvestTimeTrends!AD31*((1+OriginalBCACalculations!E$10)^MIN(OriginalBCACalculations!$A22,20))</f>
        <v>-6.6597232335975212E-2</v>
      </c>
      <c r="F22" s="23">
        <f>4*(B6/10)</f>
        <v>2.2800000000000002</v>
      </c>
      <c r="G22" s="27">
        <f t="shared" si="8"/>
        <v>3485.0435610560335</v>
      </c>
      <c r="H22" s="22">
        <f t="shared" si="14"/>
        <v>2.8000000000000001E-2</v>
      </c>
      <c r="I22" s="22"/>
      <c r="J22" s="41">
        <f t="shared" si="9"/>
        <v>0.91366972636625565</v>
      </c>
      <c r="K22" s="41">
        <f t="shared" si="6"/>
        <v>2.419815493671043</v>
      </c>
      <c r="L22" s="41">
        <f t="shared" si="6"/>
        <v>-0.10567626183357047</v>
      </c>
      <c r="M22" s="41">
        <f t="shared" si="6"/>
        <v>-3.6224481830253036E-2</v>
      </c>
      <c r="N22" s="41">
        <f t="shared" si="6"/>
        <v>1.2401689330918575</v>
      </c>
      <c r="O22" s="41">
        <f>G22/((1+$M$9)^($A22-1))</f>
        <v>1895.632787233995</v>
      </c>
      <c r="P22" s="41">
        <f t="shared" si="13"/>
        <v>1.5230144792356145E-2</v>
      </c>
      <c r="R22" s="27">
        <f t="shared" si="11"/>
        <v>3480.9622057143511</v>
      </c>
      <c r="S22" s="27">
        <f t="shared" si="7"/>
        <v>3182.7823713586395</v>
      </c>
      <c r="T22" s="27">
        <f t="shared" si="7"/>
        <v>2912.7134559351875</v>
      </c>
      <c r="U22" s="27">
        <f t="shared" si="7"/>
        <v>2667.867679115257</v>
      </c>
      <c r="V22" s="27">
        <f t="shared" si="7"/>
        <v>2445.6778727861315</v>
      </c>
      <c r="W22" s="27">
        <f t="shared" si="7"/>
        <v>2243.8592748206411</v>
      </c>
      <c r="X22" s="27">
        <f t="shared" si="7"/>
        <v>2060.3761811684112</v>
      </c>
      <c r="Y22" s="27">
        <f t="shared" si="7"/>
        <v>1893.4128003481778</v>
      </c>
    </row>
    <row r="23" spans="1:25" x14ac:dyDescent="0.25">
      <c r="A23" s="21">
        <v>11</v>
      </c>
      <c r="B23" s="22">
        <f>B$2*'Cost Distribution By Year'!C30</f>
        <v>0.65989963503649618</v>
      </c>
      <c r="C23" s="25">
        <f t="shared" si="12"/>
        <v>4.5377067284304848</v>
      </c>
      <c r="D23" s="23">
        <f>FishHarvestTimeTrends!AC32*((1+OriginalBCACalculations!D$10)^MIN(OriginalBCACalculations!$A23,20))</f>
        <v>8.6167725856419811E-3</v>
      </c>
      <c r="E23" s="23">
        <f>FishHarvestTimeTrends!AD32*((1+OriginalBCACalculations!E$10)^MIN(OriginalBCACalculations!$A23,20))</f>
        <v>-3.3324567397867599E-2</v>
      </c>
      <c r="F23" s="23">
        <f>5*(B6/10)</f>
        <v>2.8500000000000005</v>
      </c>
      <c r="H23" s="22">
        <f t="shared" si="14"/>
        <v>2.8000000000000001E-2</v>
      </c>
      <c r="I23" s="22"/>
      <c r="J23" s="41">
        <f t="shared" si="9"/>
        <v>0.33545951235076144</v>
      </c>
      <c r="K23" s="41">
        <f t="shared" si="6"/>
        <v>2.3067400033125831</v>
      </c>
      <c r="L23" s="41">
        <f t="shared" si="6"/>
        <v>4.3803302443969428E-3</v>
      </c>
      <c r="M23" s="41">
        <f t="shared" si="6"/>
        <v>-1.694052024740169E-2</v>
      </c>
      <c r="N23" s="41">
        <f t="shared" si="6"/>
        <v>1.448795482583946</v>
      </c>
      <c r="O23" s="67"/>
      <c r="P23" s="41">
        <f t="shared" si="13"/>
        <v>1.4233780179772098E-2</v>
      </c>
      <c r="R23" s="27">
        <f t="shared" si="11"/>
        <v>-2.3443141582792064</v>
      </c>
      <c r="S23" s="27">
        <f t="shared" si="7"/>
        <v>-2.1222770251922269</v>
      </c>
      <c r="T23" s="27">
        <f t="shared" si="7"/>
        <v>-1.9231541341176026</v>
      </c>
      <c r="U23" s="27">
        <f t="shared" si="7"/>
        <v>-1.7443898997817957</v>
      </c>
      <c r="V23" s="27">
        <f t="shared" si="7"/>
        <v>-1.5837346458044437</v>
      </c>
      <c r="W23" s="27">
        <f t="shared" si="7"/>
        <v>-1.4392055322308541</v>
      </c>
      <c r="X23" s="27">
        <f t="shared" si="7"/>
        <v>-1.3090527814312698</v>
      </c>
      <c r="Y23" s="27">
        <f t="shared" si="7"/>
        <v>-1.1917304429026314</v>
      </c>
    </row>
    <row r="24" spans="1:25" x14ac:dyDescent="0.25">
      <c r="A24" s="21">
        <v>12</v>
      </c>
      <c r="B24" s="22">
        <f>B$2*'Cost Distribution By Year'!C31</f>
        <v>0.6499011557177613</v>
      </c>
      <c r="C24" s="25">
        <f t="shared" si="12"/>
        <v>4.6284608629990949</v>
      </c>
      <c r="D24" s="23">
        <f>FishHarvestTimeTrends!AC33*((1+OriginalBCACalculations!D$10)^MIN(OriginalBCACalculations!$A24,20))</f>
        <v>0.21183980384499437</v>
      </c>
      <c r="E24" s="23">
        <f>FishHarvestTimeTrends!AD33*((1+OriginalBCACalculations!E$10)^MIN(OriginalBCACalculations!$A24,20))</f>
        <v>-1.8613145513795979E-5</v>
      </c>
      <c r="F24" s="23">
        <f>6*(B6/10)</f>
        <v>3.4200000000000004</v>
      </c>
      <c r="H24" s="22">
        <f t="shared" si="14"/>
        <v>2.8000000000000001E-2</v>
      </c>
      <c r="I24" s="22"/>
      <c r="J24" s="41">
        <f t="shared" si="9"/>
        <v>0.30876335744547562</v>
      </c>
      <c r="K24" s="41">
        <f t="shared" si="6"/>
        <v>2.1989484143727425</v>
      </c>
      <c r="L24" s="41">
        <f t="shared" si="6"/>
        <v>0.10064356479491621</v>
      </c>
      <c r="M24" s="41">
        <f t="shared" si="6"/>
        <v>-8.8429713517183956E-6</v>
      </c>
      <c r="N24" s="41">
        <f t="shared" si="6"/>
        <v>1.6248173636455465</v>
      </c>
      <c r="O24" s="67"/>
      <c r="P24" s="41">
        <f t="shared" si="13"/>
        <v>1.3302598298852426E-2</v>
      </c>
      <c r="R24" s="27">
        <f t="shared" si="11"/>
        <v>-1.618540828017375</v>
      </c>
      <c r="S24" s="27">
        <f t="shared" si="7"/>
        <v>-1.4507365319228802</v>
      </c>
      <c r="T24" s="27">
        <f t="shared" si="7"/>
        <v>-1.3017325652378235</v>
      </c>
      <c r="U24" s="27">
        <f t="shared" si="7"/>
        <v>-1.1692683312035299</v>
      </c>
      <c r="V24" s="27">
        <f t="shared" si="7"/>
        <v>-1.0513732588367093</v>
      </c>
      <c r="W24" s="27">
        <f t="shared" si="7"/>
        <v>-0.94632730068257254</v>
      </c>
      <c r="X24" s="27">
        <f t="shared" si="7"/>
        <v>-0.85262711753657749</v>
      </c>
      <c r="Y24" s="27">
        <f t="shared" si="7"/>
        <v>-0.76895708805025464</v>
      </c>
    </row>
    <row r="25" spans="1:25" x14ac:dyDescent="0.25">
      <c r="A25" s="21">
        <v>13</v>
      </c>
      <c r="B25" s="22">
        <f>B$2*'Cost Distribution By Year'!C32</f>
        <v>0.3599452554744525</v>
      </c>
      <c r="C25" s="25">
        <f t="shared" si="12"/>
        <v>4.7210300802590766</v>
      </c>
      <c r="D25" s="23">
        <f>FishHarvestTimeTrends!AC34*((1+OriginalBCACalculations!D$10)^MIN(OriginalBCACalculations!$A25,20))</f>
        <v>0.41538798643962715</v>
      </c>
      <c r="E25" s="23">
        <f>FishHarvestTimeTrends!AD34*((1+OriginalBCACalculations!E$10)^MIN(OriginalBCACalculations!$A25,20))</f>
        <v>3.3320655392234194E-2</v>
      </c>
      <c r="F25" s="23">
        <f>7*(B6/10)</f>
        <v>3.99</v>
      </c>
      <c r="H25" s="22">
        <f t="shared" si="14"/>
        <v>2.8000000000000001E-2</v>
      </c>
      <c r="I25" s="22"/>
      <c r="J25" s="41">
        <f t="shared" si="9"/>
        <v>0.15981999810261865</v>
      </c>
      <c r="K25" s="41">
        <f t="shared" si="6"/>
        <v>2.0961938155702784</v>
      </c>
      <c r="L25" s="41">
        <f t="shared" si="6"/>
        <v>0.18443723370412282</v>
      </c>
      <c r="M25" s="41">
        <f t="shared" si="6"/>
        <v>1.4794769483891275E-2</v>
      </c>
      <c r="N25" s="41">
        <f t="shared" si="6"/>
        <v>1.7716077173705338</v>
      </c>
      <c r="O25" s="67"/>
      <c r="P25" s="41">
        <f t="shared" si="13"/>
        <v>1.2432334858740589E-2</v>
      </c>
      <c r="R25" s="27">
        <f t="shared" si="11"/>
        <v>-0.61426669390166833</v>
      </c>
      <c r="S25" s="27">
        <f t="shared" si="7"/>
        <v>-0.54513050160922283</v>
      </c>
      <c r="T25" s="27">
        <f t="shared" si="7"/>
        <v>-0.48434509612857174</v>
      </c>
      <c r="U25" s="27">
        <f t="shared" si="7"/>
        <v>-0.4308343001752859</v>
      </c>
      <c r="V25" s="27">
        <f t="shared" si="7"/>
        <v>-0.38366916466628304</v>
      </c>
      <c r="W25" s="27">
        <f t="shared" si="7"/>
        <v>-0.34204667990467025</v>
      </c>
      <c r="X25" s="27">
        <f t="shared" si="7"/>
        <v>-0.30527172793486029</v>
      </c>
      <c r="Y25" s="27">
        <f t="shared" si="7"/>
        <v>-0.27274175825560876</v>
      </c>
    </row>
    <row r="26" spans="1:25" x14ac:dyDescent="0.25">
      <c r="A26" s="21">
        <v>14</v>
      </c>
      <c r="B26" s="22">
        <f>B$2*'Cost Distribution By Year'!C33</f>
        <v>0.32994981751824815</v>
      </c>
      <c r="C26" s="25">
        <f t="shared" si="12"/>
        <v>4.8154506818642577</v>
      </c>
      <c r="D26" s="23">
        <f>FishHarvestTimeTrends!AC35*((1+OriginalBCACalculations!D$10)^MIN(OriginalBCACalculations!$A26,20))</f>
        <v>0.61926171054893731</v>
      </c>
      <c r="E26" s="23">
        <f>FishHarvestTimeTrends!AD35*((1+OriginalBCACalculations!E$10)^MIN(OriginalBCACalculations!$A26,20))</f>
        <v>6.6693263203173231E-2</v>
      </c>
      <c r="F26" s="23">
        <f>8*(B6/10)</f>
        <v>4.5600000000000005</v>
      </c>
      <c r="H26" s="22">
        <f t="shared" si="14"/>
        <v>2.8000000000000001E-2</v>
      </c>
      <c r="I26" s="22"/>
      <c r="J26" s="41">
        <f t="shared" si="9"/>
        <v>0.13691744385738358</v>
      </c>
      <c r="K26" s="41">
        <f t="shared" si="6"/>
        <v>1.9982408335342836</v>
      </c>
      <c r="L26" s="41">
        <f t="shared" si="6"/>
        <v>0.25697159381645118</v>
      </c>
      <c r="M26" s="41">
        <f t="shared" si="6"/>
        <v>2.76753331429897E-2</v>
      </c>
      <c r="N26" s="41">
        <f t="shared" si="6"/>
        <v>1.8922378823717316</v>
      </c>
      <c r="O26" s="67"/>
      <c r="P26" s="41">
        <f t="shared" si="13"/>
        <v>1.1619004540879054E-2</v>
      </c>
      <c r="R26" s="27">
        <f t="shared" si="11"/>
        <v>0.12855447436960521</v>
      </c>
      <c r="S26" s="27">
        <f t="shared" si="7"/>
        <v>0.11295600859769821</v>
      </c>
      <c r="T26" s="27">
        <f t="shared" si="7"/>
        <v>9.9376789932275167E-2</v>
      </c>
      <c r="U26" s="27">
        <f t="shared" si="7"/>
        <v>8.7539341584101316E-2</v>
      </c>
      <c r="V26" s="27">
        <f t="shared" si="7"/>
        <v>7.7206485963049534E-2</v>
      </c>
      <c r="W26" s="27">
        <f t="shared" si="7"/>
        <v>6.8175182479184956E-2</v>
      </c>
      <c r="X26" s="27">
        <f t="shared" si="7"/>
        <v>6.0271354068338223E-2</v>
      </c>
      <c r="Y26" s="27">
        <f t="shared" si="7"/>
        <v>5.3345536480384384E-2</v>
      </c>
    </row>
    <row r="27" spans="1:25" x14ac:dyDescent="0.25">
      <c r="A27" s="21">
        <v>15</v>
      </c>
      <c r="B27" s="22">
        <f>B$2*'Cost Distribution By Year'!C34</f>
        <v>0.26995894160583939</v>
      </c>
      <c r="C27" s="25">
        <f t="shared" si="12"/>
        <v>4.9117596955015426</v>
      </c>
      <c r="D27" s="23">
        <f>FishHarvestTimeTrends!AC36*((1+OriginalBCACalculations!D$10)^MIN(OriginalBCACalculations!$A27,20))</f>
        <v>0.82346136676851034</v>
      </c>
      <c r="E27" s="23">
        <f>FishHarvestTimeTrends!AD36*((1+OriginalBCACalculations!E$10)^MIN(OriginalBCACalculations!$A27,20))</f>
        <v>0.10009923529175935</v>
      </c>
      <c r="F27" s="23">
        <f>9*(B6/10)</f>
        <v>5.1300000000000008</v>
      </c>
      <c r="H27" s="22">
        <f t="shared" si="14"/>
        <v>2.8000000000000001E-2</v>
      </c>
      <c r="I27" s="22"/>
      <c r="J27" s="41">
        <f t="shared" si="9"/>
        <v>0.10469473192153375</v>
      </c>
      <c r="K27" s="41">
        <f t="shared" si="6"/>
        <v>1.9048650936495042</v>
      </c>
      <c r="L27" s="41">
        <f t="shared" si="6"/>
        <v>0.31935251534451914</v>
      </c>
      <c r="M27" s="41">
        <f t="shared" si="6"/>
        <v>3.8820209258794147E-2</v>
      </c>
      <c r="N27" s="41">
        <f t="shared" si="6"/>
        <v>1.9895024464188771</v>
      </c>
      <c r="O27" s="67"/>
      <c r="P27" s="41">
        <f t="shared" si="13"/>
        <v>1.0858882748485097E-2</v>
      </c>
      <c r="R27" s="27">
        <f t="shared" si="11"/>
        <v>0.89984196495288771</v>
      </c>
      <c r="S27" s="27">
        <f t="shared" si="7"/>
        <v>0.78282918798011336</v>
      </c>
      <c r="T27" s="27">
        <f t="shared" si="7"/>
        <v>0.68196775131424447</v>
      </c>
      <c r="U27" s="27">
        <f t="shared" si="7"/>
        <v>0.59490154545316798</v>
      </c>
      <c r="V27" s="27">
        <f t="shared" si="7"/>
        <v>0.51963631323770532</v>
      </c>
      <c r="W27" s="27">
        <f t="shared" si="7"/>
        <v>0.45448133925822043</v>
      </c>
      <c r="X27" s="27">
        <f t="shared" si="7"/>
        <v>0.39800096888796205</v>
      </c>
      <c r="Y27" s="27">
        <f t="shared" si="7"/>
        <v>0.34897422819963725</v>
      </c>
    </row>
    <row r="28" spans="1:25" x14ac:dyDescent="0.25">
      <c r="A28" s="21">
        <v>16</v>
      </c>
      <c r="B28" s="22">
        <f>B$2*'Cost Distribution By Year'!C35</f>
        <v>0.25996046228710451</v>
      </c>
      <c r="C28" s="25">
        <f t="shared" si="12"/>
        <v>5.0099948894115736</v>
      </c>
      <c r="D28" s="23">
        <f>FishHarvestTimeTrends!AC37*((1+OriginalBCACalculations!D$10)^MIN(OriginalBCACalculations!$A28,20))</f>
        <v>0.96530840130180551</v>
      </c>
      <c r="E28" s="23">
        <f>FishHarvestTimeTrends!AD37*((1+OriginalBCACalculations!E$10)^MIN(OriginalBCACalculations!$A28,20))</f>
        <v>0.12312041225906903</v>
      </c>
      <c r="F28" s="23">
        <f>10*(B6/10)</f>
        <v>5.7000000000000011</v>
      </c>
      <c r="H28" s="22">
        <f t="shared" si="14"/>
        <v>2.8000000000000001E-2</v>
      </c>
      <c r="I28" s="22"/>
      <c r="J28" s="41">
        <f t="shared" si="9"/>
        <v>9.4221634820348787E-2</v>
      </c>
      <c r="K28" s="41">
        <f t="shared" si="6"/>
        <v>1.8158527060957887</v>
      </c>
      <c r="L28" s="41">
        <f t="shared" si="6"/>
        <v>0.34987218777916901</v>
      </c>
      <c r="M28" s="41">
        <f t="shared" si="6"/>
        <v>4.4624503360025956E-2</v>
      </c>
      <c r="N28" s="41">
        <f t="shared" si="6"/>
        <v>2.0659423119614506</v>
      </c>
      <c r="O28" s="67"/>
      <c r="P28" s="41">
        <f t="shared" si="13"/>
        <v>1.0148488549986071E-2</v>
      </c>
      <c r="R28" s="27">
        <f t="shared" si="11"/>
        <v>1.5464734618621971</v>
      </c>
      <c r="S28" s="27">
        <f t="shared" si="7"/>
        <v>1.3320541042110288</v>
      </c>
      <c r="T28" s="27">
        <f t="shared" si="7"/>
        <v>1.1490525616999512</v>
      </c>
      <c r="U28" s="27">
        <f t="shared" si="7"/>
        <v>0.99262246782821351</v>
      </c>
      <c r="V28" s="27">
        <f t="shared" si="7"/>
        <v>0.85870181776018939</v>
      </c>
      <c r="W28" s="27">
        <f t="shared" si="7"/>
        <v>0.74388017689965069</v>
      </c>
      <c r="X28" s="27">
        <f t="shared" si="7"/>
        <v>0.64528934298983098</v>
      </c>
      <c r="Y28" s="27">
        <f t="shared" si="7"/>
        <v>0.56051315073449381</v>
      </c>
    </row>
    <row r="29" spans="1:25" x14ac:dyDescent="0.25">
      <c r="A29" s="21">
        <v>17</v>
      </c>
      <c r="B29" s="22">
        <f>B$2*'Cost Distribution By Year'!C36</f>
        <v>0.11998175182481749</v>
      </c>
      <c r="C29" s="25">
        <f t="shared" si="12"/>
        <v>5.1101947871998048</v>
      </c>
      <c r="D29" s="23">
        <f>FishHarvestTimeTrends!AC38*((1+OriginalBCACalculations!D$10)^MIN(OriginalBCACalculations!$A29,20))</f>
        <v>1.1073818640750788</v>
      </c>
      <c r="E29" s="23">
        <f>FishHarvestTimeTrends!AD38*((1+OriginalBCACalculations!E$10)^MIN(OriginalBCACalculations!$A29,20))</f>
        <v>0.14616458537853716</v>
      </c>
      <c r="F29" s="23">
        <f t="shared" ref="F29:F33" si="15">F28*(1+F$10)</f>
        <v>5.7028500000000006</v>
      </c>
      <c r="H29" s="22">
        <f t="shared" si="14"/>
        <v>2.8000000000000001E-2</v>
      </c>
      <c r="I29" s="22"/>
      <c r="J29" s="41">
        <f t="shared" si="9"/>
        <v>4.0641970447310778E-2</v>
      </c>
      <c r="K29" s="41">
        <f t="shared" si="6"/>
        <v>1.7309997759043969</v>
      </c>
      <c r="L29" s="41">
        <f t="shared" si="6"/>
        <v>0.37510855033471863</v>
      </c>
      <c r="M29" s="41">
        <f t="shared" si="6"/>
        <v>4.9511002040305271E-2</v>
      </c>
      <c r="N29" s="41">
        <f t="shared" si="6"/>
        <v>1.9317526010443284</v>
      </c>
      <c r="O29" s="67"/>
      <c r="P29" s="41">
        <f t="shared" si="13"/>
        <v>9.4845687383047408E-3</v>
      </c>
      <c r="R29" s="27">
        <f t="shared" si="11"/>
        <v>1.7542199104289935</v>
      </c>
      <c r="S29" s="27">
        <f t="shared" si="11"/>
        <v>1.4960360381995041</v>
      </c>
      <c r="T29" s="27">
        <f t="shared" si="11"/>
        <v>1.2778541500861598</v>
      </c>
      <c r="U29" s="27">
        <f t="shared" si="11"/>
        <v>1.093171852301019</v>
      </c>
      <c r="V29" s="27">
        <f t="shared" si="11"/>
        <v>0.93659235212892344</v>
      </c>
      <c r="W29" s="27">
        <f t="shared" si="11"/>
        <v>0.80362835307424396</v>
      </c>
      <c r="X29" s="27">
        <f t="shared" si="11"/>
        <v>0.69054214855532858</v>
      </c>
      <c r="Y29" s="27">
        <f t="shared" si="11"/>
        <v>0.59421497580594906</v>
      </c>
    </row>
    <row r="30" spans="1:25" x14ac:dyDescent="0.25">
      <c r="A30" s="21">
        <v>18</v>
      </c>
      <c r="B30" s="22">
        <f>B$2*'Cost Distribution By Year'!C37</f>
        <v>0.11998175182481749</v>
      </c>
      <c r="C30" s="25">
        <f t="shared" si="12"/>
        <v>5.2123986829438014</v>
      </c>
      <c r="D30" s="23">
        <f>FishHarvestTimeTrends!AC39*((1+OriginalBCACalculations!D$10)^MIN(OriginalBCACalculations!$A30,20))</f>
        <v>1.2496820265914128</v>
      </c>
      <c r="E30" s="23">
        <f>FishHarvestTimeTrends!AD39*((1+OriginalBCACalculations!E$10)^MIN(OriginalBCACalculations!$A30,20))</f>
        <v>0.1692317718910217</v>
      </c>
      <c r="F30" s="23">
        <f t="shared" si="15"/>
        <v>5.705701425</v>
      </c>
      <c r="H30" s="22">
        <f t="shared" si="14"/>
        <v>2.8000000000000001E-2</v>
      </c>
      <c r="I30" s="22"/>
      <c r="J30" s="41">
        <f t="shared" si="9"/>
        <v>3.798314995075773E-2</v>
      </c>
      <c r="K30" s="41">
        <f t="shared" si="6"/>
        <v>1.6501119359088645</v>
      </c>
      <c r="L30" s="41">
        <f t="shared" si="6"/>
        <v>0.39561732584213039</v>
      </c>
      <c r="M30" s="41">
        <f t="shared" si="6"/>
        <v>5.3574445033561527E-2</v>
      </c>
      <c r="N30" s="41">
        <f t="shared" si="6"/>
        <v>1.8062789507895798</v>
      </c>
      <c r="O30" s="67"/>
      <c r="P30" s="41">
        <f t="shared" si="13"/>
        <v>8.8640829329950845E-3</v>
      </c>
      <c r="R30" s="27">
        <f t="shared" ref="R30:Y45" si="16">(SUM($D30:$H30)-SUM($B30:$C30))/((1+R$10)^($A30-1))</f>
        <v>1.8202347887138153</v>
      </c>
      <c r="S30" s="27">
        <f t="shared" si="16"/>
        <v>1.5369652772502596</v>
      </c>
      <c r="T30" s="27">
        <f t="shared" si="16"/>
        <v>1.2999435409956792</v>
      </c>
      <c r="U30" s="27">
        <f t="shared" si="16"/>
        <v>1.1012719824706405</v>
      </c>
      <c r="V30" s="27">
        <f t="shared" si="16"/>
        <v>0.9344598416943225</v>
      </c>
      <c r="W30" s="27">
        <f t="shared" si="16"/>
        <v>0.79416240898988633</v>
      </c>
      <c r="X30" s="27">
        <f t="shared" si="16"/>
        <v>0.67597043402066015</v>
      </c>
      <c r="Y30" s="27">
        <f t="shared" si="16"/>
        <v>0.57623971873864444</v>
      </c>
    </row>
    <row r="31" spans="1:25" x14ac:dyDescent="0.25">
      <c r="A31" s="21">
        <v>19</v>
      </c>
      <c r="B31" s="22">
        <f>B$2*'Cost Distribution By Year'!C38</f>
        <v>9.9984793187347903E-2</v>
      </c>
      <c r="C31" s="25">
        <f t="shared" si="12"/>
        <v>5.3166466566026775</v>
      </c>
      <c r="D31" s="23">
        <f>FishHarvestTimeTrends!AC40*((1+OriginalBCACalculations!D$10)^MIN(OriginalBCACalculations!$A31,20))</f>
        <v>1.39220916064338</v>
      </c>
      <c r="E31" s="23">
        <f>FishHarvestTimeTrends!AD40*((1+OriginalBCACalculations!E$10)^MIN(OriginalBCACalculations!$A31,20))</f>
        <v>0.19232198904887243</v>
      </c>
      <c r="F31" s="23">
        <f t="shared" si="15"/>
        <v>5.7085542757124994</v>
      </c>
      <c r="H31" s="22">
        <f t="shared" si="14"/>
        <v>2.8000000000000001E-2</v>
      </c>
      <c r="I31" s="22"/>
      <c r="J31" s="41">
        <f t="shared" si="9"/>
        <v>2.9581892485013809E-2</v>
      </c>
      <c r="K31" s="41">
        <f t="shared" si="6"/>
        <v>1.5730039015205999</v>
      </c>
      <c r="L31" s="41">
        <f t="shared" si="6"/>
        <v>0.41190445460675551</v>
      </c>
      <c r="M31" s="41">
        <f t="shared" si="6"/>
        <v>5.690113687475893E-2</v>
      </c>
      <c r="N31" s="41">
        <f t="shared" si="6"/>
        <v>1.688955224546705</v>
      </c>
      <c r="O31" s="67"/>
      <c r="P31" s="41">
        <f t="shared" si="13"/>
        <v>8.2841896570047518E-3</v>
      </c>
      <c r="R31" s="27">
        <f t="shared" si="16"/>
        <v>1.9044539756147261</v>
      </c>
      <c r="S31" s="27">
        <f t="shared" si="16"/>
        <v>1.5921564976939382</v>
      </c>
      <c r="T31" s="27">
        <f t="shared" si="16"/>
        <v>1.333421305217203</v>
      </c>
      <c r="U31" s="27">
        <f t="shared" si="16"/>
        <v>1.1186659957294818</v>
      </c>
      <c r="V31" s="27">
        <f t="shared" si="16"/>
        <v>0.94009203753523063</v>
      </c>
      <c r="W31" s="27">
        <f t="shared" si="16"/>
        <v>0.79133996311241273</v>
      </c>
      <c r="X31" s="27">
        <f t="shared" si="16"/>
        <v>0.66721362584794841</v>
      </c>
      <c r="Y31" s="27">
        <f t="shared" si="16"/>
        <v>0.56345921167961044</v>
      </c>
    </row>
    <row r="32" spans="1:25" x14ac:dyDescent="0.25">
      <c r="A32" s="21">
        <v>20</v>
      </c>
      <c r="C32" s="25">
        <f t="shared" si="12"/>
        <v>5.422979589734731</v>
      </c>
      <c r="D32" s="23">
        <f>FishHarvestTimeTrends!AC41*((1+OriginalBCACalculations!D$10)^MIN(OriginalBCACalculations!$A32,20))</f>
        <v>1.5349635383133331</v>
      </c>
      <c r="E32" s="23">
        <f>FishHarvestTimeTrends!AD41*((1+OriginalBCACalculations!E$10)^MIN(OriginalBCACalculations!$A32,20))</f>
        <v>0.215435254115938</v>
      </c>
      <c r="F32" s="23">
        <f t="shared" si="15"/>
        <v>5.7114085528503553</v>
      </c>
      <c r="H32" s="22">
        <f t="shared" si="14"/>
        <v>2.8000000000000001E-2</v>
      </c>
      <c r="I32" s="22"/>
      <c r="J32" s="41"/>
      <c r="K32" s="41">
        <f t="shared" si="6"/>
        <v>1.4994990463093567</v>
      </c>
      <c r="L32" s="41">
        <f>D44/((1+$M$9)^($A32-1))</f>
        <v>0.50321126939901983</v>
      </c>
      <c r="M32" s="41">
        <f>E44/((1+$M$9)^($A32-1))</f>
        <v>7.1947721141549875E-2</v>
      </c>
      <c r="N32" s="41">
        <f t="shared" si="6"/>
        <v>1.5792520580925029</v>
      </c>
      <c r="O32" s="67"/>
      <c r="P32" s="41">
        <f t="shared" si="13"/>
        <v>7.7422333243035062E-3</v>
      </c>
      <c r="R32" s="27">
        <f t="shared" ref="R32:Y43" si="17">(SUM($D32:$H32)-SUM($B32:$C32))/((1+R$10)^($A32-1))</f>
        <v>2.0668277555448951</v>
      </c>
      <c r="S32" s="27">
        <f t="shared" si="17"/>
        <v>1.710795830778427</v>
      </c>
      <c r="T32" s="27">
        <f t="shared" si="17"/>
        <v>1.4187341465528587</v>
      </c>
      <c r="U32" s="27">
        <f t="shared" si="17"/>
        <v>1.1786829888143069</v>
      </c>
      <c r="V32" s="27">
        <f t="shared" si="17"/>
        <v>0.98100413598429348</v>
      </c>
      <c r="W32" s="27">
        <f t="shared" si="17"/>
        <v>0.81791392617362391</v>
      </c>
      <c r="X32" s="27">
        <f t="shared" si="17"/>
        <v>0.68311346366854986</v>
      </c>
      <c r="Y32" s="27">
        <f t="shared" si="17"/>
        <v>0.57149509730625381</v>
      </c>
    </row>
    <row r="33" spans="1:25" x14ac:dyDescent="0.25">
      <c r="A33" s="21">
        <v>21</v>
      </c>
      <c r="C33" s="25">
        <f>C32</f>
        <v>5.422979589734731</v>
      </c>
      <c r="D33" s="23">
        <f>FishHarvestTimeTrends!AC42*((1+OriginalBCACalculations!D$10)^MIN(OriginalBCACalculations!$A33,20))</f>
        <v>1.5772550471010494</v>
      </c>
      <c r="E33" s="23">
        <f>FishHarvestTimeTrends!AD42*((1+OriginalBCACalculations!E$10)^MIN(OriginalBCACalculations!$A33,20))</f>
        <v>0.22230750690404252</v>
      </c>
      <c r="F33" s="23">
        <f t="shared" si="15"/>
        <v>5.7142642571267803</v>
      </c>
      <c r="H33" s="22">
        <f t="shared" si="14"/>
        <v>2.8000000000000001E-2</v>
      </c>
      <c r="I33" s="22"/>
      <c r="J33" s="41"/>
      <c r="K33" s="41">
        <f t="shared" si="6"/>
        <v>1.401400977859212</v>
      </c>
      <c r="L33" s="41">
        <f t="shared" ref="L33:M43" si="18">D45/((1+$M$9)^($A33-1))</f>
        <v>0.47088791004911379</v>
      </c>
      <c r="M33" s="41">
        <f t="shared" si="18"/>
        <v>6.7327269064336615E-2</v>
      </c>
      <c r="N33" s="41">
        <f t="shared" si="6"/>
        <v>1.4766744711416349</v>
      </c>
      <c r="O33" s="67"/>
      <c r="P33" s="41">
        <f t="shared" si="13"/>
        <v>7.2357320787883239E-3</v>
      </c>
      <c r="R33" s="27">
        <f t="shared" si="17"/>
        <v>2.1188472213971412</v>
      </c>
      <c r="S33" s="27">
        <f t="shared" si="17"/>
        <v>1.7364895237855702</v>
      </c>
      <c r="T33" s="27">
        <f t="shared" si="17"/>
        <v>1.4259234392359381</v>
      </c>
      <c r="U33" s="27">
        <f t="shared" si="17"/>
        <v>1.1731543333126824</v>
      </c>
      <c r="V33" s="27">
        <f t="shared" si="17"/>
        <v>0.96701421284053424</v>
      </c>
      <c r="W33" s="27">
        <f t="shared" si="17"/>
        <v>0.79857123355926274</v>
      </c>
      <c r="X33" s="27">
        <f t="shared" si="17"/>
        <v>0.66066657918107419</v>
      </c>
      <c r="Y33" s="27">
        <f t="shared" si="17"/>
        <v>0.54755038606838569</v>
      </c>
    </row>
    <row r="34" spans="1:25" x14ac:dyDescent="0.25">
      <c r="A34" s="21">
        <v>22</v>
      </c>
      <c r="C34" s="25">
        <f t="shared" ref="C34:C97" si="19">C33</f>
        <v>5.422979589734731</v>
      </c>
      <c r="D34" s="23">
        <f>FishHarvestTimeTrends!AC43*((1+OriginalBCACalculations!D$10)^MIN(OriginalBCACalculations!$A34,20))</f>
        <v>1.6195465558887661</v>
      </c>
      <c r="E34" s="23">
        <f>FishHarvestTimeTrends!AD43*((1+OriginalBCACalculations!E$10)^MIN(OriginalBCACalculations!$A34,20))</f>
        <v>0.22917975969214707</v>
      </c>
      <c r="F34" s="23">
        <f t="shared" ref="F34:F85" si="20">F33*(1+F$10)</f>
        <v>5.7171213892553432</v>
      </c>
      <c r="H34" s="22">
        <f t="shared" si="14"/>
        <v>2.8000000000000001E-2</v>
      </c>
      <c r="I34" s="22"/>
      <c r="J34" s="41"/>
      <c r="K34" s="41">
        <f t="shared" si="6"/>
        <v>1.3097205400553382</v>
      </c>
      <c r="L34" s="41">
        <f t="shared" si="18"/>
        <v>0.4406401066521824</v>
      </c>
      <c r="M34" s="41">
        <f t="shared" si="18"/>
        <v>6.3003436681046798E-2</v>
      </c>
      <c r="N34" s="41">
        <f t="shared" si="6"/>
        <v>1.3807596339973882</v>
      </c>
      <c r="O34" s="67"/>
      <c r="P34" s="41">
        <f t="shared" si="13"/>
        <v>6.7623664287741339E-3</v>
      </c>
      <c r="R34" s="27">
        <f t="shared" si="17"/>
        <v>2.1708681151015252</v>
      </c>
      <c r="S34" s="27">
        <f t="shared" si="17"/>
        <v>1.7615078807554481</v>
      </c>
      <c r="T34" s="27">
        <f t="shared" si="17"/>
        <v>1.4322862837467158</v>
      </c>
      <c r="U34" s="27">
        <f t="shared" si="17"/>
        <v>1.1669485833668976</v>
      </c>
      <c r="V34" s="27">
        <f t="shared" si="17"/>
        <v>0.95264987467013451</v>
      </c>
      <c r="W34" s="27">
        <f t="shared" si="17"/>
        <v>0.77921653455818995</v>
      </c>
      <c r="X34" s="27">
        <f t="shared" si="17"/>
        <v>0.63857258465560329</v>
      </c>
      <c r="Y34" s="27">
        <f t="shared" si="17"/>
        <v>0.52429305938781201</v>
      </c>
    </row>
    <row r="35" spans="1:25" x14ac:dyDescent="0.25">
      <c r="A35" s="21">
        <v>23</v>
      </c>
      <c r="C35" s="25">
        <f t="shared" si="19"/>
        <v>5.422979589734731</v>
      </c>
      <c r="D35" s="23">
        <f>FishHarvestTimeTrends!AC44*((1+OriginalBCACalculations!D$10)^MIN(OriginalBCACalculations!$A35,20))</f>
        <v>1.6618380646764821</v>
      </c>
      <c r="E35" s="23">
        <f>FishHarvestTimeTrends!AD44*((1+OriginalBCACalculations!E$10)^MIN(OriginalBCACalculations!$A35,20))</f>
        <v>0.23605201248025157</v>
      </c>
      <c r="F35" s="23">
        <f t="shared" si="20"/>
        <v>5.7199799499499706</v>
      </c>
      <c r="H35" s="22">
        <f t="shared" si="14"/>
        <v>2.8000000000000001E-2</v>
      </c>
      <c r="I35" s="22"/>
      <c r="J35" s="41"/>
      <c r="K35" s="41">
        <f t="shared" si="6"/>
        <v>1.2240378879021854</v>
      </c>
      <c r="L35" s="41">
        <f t="shared" si="18"/>
        <v>0.41233463026164435</v>
      </c>
      <c r="M35" s="41">
        <f t="shared" si="18"/>
        <v>5.8957188779023097E-2</v>
      </c>
      <c r="N35" s="41">
        <f t="shared" si="6"/>
        <v>1.2910747792657822</v>
      </c>
      <c r="O35" s="67"/>
      <c r="P35" s="41">
        <f t="shared" si="13"/>
        <v>6.319968625022555E-3</v>
      </c>
      <c r="R35" s="27">
        <f t="shared" si="17"/>
        <v>2.2228904373719729</v>
      </c>
      <c r="S35" s="27">
        <f t="shared" si="17"/>
        <v>1.7858617450385768</v>
      </c>
      <c r="T35" s="27">
        <f t="shared" si="17"/>
        <v>1.437852307757949</v>
      </c>
      <c r="U35" s="27">
        <f t="shared" si="17"/>
        <v>1.1601098495480433</v>
      </c>
      <c r="V35" s="27">
        <f t="shared" si="17"/>
        <v>0.9379605939832184</v>
      </c>
      <c r="W35" s="27">
        <f t="shared" si="17"/>
        <v>0.75989480945529353</v>
      </c>
      <c r="X35" s="27">
        <f t="shared" si="17"/>
        <v>0.61686342623928114</v>
      </c>
      <c r="Y35" s="27">
        <f t="shared" si="17"/>
        <v>0.50173563646619768</v>
      </c>
    </row>
    <row r="36" spans="1:25" x14ac:dyDescent="0.25">
      <c r="A36" s="21">
        <v>24</v>
      </c>
      <c r="C36" s="25">
        <f t="shared" si="19"/>
        <v>5.422979589734731</v>
      </c>
      <c r="D36" s="23">
        <f>FishHarvestTimeTrends!AC45*((1+OriginalBCACalculations!D$10)^MIN(OriginalBCACalculations!$A36,20))</f>
        <v>1.7041295734641988</v>
      </c>
      <c r="E36" s="23">
        <f>FishHarvestTimeTrends!AD45*((1+OriginalBCACalculations!E$10)^MIN(OriginalBCACalculations!$A36,20))</f>
        <v>0.24292426526835609</v>
      </c>
      <c r="F36" s="23">
        <f t="shared" si="20"/>
        <v>5.7228399399249454</v>
      </c>
      <c r="H36" s="22">
        <f t="shared" si="14"/>
        <v>2.8000000000000001E-2</v>
      </c>
      <c r="I36" s="22"/>
      <c r="J36" s="41"/>
      <c r="K36" s="41">
        <f t="shared" si="6"/>
        <v>1.1439606428992386</v>
      </c>
      <c r="L36" s="41">
        <f t="shared" si="18"/>
        <v>0.3858468006880395</v>
      </c>
      <c r="M36" s="41">
        <f t="shared" si="18"/>
        <v>5.5170711246451766E-2</v>
      </c>
      <c r="N36" s="41">
        <f t="shared" si="6"/>
        <v>1.2072152492106683</v>
      </c>
      <c r="O36" s="67"/>
      <c r="P36" s="41">
        <f t="shared" si="13"/>
        <v>5.9065127336659397E-3</v>
      </c>
      <c r="R36" s="27">
        <f t="shared" si="17"/>
        <v>2.2749141889227689</v>
      </c>
      <c r="S36" s="27">
        <f t="shared" si="17"/>
        <v>1.809561811571093</v>
      </c>
      <c r="T36" s="27">
        <f t="shared" si="17"/>
        <v>1.4426502951596596</v>
      </c>
      <c r="U36" s="27">
        <f t="shared" si="17"/>
        <v>1.1526802479127984</v>
      </c>
      <c r="V36" s="27">
        <f t="shared" si="17"/>
        <v>0.92299259248447063</v>
      </c>
      <c r="W36" s="27">
        <f t="shared" si="17"/>
        <v>0.74064678306321463</v>
      </c>
      <c r="X36" s="27">
        <f t="shared" si="17"/>
        <v>0.59556630420274925</v>
      </c>
      <c r="Y36" s="27">
        <f t="shared" si="17"/>
        <v>0.47988605803105916</v>
      </c>
    </row>
    <row r="37" spans="1:25" x14ac:dyDescent="0.25">
      <c r="A37" s="21">
        <v>25</v>
      </c>
      <c r="C37" s="25">
        <f t="shared" si="19"/>
        <v>5.422979589734731</v>
      </c>
      <c r="D37" s="23">
        <f>FishHarvestTimeTrends!AC46*((1+OriginalBCACalculations!D$10)^MIN(OriginalBCACalculations!$A37,20))</f>
        <v>1.7464210822519153</v>
      </c>
      <c r="E37" s="23">
        <f>FishHarvestTimeTrends!AD46*((1+OriginalBCACalculations!E$10)^MIN(OriginalBCACalculations!$A37,20))</f>
        <v>0.24979651805646064</v>
      </c>
      <c r="F37" s="23">
        <f t="shared" si="20"/>
        <v>5.7257013598949076</v>
      </c>
      <c r="H37" s="22">
        <f t="shared" si="14"/>
        <v>2.8000000000000001E-2</v>
      </c>
      <c r="I37" s="22"/>
      <c r="J37" s="41"/>
      <c r="K37" s="41">
        <f t="shared" si="6"/>
        <v>1.0691220961675125</v>
      </c>
      <c r="L37" s="41">
        <f t="shared" si="18"/>
        <v>0.36105993816993648</v>
      </c>
      <c r="M37" s="41">
        <f t="shared" si="18"/>
        <v>5.1627332770009318E-2</v>
      </c>
      <c r="N37" s="41">
        <f t="shared" si="6"/>
        <v>1.1288026699395077</v>
      </c>
      <c r="O37" s="67"/>
      <c r="P37" s="41">
        <f t="shared" si="13"/>
        <v>5.5201053585662982E-3</v>
      </c>
      <c r="R37" s="27">
        <f t="shared" si="17"/>
        <v>2.3269393704685521</v>
      </c>
      <c r="S37" s="27">
        <f t="shared" si="17"/>
        <v>1.8326186287497093</v>
      </c>
      <c r="T37" s="27">
        <f t="shared" si="17"/>
        <v>1.4467082077511872</v>
      </c>
      <c r="U37" s="27">
        <f t="shared" si="17"/>
        <v>1.1446999787501009</v>
      </c>
      <c r="V37" s="27">
        <f t="shared" si="17"/>
        <v>0.90778901791657562</v>
      </c>
      <c r="W37" s="27">
        <f t="shared" si="17"/>
        <v>0.72150922795560957</v>
      </c>
      <c r="X37" s="27">
        <f t="shared" si="17"/>
        <v>0.57470410777985492</v>
      </c>
      <c r="Y37" s="27">
        <f t="shared" si="17"/>
        <v>0.45874823171365509</v>
      </c>
    </row>
    <row r="38" spans="1:25" x14ac:dyDescent="0.25">
      <c r="A38" s="21">
        <v>26</v>
      </c>
      <c r="C38" s="25">
        <f t="shared" si="19"/>
        <v>5.422979589734731</v>
      </c>
      <c r="D38" s="23">
        <f>FishHarvestTimeTrends!AC47*((1+OriginalBCACalculations!D$10)^MIN(OriginalBCACalculations!$A38,20))</f>
        <v>1.760188261198198</v>
      </c>
      <c r="E38" s="23">
        <f>FishHarvestTimeTrends!AD47*((1+OriginalBCACalculations!E$10)^MIN(OriginalBCACalculations!$A38,20))</f>
        <v>0.25174364840002228</v>
      </c>
      <c r="F38" s="23">
        <f t="shared" si="20"/>
        <v>5.7285642105748549</v>
      </c>
      <c r="H38" s="22">
        <f t="shared" si="14"/>
        <v>2.8000000000000001E-2</v>
      </c>
      <c r="I38" s="22"/>
      <c r="J38" s="41"/>
      <c r="K38" s="41">
        <f t="shared" si="6"/>
        <v>0.99917952912851637</v>
      </c>
      <c r="L38" s="41">
        <f t="shared" si="18"/>
        <v>0.33786485020143636</v>
      </c>
      <c r="M38" s="41">
        <f t="shared" si="18"/>
        <v>4.8311451551548763E-2</v>
      </c>
      <c r="N38" s="41">
        <f t="shared" si="6"/>
        <v>1.0554832441817548</v>
      </c>
      <c r="O38" s="67"/>
      <c r="P38" s="41">
        <f t="shared" si="13"/>
        <v>5.1589769706227081E-3</v>
      </c>
      <c r="R38" s="27">
        <f t="shared" si="17"/>
        <v>2.3455165304383438</v>
      </c>
      <c r="S38" s="27">
        <f t="shared" si="17"/>
        <v>1.828959772956088</v>
      </c>
      <c r="T38" s="27">
        <f t="shared" si="17"/>
        <v>1.429664732636553</v>
      </c>
      <c r="U38" s="27">
        <f t="shared" si="17"/>
        <v>1.1202317577326382</v>
      </c>
      <c r="V38" s="27">
        <f t="shared" si="17"/>
        <v>0.87984266053184346</v>
      </c>
      <c r="W38" s="27">
        <f t="shared" si="17"/>
        <v>0.69263753250136129</v>
      </c>
      <c r="X38" s="27">
        <f t="shared" si="17"/>
        <v>0.54650213941638204</v>
      </c>
      <c r="Y38" s="27">
        <f t="shared" si="17"/>
        <v>0.43215949159808187</v>
      </c>
    </row>
    <row r="39" spans="1:25" x14ac:dyDescent="0.25">
      <c r="A39" s="21">
        <v>27</v>
      </c>
      <c r="C39" s="25">
        <f t="shared" si="19"/>
        <v>5.422979589734731</v>
      </c>
      <c r="D39" s="23">
        <f>FishHarvestTimeTrends!AC48*((1+OriginalBCACalculations!D$10)^MIN(OriginalBCACalculations!$A39,20))</f>
        <v>1.7739554401444804</v>
      </c>
      <c r="E39" s="23">
        <f>FishHarvestTimeTrends!AD48*((1+OriginalBCACalculations!E$10)^MIN(OriginalBCACalculations!$A39,20))</f>
        <v>0.25369077874358398</v>
      </c>
      <c r="F39" s="23">
        <f t="shared" si="20"/>
        <v>5.7314284926801422</v>
      </c>
      <c r="H39" s="22">
        <f t="shared" si="14"/>
        <v>2.8000000000000001E-2</v>
      </c>
      <c r="I39" s="22"/>
      <c r="J39" s="41"/>
      <c r="K39" s="41">
        <f t="shared" si="6"/>
        <v>0.93381264404534248</v>
      </c>
      <c r="L39" s="41">
        <f t="shared" si="18"/>
        <v>0.3161593512631124</v>
      </c>
      <c r="M39" s="41">
        <f t="shared" si="18"/>
        <v>4.5208466722250894E-2</v>
      </c>
      <c r="N39" s="41">
        <f t="shared" si="6"/>
        <v>0.98692615495686509</v>
      </c>
      <c r="O39" s="67"/>
      <c r="P39" s="41">
        <f t="shared" si="13"/>
        <v>4.8214738043202889E-3</v>
      </c>
      <c r="R39" s="27">
        <f t="shared" si="17"/>
        <v>2.3640951218334756</v>
      </c>
      <c r="S39" s="27">
        <f t="shared" si="17"/>
        <v>1.825194824001275</v>
      </c>
      <c r="T39" s="27">
        <f t="shared" si="17"/>
        <v>1.4127342721792322</v>
      </c>
      <c r="U39" s="27">
        <f t="shared" si="17"/>
        <v>1.0962184431572715</v>
      </c>
      <c r="V39" s="27">
        <f t="shared" si="17"/>
        <v>0.85270365608304655</v>
      </c>
      <c r="W39" s="27">
        <f t="shared" si="17"/>
        <v>0.66487984955674662</v>
      </c>
      <c r="X39" s="27">
        <f t="shared" si="17"/>
        <v>0.51965181676239547</v>
      </c>
      <c r="Y39" s="27">
        <f t="shared" si="17"/>
        <v>0.40708652503005299</v>
      </c>
    </row>
    <row r="40" spans="1:25" x14ac:dyDescent="0.25">
      <c r="A40" s="21">
        <v>28</v>
      </c>
      <c r="C40" s="25">
        <f t="shared" si="19"/>
        <v>5.422979589734731</v>
      </c>
      <c r="D40" s="23">
        <f>FishHarvestTimeTrends!AC49*((1+OriginalBCACalculations!D$10)^MIN(OriginalBCACalculations!$A40,20))</f>
        <v>1.7877226190907629</v>
      </c>
      <c r="E40" s="23">
        <f>FishHarvestTimeTrends!AD49*((1+OriginalBCACalculations!E$10)^MIN(OriginalBCACalculations!$A40,20))</f>
        <v>0.25563790908714551</v>
      </c>
      <c r="F40" s="23">
        <f t="shared" si="20"/>
        <v>5.7342942069264824</v>
      </c>
      <c r="H40" s="22">
        <f t="shared" si="14"/>
        <v>2.8000000000000001E-2</v>
      </c>
      <c r="I40" s="22"/>
      <c r="J40" s="41"/>
      <c r="K40" s="41">
        <f t="shared" si="6"/>
        <v>0.8727220972386377</v>
      </c>
      <c r="L40" s="41">
        <f t="shared" si="18"/>
        <v>0.29584781334756233</v>
      </c>
      <c r="M40" s="41">
        <f t="shared" si="18"/>
        <v>4.2304714153260661E-2</v>
      </c>
      <c r="N40" s="41">
        <f t="shared" si="6"/>
        <v>0.92282207292929286</v>
      </c>
      <c r="O40" s="67"/>
      <c r="P40" s="41">
        <f t="shared" si="13"/>
        <v>4.5060502844114832E-3</v>
      </c>
      <c r="R40" s="27">
        <f t="shared" si="17"/>
        <v>2.3826751453696593</v>
      </c>
      <c r="S40" s="27">
        <f t="shared" si="17"/>
        <v>1.8213262310213569</v>
      </c>
      <c r="T40" s="27">
        <f t="shared" si="17"/>
        <v>1.395918930741314</v>
      </c>
      <c r="U40" s="27">
        <f t="shared" si="17"/>
        <v>1.0726542738899838</v>
      </c>
      <c r="V40" s="27">
        <f t="shared" si="17"/>
        <v>0.82635122165409114</v>
      </c>
      <c r="W40" s="27">
        <f t="shared" si="17"/>
        <v>0.6381955324109102</v>
      </c>
      <c r="X40" s="27">
        <f t="shared" si="17"/>
        <v>0.49409046440619442</v>
      </c>
      <c r="Y40" s="27">
        <f t="shared" si="17"/>
        <v>0.38344478630189738</v>
      </c>
    </row>
    <row r="41" spans="1:25" x14ac:dyDescent="0.25">
      <c r="A41" s="21">
        <v>29</v>
      </c>
      <c r="C41" s="25">
        <f t="shared" si="19"/>
        <v>5.422979589734731</v>
      </c>
      <c r="D41" s="23">
        <f>FishHarvestTimeTrends!AC50*((1+OriginalBCACalculations!D$10)^MIN(OriginalBCACalculations!$A41,20))</f>
        <v>1.8014897980370457</v>
      </c>
      <c r="E41" s="23">
        <f>FishHarvestTimeTrends!AD50*((1+OriginalBCACalculations!E$10)^MIN(OriginalBCACalculations!$A41,20))</f>
        <v>0.25758503943070721</v>
      </c>
      <c r="F41" s="23">
        <f t="shared" si="20"/>
        <v>5.7371613540299453</v>
      </c>
      <c r="H41" s="22">
        <f t="shared" si="14"/>
        <v>2.8000000000000001E-2</v>
      </c>
      <c r="I41" s="22"/>
      <c r="J41" s="41"/>
      <c r="K41" s="41">
        <f t="shared" si="6"/>
        <v>0.8156281282604092</v>
      </c>
      <c r="L41" s="41">
        <f t="shared" si="18"/>
        <v>0.2765087079834822</v>
      </c>
      <c r="M41" s="41">
        <f t="shared" si="18"/>
        <v>3.9538529104798707E-2</v>
      </c>
      <c r="N41" s="41">
        <f t="shared" si="6"/>
        <v>0.86288176071566125</v>
      </c>
      <c r="O41" s="67"/>
      <c r="P41" s="41">
        <f t="shared" si="13"/>
        <v>4.2112619480481166E-3</v>
      </c>
      <c r="R41" s="27">
        <f t="shared" si="17"/>
        <v>2.4012566017629666</v>
      </c>
      <c r="S41" s="27">
        <f t="shared" si="17"/>
        <v>1.8173564051527196</v>
      </c>
      <c r="T41" s="27">
        <f t="shared" si="17"/>
        <v>1.3792206870230517</v>
      </c>
      <c r="U41" s="27">
        <f t="shared" si="17"/>
        <v>1.0495334390276072</v>
      </c>
      <c r="V41" s="27">
        <f t="shared" si="17"/>
        <v>0.80076497945044345</v>
      </c>
      <c r="W41" s="27">
        <f t="shared" si="17"/>
        <v>0.61254528025755617</v>
      </c>
      <c r="X41" s="27">
        <f t="shared" si="17"/>
        <v>0.46975817260155067</v>
      </c>
      <c r="Y41" s="27">
        <f t="shared" si="17"/>
        <v>0.36115430551798966</v>
      </c>
    </row>
    <row r="42" spans="1:25" x14ac:dyDescent="0.25">
      <c r="A42" s="21">
        <v>30</v>
      </c>
      <c r="C42" s="25">
        <f t="shared" si="19"/>
        <v>5.422979589734731</v>
      </c>
      <c r="D42" s="23">
        <f>FishHarvestTimeTrends!AC51*((1+OriginalBCACalculations!D$10)^MIN(OriginalBCACalculations!$A42,20))</f>
        <v>1.8152569769833287</v>
      </c>
      <c r="E42" s="23">
        <f>FishHarvestTimeTrends!AD51*((1+OriginalBCACalculations!E$10)^MIN(OriginalBCACalculations!$A42,20))</f>
        <v>0.25953216977426885</v>
      </c>
      <c r="F42" s="23">
        <f t="shared" si="20"/>
        <v>5.7400299347069597</v>
      </c>
      <c r="H42" s="22">
        <f t="shared" si="14"/>
        <v>2.8000000000000001E-2</v>
      </c>
      <c r="I42" s="22"/>
      <c r="J42" s="41"/>
      <c r="K42" s="41">
        <f t="shared" si="6"/>
        <v>0.76226927874804595</v>
      </c>
      <c r="L42" s="41">
        <f t="shared" si="18"/>
        <v>0.25843376865847623</v>
      </c>
      <c r="M42" s="41">
        <f t="shared" si="18"/>
        <v>3.6953216989264195E-2</v>
      </c>
      <c r="N42" s="41">
        <f t="shared" si="6"/>
        <v>0.80683476784674668</v>
      </c>
      <c r="O42" s="67"/>
      <c r="P42" s="41">
        <f t="shared" si="13"/>
        <v>3.9357588299515104E-3</v>
      </c>
      <c r="R42" s="27">
        <f t="shared" si="17"/>
        <v>2.4198394917298263</v>
      </c>
      <c r="S42" s="27">
        <f t="shared" si="17"/>
        <v>1.8132877200435111</v>
      </c>
      <c r="T42" s="27">
        <f t="shared" si="17"/>
        <v>1.3626413981757435</v>
      </c>
      <c r="U42" s="27">
        <f t="shared" si="17"/>
        <v>1.0268500856687821</v>
      </c>
      <c r="V42" s="27">
        <f t="shared" si="17"/>
        <v>0.77592495635160308</v>
      </c>
      <c r="W42" s="27">
        <f t="shared" si="17"/>
        <v>0.58789110214079232</v>
      </c>
      <c r="X42" s="27">
        <f t="shared" si="17"/>
        <v>0.44659768492907093</v>
      </c>
      <c r="Y42" s="27">
        <f t="shared" si="17"/>
        <v>0.34013945166575138</v>
      </c>
    </row>
    <row r="43" spans="1:25" x14ac:dyDescent="0.25">
      <c r="A43" s="21">
        <v>31</v>
      </c>
      <c r="C43" s="25">
        <f t="shared" si="19"/>
        <v>5.422979589734731</v>
      </c>
      <c r="D43" s="23">
        <f>FishHarvestTimeTrends!AC52*((1+OriginalBCACalculations!D$10)^MIN(OriginalBCACalculations!$A43,20))</f>
        <v>1.8175671943521008</v>
      </c>
      <c r="E43" s="23">
        <f>FishHarvestTimeTrends!AD52*((1+OriginalBCACalculations!E$10)^MIN(OriginalBCACalculations!$A43,20))</f>
        <v>0.25986654218280919</v>
      </c>
      <c r="F43" s="23">
        <f t="shared" si="20"/>
        <v>5.7428999496743129</v>
      </c>
      <c r="H43" s="22">
        <f t="shared" si="14"/>
        <v>2.8000000000000001E-2</v>
      </c>
      <c r="I43" s="22"/>
      <c r="J43" s="41"/>
      <c r="K43" s="41">
        <f t="shared" si="6"/>
        <v>0.7124011950916318</v>
      </c>
      <c r="L43" s="41">
        <f t="shared" si="18"/>
        <v>0.2415403589358521</v>
      </c>
      <c r="M43" s="41">
        <f t="shared" si="18"/>
        <v>3.4536951045704138E-2</v>
      </c>
      <c r="N43" s="41">
        <f t="shared" si="6"/>
        <v>0.75442821049595332</v>
      </c>
      <c r="O43" s="67"/>
      <c r="P43" s="41">
        <f t="shared" si="13"/>
        <v>3.6782792803285148E-3</v>
      </c>
      <c r="R43" s="27">
        <f t="shared" si="17"/>
        <v>2.4253540964744911</v>
      </c>
      <c r="S43" s="27">
        <f t="shared" si="17"/>
        <v>1.799425787923308</v>
      </c>
      <c r="T43" s="27">
        <f t="shared" si="17"/>
        <v>1.3389673921317435</v>
      </c>
      <c r="U43" s="27">
        <f t="shared" si="17"/>
        <v>0.99921377488515584</v>
      </c>
      <c r="V43" s="27">
        <f t="shared" si="17"/>
        <v>0.74778194438889345</v>
      </c>
      <c r="W43" s="27">
        <f t="shared" si="17"/>
        <v>0.56117224292930179</v>
      </c>
      <c r="X43" s="27">
        <f t="shared" si="17"/>
        <v>0.42227871924181676</v>
      </c>
      <c r="Y43" s="27">
        <f t="shared" si="17"/>
        <v>0.31861177573292876</v>
      </c>
    </row>
    <row r="44" spans="1:25" x14ac:dyDescent="0.25">
      <c r="A44" s="21">
        <v>32</v>
      </c>
      <c r="C44" s="25">
        <f t="shared" si="19"/>
        <v>5.422979589734731</v>
      </c>
      <c r="D44" s="23">
        <f>FishHarvestTimeTrends!AC53*((1+OriginalBCACalculations!D$10)^MIN(OriginalBCACalculations!$A44,20))</f>
        <v>1.8198774117208731</v>
      </c>
      <c r="E44" s="23">
        <f>FishHarvestTimeTrends!AD53*((1+OriginalBCACalculations!E$10)^MIN(OriginalBCACalculations!$A44,20))</f>
        <v>0.26020091459134953</v>
      </c>
      <c r="F44" s="23">
        <f t="shared" si="20"/>
        <v>5.7457713996491497</v>
      </c>
      <c r="H44" s="22">
        <f t="shared" si="14"/>
        <v>2.8000000000000001E-2</v>
      </c>
      <c r="I44" s="22"/>
      <c r="J44" s="41"/>
      <c r="K44" s="41">
        <f t="shared" si="6"/>
        <v>0.6657955094314314</v>
      </c>
      <c r="L44" s="41">
        <f t="shared" si="6"/>
        <v>0.22343182163787623</v>
      </c>
      <c r="M44" s="41">
        <f t="shared" si="6"/>
        <v>3.1945648626965632E-2</v>
      </c>
      <c r="N44" s="41">
        <f t="shared" si="6"/>
        <v>0.70542563046841233</v>
      </c>
      <c r="O44" s="67"/>
      <c r="P44" s="41">
        <f t="shared" si="13"/>
        <v>3.4376441872229105E-3</v>
      </c>
      <c r="R44" s="27">
        <f t="shared" si="16"/>
        <v>2.4308701362266412</v>
      </c>
      <c r="S44" s="27">
        <f t="shared" si="16"/>
        <v>1.7856616477533205</v>
      </c>
      <c r="T44" s="27">
        <f t="shared" si="16"/>
        <v>1.3156986638248647</v>
      </c>
      <c r="U44" s="27">
        <f t="shared" si="16"/>
        <v>0.97231680604660675</v>
      </c>
      <c r="V44" s="27">
        <f t="shared" si="16"/>
        <v>0.72065638694015843</v>
      </c>
      <c r="W44" s="27">
        <f t="shared" si="16"/>
        <v>0.53566526679413173</v>
      </c>
      <c r="X44" s="27">
        <f t="shared" si="16"/>
        <v>0.39928218645770919</v>
      </c>
      <c r="Y44" s="27">
        <f t="shared" si="16"/>
        <v>0.29844523548904561</v>
      </c>
    </row>
    <row r="45" spans="1:25" x14ac:dyDescent="0.25">
      <c r="A45" s="21">
        <v>33</v>
      </c>
      <c r="C45" s="25">
        <f t="shared" si="19"/>
        <v>5.422979589734731</v>
      </c>
      <c r="D45" s="23">
        <f>FishHarvestTimeTrends!AC54*((1+OriginalBCACalculations!D$10)^MIN(OriginalBCACalculations!$A45,20))</f>
        <v>1.8221876290896453</v>
      </c>
      <c r="E45" s="23">
        <f>FishHarvestTimeTrends!AD54*((1+OriginalBCACalculations!E$10)^MIN(OriginalBCACalculations!$A45,20))</f>
        <v>0.26053528699988981</v>
      </c>
      <c r="F45" s="23">
        <f t="shared" si="20"/>
        <v>5.7486442853489743</v>
      </c>
      <c r="H45" s="22">
        <f t="shared" si="14"/>
        <v>2.8000000000000001E-2</v>
      </c>
      <c r="I45" s="22"/>
      <c r="J45" s="41"/>
      <c r="K45" s="41">
        <f t="shared" si="6"/>
        <v>0.622238793861151</v>
      </c>
      <c r="L45" s="41">
        <f t="shared" si="6"/>
        <v>0.2090798635236821</v>
      </c>
      <c r="M45" s="41">
        <f t="shared" si="6"/>
        <v>2.9894112647584244E-2</v>
      </c>
      <c r="N45" s="41">
        <f t="shared" si="6"/>
        <v>0.65960592830247344</v>
      </c>
      <c r="O45" s="67"/>
      <c r="P45" s="41">
        <f t="shared" si="13"/>
        <v>3.2127515768438416E-3</v>
      </c>
      <c r="R45" s="27">
        <f t="shared" si="16"/>
        <v>2.4363876117037782</v>
      </c>
      <c r="S45" s="27">
        <f t="shared" si="16"/>
        <v>1.7719947120239874</v>
      </c>
      <c r="T45" s="27">
        <f t="shared" si="16"/>
        <v>1.2928284070482021</v>
      </c>
      <c r="U45" s="27">
        <f t="shared" si="16"/>
        <v>0.94613953913709048</v>
      </c>
      <c r="V45" s="27">
        <f t="shared" si="16"/>
        <v>0.69451163379017344</v>
      </c>
      <c r="W45" s="27">
        <f t="shared" si="16"/>
        <v>0.51131532837438509</v>
      </c>
      <c r="X45" s="27">
        <f t="shared" si="16"/>
        <v>0.37753628161515879</v>
      </c>
      <c r="Y45" s="27">
        <f t="shared" si="16"/>
        <v>0.27955386218943268</v>
      </c>
    </row>
    <row r="46" spans="1:25" x14ac:dyDescent="0.25">
      <c r="A46" s="21">
        <v>34</v>
      </c>
      <c r="C46" s="25">
        <f t="shared" si="19"/>
        <v>5.422979589734731</v>
      </c>
      <c r="D46" s="23">
        <f>FishHarvestTimeTrends!AC55*((1+OriginalBCACalculations!D$10)^MIN(OriginalBCACalculations!$A46,20))</f>
        <v>1.8244978464584176</v>
      </c>
      <c r="E46" s="23">
        <f>FishHarvestTimeTrends!AD55*((1+OriginalBCACalculations!E$10)^MIN(OriginalBCACalculations!$A46,20))</f>
        <v>0.26086965940843015</v>
      </c>
      <c r="F46" s="23">
        <f t="shared" si="20"/>
        <v>5.7515186074916489</v>
      </c>
      <c r="H46" s="22">
        <f t="shared" si="14"/>
        <v>2.8000000000000001E-2</v>
      </c>
      <c r="I46" s="22"/>
      <c r="J46" s="41"/>
      <c r="K46" s="41">
        <f t="shared" si="6"/>
        <v>0.58153158304780461</v>
      </c>
      <c r="L46" s="41">
        <f t="shared" si="6"/>
        <v>0.19564947707468205</v>
      </c>
      <c r="M46" s="41">
        <f t="shared" si="6"/>
        <v>2.7974279359651199E-2</v>
      </c>
      <c r="N46" s="41">
        <f t="shared" si="6"/>
        <v>0.61676236566974274</v>
      </c>
      <c r="O46" s="67"/>
      <c r="P46" s="41">
        <f t="shared" si="13"/>
        <v>3.0025715671437771E-3</v>
      </c>
      <c r="R46" s="27">
        <f t="shared" ref="R46:Y61" si="21">(SUM($D46:$H46)-SUM($B46:$C46))/((1+R$10)^($A46-1))</f>
        <v>2.4419065236237651</v>
      </c>
      <c r="S46" s="27">
        <f t="shared" si="21"/>
        <v>1.7584243953663603</v>
      </c>
      <c r="T46" s="27">
        <f t="shared" si="21"/>
        <v>1.270349926972675</v>
      </c>
      <c r="U46" s="27">
        <f t="shared" si="21"/>
        <v>0.92066285147937987</v>
      </c>
      <c r="V46" s="27">
        <f t="shared" si="21"/>
        <v>0.66931234947450058</v>
      </c>
      <c r="W46" s="27">
        <f t="shared" si="21"/>
        <v>0.48807005834545952</v>
      </c>
      <c r="X46" s="27">
        <f t="shared" si="21"/>
        <v>0.35697309230074625</v>
      </c>
      <c r="Y46" s="27">
        <f t="shared" si="21"/>
        <v>0.26185711062341505</v>
      </c>
    </row>
    <row r="47" spans="1:25" x14ac:dyDescent="0.25">
      <c r="A47" s="21">
        <v>35</v>
      </c>
      <c r="C47" s="25">
        <f t="shared" si="19"/>
        <v>5.422979589734731</v>
      </c>
      <c r="D47" s="23">
        <f>FishHarvestTimeTrends!AC56*((1+OriginalBCACalculations!D$10)^MIN(OriginalBCACalculations!$A47,20))</f>
        <v>1.82680806382719</v>
      </c>
      <c r="E47" s="23">
        <f>FishHarvestTimeTrends!AD56*((1+OriginalBCACalculations!E$10)^MIN(OriginalBCACalculations!$A47,20))</f>
        <v>0.26120403181697049</v>
      </c>
      <c r="F47" s="23">
        <f t="shared" si="20"/>
        <v>5.7543943667953945</v>
      </c>
      <c r="H47" s="22">
        <f t="shared" si="14"/>
        <v>2.8000000000000001E-2</v>
      </c>
      <c r="I47" s="22"/>
      <c r="J47" s="41"/>
      <c r="K47" s="41">
        <f t="shared" si="6"/>
        <v>0.54348746079234078</v>
      </c>
      <c r="L47" s="41">
        <f t="shared" si="6"/>
        <v>0.18308150704527687</v>
      </c>
      <c r="M47" s="41">
        <f t="shared" si="6"/>
        <v>2.6177696901099938E-2</v>
      </c>
      <c r="N47" s="41">
        <f t="shared" si="6"/>
        <v>0.5767016325725024</v>
      </c>
      <c r="O47" s="67"/>
      <c r="P47" s="41">
        <f t="shared" si="13"/>
        <v>2.8061416515362406E-3</v>
      </c>
      <c r="R47" s="27">
        <f t="shared" si="21"/>
        <v>2.4474268727048241</v>
      </c>
      <c r="S47" s="27">
        <f t="shared" si="21"/>
        <v>1.744950114566423</v>
      </c>
      <c r="T47" s="27">
        <f t="shared" si="21"/>
        <v>1.248256638390602</v>
      </c>
      <c r="U47" s="27">
        <f t="shared" si="21"/>
        <v>0.89586812424667794</v>
      </c>
      <c r="V47" s="27">
        <f t="shared" si="21"/>
        <v>0.64502446633779809</v>
      </c>
      <c r="W47" s="27">
        <f t="shared" si="21"/>
        <v>0.46587945193883429</v>
      </c>
      <c r="X47" s="27">
        <f t="shared" si="21"/>
        <v>0.33752838800388174</v>
      </c>
      <c r="Y47" s="27">
        <f t="shared" si="21"/>
        <v>0.24527951737807469</v>
      </c>
    </row>
    <row r="48" spans="1:25" x14ac:dyDescent="0.25">
      <c r="A48" s="21">
        <v>36</v>
      </c>
      <c r="C48" s="25">
        <f t="shared" si="19"/>
        <v>5.422979589734731</v>
      </c>
      <c r="D48" s="23">
        <f>FishHarvestTimeTrends!AC57*((1+OriginalBCACalculations!D$10)^MIN(OriginalBCACalculations!$A48,20))</f>
        <v>1.8291182811959621</v>
      </c>
      <c r="E48" s="23">
        <f>FishHarvestTimeTrends!AD57*((1+OriginalBCACalculations!E$10)^MIN(OriginalBCACalculations!$A48,20))</f>
        <v>0.26153840422551083</v>
      </c>
      <c r="F48" s="23">
        <f t="shared" si="20"/>
        <v>5.7572715639787919</v>
      </c>
      <c r="H48" s="22">
        <f t="shared" si="14"/>
        <v>2.8000000000000001E-2</v>
      </c>
      <c r="I48" s="22"/>
      <c r="J48" s="41"/>
      <c r="K48" s="41">
        <f t="shared" si="6"/>
        <v>0.50793220634798197</v>
      </c>
      <c r="L48" s="41">
        <f t="shared" si="6"/>
        <v>0.17132059394026589</v>
      </c>
      <c r="M48" s="41">
        <f t="shared" si="6"/>
        <v>2.4496455593241914E-2</v>
      </c>
      <c r="N48" s="41">
        <f t="shared" si="6"/>
        <v>0.53924297512970898</v>
      </c>
      <c r="O48" s="67"/>
      <c r="P48" s="41">
        <f t="shared" si="13"/>
        <v>2.6225622911553647E-3</v>
      </c>
      <c r="R48" s="27">
        <f t="shared" si="21"/>
        <v>2.4529486596655339</v>
      </c>
      <c r="S48" s="27">
        <f t="shared" si="21"/>
        <v>1.7315712885789352</v>
      </c>
      <c r="T48" s="27">
        <f t="shared" si="21"/>
        <v>1.2265420639854441</v>
      </c>
      <c r="U48" s="27">
        <f t="shared" si="21"/>
        <v>0.87173722932146702</v>
      </c>
      <c r="V48" s="27">
        <f t="shared" si="21"/>
        <v>0.62161513925901757</v>
      </c>
      <c r="W48" s="27">
        <f t="shared" si="21"/>
        <v>0.4446957624659863</v>
      </c>
      <c r="X48" s="27">
        <f t="shared" si="21"/>
        <v>0.31914142084877073</v>
      </c>
      <c r="Y48" s="27">
        <f t="shared" si="21"/>
        <v>0.22975038060639014</v>
      </c>
    </row>
    <row r="49" spans="1:25" x14ac:dyDescent="0.25">
      <c r="A49" s="21">
        <v>37</v>
      </c>
      <c r="C49" s="25">
        <f t="shared" si="19"/>
        <v>5.422979589734731</v>
      </c>
      <c r="D49" s="23">
        <f>FishHarvestTimeTrends!AC58*((1+OriginalBCACalculations!D$10)^MIN(OriginalBCACalculations!$A49,20))</f>
        <v>1.8314284985647347</v>
      </c>
      <c r="E49" s="23">
        <f>FishHarvestTimeTrends!AD58*((1+OriginalBCACalculations!E$10)^MIN(OriginalBCACalculations!$A49,20))</f>
        <v>0.26187277663405112</v>
      </c>
      <c r="F49" s="23">
        <f t="shared" si="20"/>
        <v>5.7601501997607807</v>
      </c>
      <c r="H49" s="22">
        <f t="shared" si="14"/>
        <v>2.8000000000000001E-2</v>
      </c>
      <c r="I49" s="22"/>
      <c r="J49" s="41"/>
      <c r="K49" s="41">
        <f t="shared" si="6"/>
        <v>0.47470299658689907</v>
      </c>
      <c r="L49" s="41">
        <f t="shared" si="6"/>
        <v>0.16031493055017224</v>
      </c>
      <c r="M49" s="41">
        <f t="shared" si="6"/>
        <v>2.2923153173585252E-2</v>
      </c>
      <c r="N49" s="41">
        <f t="shared" si="6"/>
        <v>0.50421738001614369</v>
      </c>
      <c r="O49" s="67"/>
      <c r="P49" s="41">
        <f t="shared" si="13"/>
        <v>2.4509927954723034E-3</v>
      </c>
      <c r="R49" s="27">
        <f t="shared" si="21"/>
        <v>2.4584718852248351</v>
      </c>
      <c r="S49" s="27">
        <f t="shared" si="21"/>
        <v>1.7182873385407997</v>
      </c>
      <c r="T49" s="27">
        <f t="shared" si="21"/>
        <v>1.2051998326273594</v>
      </c>
      <c r="U49" s="27">
        <f t="shared" si="21"/>
        <v>0.84825251649280931</v>
      </c>
      <c r="V49" s="27">
        <f t="shared" si="21"/>
        <v>0.59905270198467397</v>
      </c>
      <c r="W49" s="27">
        <f t="shared" si="21"/>
        <v>0.42447339962257019</v>
      </c>
      <c r="X49" s="27">
        <f t="shared" si="21"/>
        <v>0.30175473709046546</v>
      </c>
      <c r="Y49" s="27">
        <f t="shared" si="21"/>
        <v>0.2152034599484744</v>
      </c>
    </row>
    <row r="50" spans="1:25" x14ac:dyDescent="0.25">
      <c r="A50" s="21">
        <v>38</v>
      </c>
      <c r="C50" s="25">
        <f t="shared" si="19"/>
        <v>5.422979589734731</v>
      </c>
      <c r="D50" s="23">
        <f>FishHarvestTimeTrends!AC59*((1+OriginalBCACalculations!D$10)^MIN(OriginalBCACalculations!$A50,20))</f>
        <v>1.8337387159335068</v>
      </c>
      <c r="E50" s="23">
        <f>FishHarvestTimeTrends!AD59*((1+OriginalBCACalculations!E$10)^MIN(OriginalBCACalculations!$A50,20))</f>
        <v>0.26220714904259146</v>
      </c>
      <c r="F50" s="23">
        <f t="shared" si="20"/>
        <v>5.763030274860661</v>
      </c>
      <c r="H50" s="22">
        <f t="shared" si="14"/>
        <v>2.8000000000000001E-2</v>
      </c>
      <c r="I50" s="22"/>
      <c r="J50" s="41"/>
      <c r="K50" s="41">
        <f t="shared" si="6"/>
        <v>0.44364766036158787</v>
      </c>
      <c r="L50" s="41">
        <f t="shared" si="6"/>
        <v>0.15001603409651729</v>
      </c>
      <c r="M50" s="41">
        <f t="shared" si="6"/>
        <v>2.1450862257167025E-2</v>
      </c>
      <c r="N50" s="41">
        <f t="shared" si="6"/>
        <v>0.47146681187490813</v>
      </c>
      <c r="O50" s="67"/>
      <c r="P50" s="41">
        <f t="shared" si="13"/>
        <v>2.290647472404022E-3</v>
      </c>
      <c r="R50" s="27">
        <f t="shared" si="21"/>
        <v>2.4639965501020278</v>
      </c>
      <c r="S50" s="27">
        <f t="shared" si="21"/>
        <v>1.7050976877839594</v>
      </c>
      <c r="T50" s="27">
        <f t="shared" si="21"/>
        <v>1.184223677694213</v>
      </c>
      <c r="U50" s="27">
        <f t="shared" si="21"/>
        <v>0.82539680098350754</v>
      </c>
      <c r="V50" s="27">
        <f t="shared" si="21"/>
        <v>0.57730662501342922</v>
      </c>
      <c r="W50" s="27">
        <f t="shared" si="21"/>
        <v>0.40516883235896811</v>
      </c>
      <c r="X50" s="27">
        <f t="shared" si="21"/>
        <v>0.28531399879475305</v>
      </c>
      <c r="Y50" s="27">
        <f t="shared" si="21"/>
        <v>0.20157669533940856</v>
      </c>
    </row>
    <row r="51" spans="1:25" x14ac:dyDescent="0.25">
      <c r="A51" s="21">
        <v>39</v>
      </c>
      <c r="C51" s="25">
        <f t="shared" si="19"/>
        <v>5.422979589734731</v>
      </c>
      <c r="D51" s="23">
        <f>FishHarvestTimeTrends!AC60*((1+OriginalBCACalculations!D$10)^MIN(OriginalBCACalculations!$A51,20))</f>
        <v>1.8360489333022791</v>
      </c>
      <c r="E51" s="23">
        <f>FishHarvestTimeTrends!AD60*((1+OriginalBCACalculations!E$10)^MIN(OriginalBCACalculations!$A51,20))</f>
        <v>0.2625415214511318</v>
      </c>
      <c r="F51" s="23">
        <f t="shared" si="20"/>
        <v>5.765911789998091</v>
      </c>
      <c r="H51" s="22">
        <f t="shared" si="14"/>
        <v>2.8000000000000001E-2</v>
      </c>
      <c r="I51" s="22"/>
      <c r="J51" s="41"/>
      <c r="K51" s="41">
        <f t="shared" si="6"/>
        <v>0.41462398164634384</v>
      </c>
      <c r="L51" s="41">
        <f t="shared" si="6"/>
        <v>0.14037853298661437</v>
      </c>
      <c r="M51" s="41">
        <f t="shared" si="6"/>
        <v>2.0073099883616198E-2</v>
      </c>
      <c r="N51" s="41">
        <f t="shared" si="6"/>
        <v>0.44084350026247249</v>
      </c>
      <c r="O51" s="67"/>
      <c r="P51" s="41">
        <f t="shared" si="13"/>
        <v>2.1407920302841327E-3</v>
      </c>
      <c r="R51" s="27">
        <f t="shared" si="21"/>
        <v>2.469522655016771</v>
      </c>
      <c r="S51" s="27">
        <f t="shared" si="21"/>
        <v>1.6920017618478294</v>
      </c>
      <c r="T51" s="27">
        <f t="shared" si="21"/>
        <v>1.1636074354177044</v>
      </c>
      <c r="U51" s="27">
        <f t="shared" si="21"/>
        <v>0.8031533512987693</v>
      </c>
      <c r="V51" s="27">
        <f t="shared" si="21"/>
        <v>0.55634747497722681</v>
      </c>
      <c r="W51" s="27">
        <f t="shared" si="21"/>
        <v>0.3867404961128556</v>
      </c>
      <c r="X51" s="27">
        <f t="shared" si="21"/>
        <v>0.26976781515284054</v>
      </c>
      <c r="Y51" s="27">
        <f t="shared" si="21"/>
        <v>0.18881194351664338</v>
      </c>
    </row>
    <row r="52" spans="1:25" x14ac:dyDescent="0.25">
      <c r="A52" s="21">
        <v>40</v>
      </c>
      <c r="C52" s="25">
        <f t="shared" si="19"/>
        <v>5.422979589734731</v>
      </c>
      <c r="D52" s="23">
        <f>FishHarvestTimeTrends!AC61*((1+OriginalBCACalculations!D$10)^MIN(OriginalBCACalculations!$A52,20))</f>
        <v>1.8383591506710515</v>
      </c>
      <c r="E52" s="23">
        <f>FishHarvestTimeTrends!AD61*((1+OriginalBCACalculations!E$10)^MIN(OriginalBCACalculations!$A52,20))</f>
        <v>0.26287589385967214</v>
      </c>
      <c r="F52" s="23">
        <f t="shared" si="20"/>
        <v>5.7687947458930893</v>
      </c>
      <c r="H52" s="22">
        <f t="shared" si="14"/>
        <v>2.8000000000000001E-2</v>
      </c>
      <c r="I52" s="22"/>
      <c r="J52" s="41"/>
      <c r="K52" s="41">
        <f t="shared" si="6"/>
        <v>0.38749904826761106</v>
      </c>
      <c r="L52" s="41">
        <f t="shared" si="6"/>
        <v>0.13135996724153851</v>
      </c>
      <c r="M52" s="41">
        <f t="shared" si="6"/>
        <v>1.8783799016308535E-2</v>
      </c>
      <c r="N52" s="41">
        <f t="shared" si="6"/>
        <v>0.41220927290897541</v>
      </c>
      <c r="O52" s="67"/>
      <c r="P52" s="41">
        <f t="shared" si="13"/>
        <v>2.0007402152188154E-3</v>
      </c>
      <c r="R52" s="27">
        <f t="shared" si="21"/>
        <v>2.4750502006890809</v>
      </c>
      <c r="S52" s="27">
        <f t="shared" si="21"/>
        <v>1.6789989884912786</v>
      </c>
      <c r="T52" s="27">
        <f t="shared" si="21"/>
        <v>1.1433450432542684</v>
      </c>
      <c r="U52" s="27">
        <f t="shared" si="21"/>
        <v>0.78150587738821575</v>
      </c>
      <c r="V52" s="27">
        <f t="shared" si="21"/>
        <v>0.53614687546612327</v>
      </c>
      <c r="W52" s="27">
        <f t="shared" si="21"/>
        <v>0.36914870420853602</v>
      </c>
      <c r="X52" s="27">
        <f t="shared" si="21"/>
        <v>0.2550675829113303</v>
      </c>
      <c r="Y52" s="27">
        <f t="shared" si="21"/>
        <v>0.17685473111443015</v>
      </c>
    </row>
    <row r="53" spans="1:25" x14ac:dyDescent="0.25">
      <c r="A53" s="21">
        <v>41</v>
      </c>
      <c r="C53" s="25">
        <f t="shared" si="19"/>
        <v>5.422979589734731</v>
      </c>
      <c r="D53" s="23">
        <f>FishHarvestTimeTrends!AC62*((1+OriginalBCACalculations!D$10)^MIN(OriginalBCACalculations!$A53,20))</f>
        <v>1.8384617055526467</v>
      </c>
      <c r="E53" s="23">
        <f>FishHarvestTimeTrends!AD62*((1+OriginalBCACalculations!E$10)^MIN(OriginalBCACalculations!$A53,20))</f>
        <v>0.26288528915839238</v>
      </c>
      <c r="F53" s="23">
        <f t="shared" si="20"/>
        <v>5.7716791432660353</v>
      </c>
      <c r="H53" s="22">
        <f t="shared" si="14"/>
        <v>2.8000000000000001E-2</v>
      </c>
      <c r="I53" s="22"/>
      <c r="J53" s="41"/>
      <c r="K53" s="41">
        <f t="shared" si="6"/>
        <v>0.36214864324075802</v>
      </c>
      <c r="L53" s="41">
        <f t="shared" si="6"/>
        <v>0.12277317317887025</v>
      </c>
      <c r="M53" s="41">
        <f t="shared" si="6"/>
        <v>1.7555579773318508E-2</v>
      </c>
      <c r="N53" s="41">
        <f t="shared" si="6"/>
        <v>0.38543493228544845</v>
      </c>
      <c r="O53" s="67"/>
      <c r="P53" s="41">
        <f t="shared" si="13"/>
        <v>1.8698506684287997E-3</v>
      </c>
      <c r="R53" s="27">
        <f t="shared" si="21"/>
        <v>2.4780465482423431</v>
      </c>
      <c r="S53" s="27">
        <f t="shared" si="21"/>
        <v>1.6643877423692437</v>
      </c>
      <c r="T53" s="27">
        <f t="shared" si="21"/>
        <v>1.1222835300818168</v>
      </c>
      <c r="U53" s="27">
        <f t="shared" si="21"/>
        <v>0.75966212111960962</v>
      </c>
      <c r="V53" s="27">
        <f t="shared" si="21"/>
        <v>0.51614994816369619</v>
      </c>
      <c r="W53" s="27">
        <f t="shared" si="21"/>
        <v>0.35199581271693198</v>
      </c>
      <c r="X53" s="27">
        <f t="shared" si="21"/>
        <v>0.24092110666363145</v>
      </c>
      <c r="Y53" s="27">
        <f t="shared" si="21"/>
        <v>0.16548489266530803</v>
      </c>
    </row>
    <row r="54" spans="1:25" x14ac:dyDescent="0.25">
      <c r="A54" s="21">
        <v>42</v>
      </c>
      <c r="C54" s="25">
        <f t="shared" si="19"/>
        <v>5.422979589734731</v>
      </c>
      <c r="D54" s="23">
        <f>FishHarvestTimeTrends!AC63*((1+OriginalBCACalculations!D$10)^MIN(OriginalBCACalculations!$A54,20))</f>
        <v>1.8385642604342414</v>
      </c>
      <c r="E54" s="23">
        <f>FishHarvestTimeTrends!AD63*((1+OriginalBCACalculations!E$10)^MIN(OriginalBCACalculations!$A54,20))</f>
        <v>0.26289468445711273</v>
      </c>
      <c r="F54" s="23">
        <f t="shared" si="20"/>
        <v>5.7745649828376679</v>
      </c>
      <c r="H54" s="22">
        <f t="shared" si="14"/>
        <v>2.8000000000000001E-2</v>
      </c>
      <c r="I54" s="22"/>
      <c r="J54" s="41"/>
      <c r="K54" s="41">
        <f t="shared" si="6"/>
        <v>0.33845667592594203</v>
      </c>
      <c r="L54" s="41">
        <f t="shared" si="6"/>
        <v>0.11474768395601695</v>
      </c>
      <c r="M54" s="41">
        <f t="shared" si="6"/>
        <v>1.640767027565122E-2</v>
      </c>
      <c r="N54" s="41">
        <f t="shared" si="6"/>
        <v>0.36039967266503847</v>
      </c>
      <c r="O54" s="67"/>
      <c r="P54" s="41">
        <f t="shared" si="13"/>
        <v>1.747523989185794E-3</v>
      </c>
      <c r="R54" s="27">
        <f t="shared" si="21"/>
        <v>2.481044337994291</v>
      </c>
      <c r="S54" s="27">
        <f t="shared" si="21"/>
        <v>1.6499021953126565</v>
      </c>
      <c r="T54" s="27">
        <f t="shared" si="21"/>
        <v>1.1016090199286417</v>
      </c>
      <c r="U54" s="27">
        <f t="shared" si="21"/>
        <v>0.73842826609249601</v>
      </c>
      <c r="V54" s="27">
        <f t="shared" si="21"/>
        <v>0.49689841819925945</v>
      </c>
      <c r="W54" s="27">
        <f t="shared" si="21"/>
        <v>0.3356396531501335</v>
      </c>
      <c r="X54" s="27">
        <f t="shared" si="21"/>
        <v>0.22755901730340189</v>
      </c>
      <c r="Y54" s="27">
        <f t="shared" si="21"/>
        <v>0.15484587495995039</v>
      </c>
    </row>
    <row r="55" spans="1:25" x14ac:dyDescent="0.25">
      <c r="A55" s="21">
        <v>43</v>
      </c>
      <c r="C55" s="25">
        <f t="shared" si="19"/>
        <v>5.422979589734731</v>
      </c>
      <c r="D55" s="23">
        <f>FishHarvestTimeTrends!AC64*((1+OriginalBCACalculations!D$10)^MIN(OriginalBCACalculations!$A55,20))</f>
        <v>1.838666815315837</v>
      </c>
      <c r="E55" s="23">
        <f>FishHarvestTimeTrends!AD64*((1+OriginalBCACalculations!E$10)^MIN(OriginalBCACalculations!$A55,20))</f>
        <v>0.26290407975583302</v>
      </c>
      <c r="F55" s="23">
        <f t="shared" si="20"/>
        <v>5.7774522653290861</v>
      </c>
      <c r="H55" s="22">
        <f t="shared" si="14"/>
        <v>2.8000000000000001E-2</v>
      </c>
      <c r="I55" s="22"/>
      <c r="J55" s="41"/>
      <c r="K55" s="41">
        <f t="shared" si="6"/>
        <v>0.31631465039807671</v>
      </c>
      <c r="L55" s="41">
        <f t="shared" si="6"/>
        <v>0.10724680800681813</v>
      </c>
      <c r="M55" s="41">
        <f t="shared" si="6"/>
        <v>1.5334819300004455E-2</v>
      </c>
      <c r="N55" s="41">
        <f t="shared" si="6"/>
        <v>0.33699053504801024</v>
      </c>
      <c r="O55" s="67"/>
      <c r="P55" s="41">
        <f t="shared" si="13"/>
        <v>1.6331999898932656E-3</v>
      </c>
      <c r="R55" s="27">
        <f t="shared" si="21"/>
        <v>2.4840435706660244</v>
      </c>
      <c r="S55" s="27">
        <f t="shared" si="21"/>
        <v>1.6355412815448733</v>
      </c>
      <c r="T55" s="27">
        <f t="shared" si="21"/>
        <v>1.0813144214313275</v>
      </c>
      <c r="U55" s="27">
        <f t="shared" si="21"/>
        <v>0.71778730263725421</v>
      </c>
      <c r="V55" s="27">
        <f t="shared" si="21"/>
        <v>0.47836451759906351</v>
      </c>
      <c r="W55" s="27">
        <f t="shared" si="21"/>
        <v>0.32004323252505562</v>
      </c>
      <c r="X55" s="27">
        <f t="shared" si="21"/>
        <v>0.21493783401868877</v>
      </c>
      <c r="Y55" s="27">
        <f t="shared" si="21"/>
        <v>0.14489071194664938</v>
      </c>
    </row>
    <row r="56" spans="1:25" x14ac:dyDescent="0.25">
      <c r="A56" s="21">
        <v>44</v>
      </c>
      <c r="C56" s="25">
        <f t="shared" si="19"/>
        <v>5.422979589734731</v>
      </c>
      <c r="D56" s="23">
        <f>FishHarvestTimeTrends!AC65*((1+OriginalBCACalculations!D$10)^MIN(OriginalBCACalculations!$A56,20))</f>
        <v>1.8387693701974319</v>
      </c>
      <c r="E56" s="23">
        <f>FishHarvestTimeTrends!AD65*((1+OriginalBCACalculations!E$10)^MIN(OriginalBCACalculations!$A56,20))</f>
        <v>0.26291347505455331</v>
      </c>
      <c r="F56" s="23">
        <f t="shared" si="20"/>
        <v>5.7803409914617507</v>
      </c>
      <c r="H56" s="22">
        <f t="shared" si="14"/>
        <v>2.8000000000000001E-2</v>
      </c>
      <c r="I56" s="22"/>
      <c r="J56" s="41"/>
      <c r="K56" s="41">
        <f t="shared" si="6"/>
        <v>0.29562116859633331</v>
      </c>
      <c r="L56" s="41">
        <f t="shared" si="6"/>
        <v>0.10023625223039023</v>
      </c>
      <c r="M56" s="41">
        <f t="shared" si="6"/>
        <v>1.433211898537716E-2</v>
      </c>
      <c r="N56" s="41">
        <f t="shared" si="6"/>
        <v>0.31510189749115347</v>
      </c>
      <c r="O56" s="67"/>
      <c r="P56" s="41">
        <f t="shared" si="13"/>
        <v>1.5263551307413694E-3</v>
      </c>
      <c r="R56" s="27">
        <f t="shared" si="21"/>
        <v>2.4870442469790044</v>
      </c>
      <c r="S56" s="27">
        <f t="shared" si="21"/>
        <v>1.621303944156361</v>
      </c>
      <c r="T56" s="27">
        <f t="shared" si="21"/>
        <v>1.0613927727630919</v>
      </c>
      <c r="U56" s="27">
        <f t="shared" si="21"/>
        <v>0.6977226948895332</v>
      </c>
      <c r="V56" s="27">
        <f t="shared" si="21"/>
        <v>0.46052151214521964</v>
      </c>
      <c r="W56" s="27">
        <f t="shared" si="21"/>
        <v>0.3051712747851103</v>
      </c>
      <c r="X56" s="27">
        <f t="shared" si="21"/>
        <v>0.20301648560485475</v>
      </c>
      <c r="Y56" s="27">
        <f t="shared" si="21"/>
        <v>0.13557545524132888</v>
      </c>
    </row>
    <row r="57" spans="1:25" x14ac:dyDescent="0.25">
      <c r="A57" s="21">
        <v>45</v>
      </c>
      <c r="C57" s="25">
        <f t="shared" si="19"/>
        <v>5.422979589734731</v>
      </c>
      <c r="D57" s="23">
        <f>FishHarvestTimeTrends!AC66*((1+OriginalBCACalculations!D$10)^MIN(OriginalBCACalculations!$A57,20))</f>
        <v>1.8388719250790269</v>
      </c>
      <c r="E57" s="23">
        <f>FishHarvestTimeTrends!AD66*((1+OriginalBCACalculations!E$10)^MIN(OriginalBCACalculations!$A57,20))</f>
        <v>0.26292287035327361</v>
      </c>
      <c r="F57" s="23">
        <f t="shared" si="20"/>
        <v>5.783231161957481</v>
      </c>
      <c r="H57" s="22">
        <f t="shared" si="14"/>
        <v>2.8000000000000001E-2</v>
      </c>
      <c r="I57" s="22"/>
      <c r="J57" s="41"/>
      <c r="K57" s="41">
        <f t="shared" si="6"/>
        <v>0.27628146597788167</v>
      </c>
      <c r="L57" s="41">
        <f t="shared" si="6"/>
        <v>9.368396520763124E-2</v>
      </c>
      <c r="M57" s="41">
        <f t="shared" si="6"/>
        <v>1.3394982381607714E-2</v>
      </c>
      <c r="N57" s="41">
        <f t="shared" si="6"/>
        <v>0.29463499854196173</v>
      </c>
      <c r="O57" s="67"/>
      <c r="P57" s="41">
        <f t="shared" si="13"/>
        <v>1.426500122188196E-3</v>
      </c>
      <c r="R57" s="27">
        <f t="shared" si="21"/>
        <v>2.4900463676550499</v>
      </c>
      <c r="S57" s="27">
        <f t="shared" si="21"/>
        <v>1.607189135032784</v>
      </c>
      <c r="T57" s="27">
        <f t="shared" si="21"/>
        <v>1.041837239275841</v>
      </c>
      <c r="U57" s="27">
        <f t="shared" si="21"/>
        <v>0.67821836760977938</v>
      </c>
      <c r="V57" s="27">
        <f t="shared" si="21"/>
        <v>0.44334366291707666</v>
      </c>
      <c r="W57" s="27">
        <f t="shared" si="21"/>
        <v>0.29099014114727095</v>
      </c>
      <c r="X57" s="27">
        <f t="shared" si="21"/>
        <v>0.19175617696741312</v>
      </c>
      <c r="Y57" s="27">
        <f t="shared" si="21"/>
        <v>0.12685898027550721</v>
      </c>
    </row>
    <row r="58" spans="1:25" x14ac:dyDescent="0.25">
      <c r="A58" s="21">
        <v>46</v>
      </c>
      <c r="C58" s="25">
        <f t="shared" si="19"/>
        <v>5.422979589734731</v>
      </c>
      <c r="D58" s="23">
        <f>FishHarvestTimeTrends!AC67*((1+OriginalBCACalculations!D$10)^MIN(OriginalBCACalculations!$A58,20))</f>
        <v>1.838974479960622</v>
      </c>
      <c r="E58" s="23">
        <f>FishHarvestTimeTrends!AD67*((1+OriginalBCACalculations!E$10)^MIN(OriginalBCACalculations!$A58,20))</f>
        <v>0.26293226565199396</v>
      </c>
      <c r="F58" s="23">
        <f t="shared" si="20"/>
        <v>5.7861227775384592</v>
      </c>
      <c r="H58" s="22">
        <f t="shared" si="14"/>
        <v>2.8000000000000001E-2</v>
      </c>
      <c r="I58" s="22"/>
      <c r="J58" s="41"/>
      <c r="K58" s="41">
        <f t="shared" si="6"/>
        <v>0.25820697754942207</v>
      </c>
      <c r="L58" s="41">
        <f t="shared" si="6"/>
        <v>8.7559990666381884E-2</v>
      </c>
      <c r="M58" s="41">
        <f t="shared" si="6"/>
        <v>1.2519122465947548E-2</v>
      </c>
      <c r="N58" s="41">
        <f t="shared" si="6"/>
        <v>0.27549749162732023</v>
      </c>
      <c r="O58" s="67"/>
      <c r="P58" s="41">
        <f t="shared" si="13"/>
        <v>1.3331776842880334E-3</v>
      </c>
      <c r="R58" s="27">
        <f t="shared" si="21"/>
        <v>2.4930499334163443</v>
      </c>
      <c r="S58" s="27">
        <f t="shared" si="21"/>
        <v>1.5931958147836685</v>
      </c>
      <c r="T58" s="27">
        <f t="shared" si="21"/>
        <v>1.0226411111849809</v>
      </c>
      <c r="U58" s="27">
        <f t="shared" si="21"/>
        <v>0.6592586933689043</v>
      </c>
      <c r="V58" s="27">
        <f t="shared" si="21"/>
        <v>0.42680618926233121</v>
      </c>
      <c r="W58" s="27">
        <f t="shared" si="21"/>
        <v>0.2774677541428377</v>
      </c>
      <c r="X58" s="27">
        <f t="shared" si="21"/>
        <v>0.18112026301871301</v>
      </c>
      <c r="Y58" s="27">
        <f t="shared" si="21"/>
        <v>0.11870280489451564</v>
      </c>
    </row>
    <row r="59" spans="1:25" x14ac:dyDescent="0.25">
      <c r="A59" s="21">
        <v>47</v>
      </c>
      <c r="C59" s="25">
        <f t="shared" si="19"/>
        <v>5.422979589734731</v>
      </c>
      <c r="D59" s="23">
        <f>FishHarvestTimeTrends!AC68*((1+OriginalBCACalculations!D$10)^MIN(OriginalBCACalculations!$A59,20))</f>
        <v>1.8390770348422167</v>
      </c>
      <c r="E59" s="23">
        <f>FishHarvestTimeTrends!AD68*((1+OriginalBCACalculations!E$10)^MIN(OriginalBCACalculations!$A59,20))</f>
        <v>0.26294166095071431</v>
      </c>
      <c r="F59" s="23">
        <f t="shared" si="20"/>
        <v>5.7890158389272282</v>
      </c>
      <c r="H59" s="22">
        <f t="shared" si="14"/>
        <v>2.8000000000000001E-2</v>
      </c>
      <c r="I59" s="22"/>
      <c r="J59" s="41"/>
      <c r="K59" s="41">
        <f t="shared" si="6"/>
        <v>0.24131493228917952</v>
      </c>
      <c r="L59" s="41">
        <f t="shared" si="6"/>
        <v>8.1836330525308726E-2</v>
      </c>
      <c r="M59" s="41">
        <f t="shared" si="6"/>
        <v>1.1700532531679656E-2</v>
      </c>
      <c r="N59" s="41">
        <f t="shared" si="6"/>
        <v>0.25760302838610644</v>
      </c>
      <c r="O59" s="67"/>
      <c r="P59" s="41">
        <f t="shared" si="13"/>
        <v>1.2459604526056387E-3</v>
      </c>
      <c r="R59" s="27">
        <f t="shared" si="21"/>
        <v>2.4960549449854277</v>
      </c>
      <c r="S59" s="27">
        <f t="shared" si="21"/>
        <v>1.579322952671607</v>
      </c>
      <c r="T59" s="27">
        <f t="shared" si="21"/>
        <v>1.0037978012962001</v>
      </c>
      <c r="U59" s="27">
        <f t="shared" si="21"/>
        <v>0.64082848008993132</v>
      </c>
      <c r="V59" s="27">
        <f t="shared" si="21"/>
        <v>0.41088523314475733</v>
      </c>
      <c r="W59" s="27">
        <f t="shared" si="21"/>
        <v>0.2645735251806946</v>
      </c>
      <c r="X59" s="27">
        <f t="shared" si="21"/>
        <v>0.17107412955908191</v>
      </c>
      <c r="Y59" s="27">
        <f t="shared" si="21"/>
        <v>0.11107091960652093</v>
      </c>
    </row>
    <row r="60" spans="1:25" x14ac:dyDescent="0.25">
      <c r="A60" s="21">
        <v>48</v>
      </c>
      <c r="C60" s="25">
        <f t="shared" si="19"/>
        <v>5.422979589734731</v>
      </c>
      <c r="D60" s="23">
        <f>FishHarvestTimeTrends!AC69*((1+OriginalBCACalculations!D$10)^MIN(OriginalBCACalculations!$A60,20))</f>
        <v>1.8391795897238123</v>
      </c>
      <c r="E60" s="23">
        <f>FishHarvestTimeTrends!AD69*((1+OriginalBCACalculations!E$10)^MIN(OriginalBCACalculations!$A60,20))</f>
        <v>0.2629510562494346</v>
      </c>
      <c r="F60" s="23">
        <f t="shared" si="20"/>
        <v>5.7919103468466915</v>
      </c>
      <c r="H60" s="22">
        <f t="shared" si="14"/>
        <v>2.8000000000000001E-2</v>
      </c>
      <c r="I60" s="22"/>
      <c r="J60" s="41"/>
      <c r="K60" s="41">
        <f t="shared" si="6"/>
        <v>0.22552797410203693</v>
      </c>
      <c r="L60" s="41">
        <f t="shared" si="6"/>
        <v>7.6486816890364961E-2</v>
      </c>
      <c r="M60" s="41">
        <f t="shared" si="6"/>
        <v>1.0935467859067967E-2</v>
      </c>
      <c r="N60" s="41">
        <f t="shared" si="6"/>
        <v>0.24087086906570043</v>
      </c>
      <c r="O60" s="67"/>
      <c r="P60" s="41">
        <f t="shared" si="13"/>
        <v>1.1644490211267652E-3</v>
      </c>
      <c r="R60" s="27">
        <f t="shared" si="21"/>
        <v>2.4990614030852072</v>
      </c>
      <c r="S60" s="27">
        <f t="shared" si="21"/>
        <v>1.5655695265420355</v>
      </c>
      <c r="T60" s="27">
        <f t="shared" si="21"/>
        <v>0.9853008427734854</v>
      </c>
      <c r="U60" s="27">
        <f t="shared" si="21"/>
        <v>0.62291295893575327</v>
      </c>
      <c r="V60" s="27">
        <f t="shared" si="21"/>
        <v>0.39555782481742036</v>
      </c>
      <c r="W60" s="27">
        <f t="shared" si="21"/>
        <v>0.25227828546978442</v>
      </c>
      <c r="X60" s="27">
        <f t="shared" si="21"/>
        <v>0.16158508075569883</v>
      </c>
      <c r="Y60" s="27">
        <f t="shared" si="21"/>
        <v>0.10392962873422321</v>
      </c>
    </row>
    <row r="61" spans="1:25" x14ac:dyDescent="0.25">
      <c r="A61" s="21">
        <v>49</v>
      </c>
      <c r="C61" s="25">
        <f t="shared" si="19"/>
        <v>5.422979589734731</v>
      </c>
      <c r="D61" s="23">
        <f>FishHarvestTimeTrends!AC70*((1+OriginalBCACalculations!D$10)^MIN(OriginalBCACalculations!$A61,20))</f>
        <v>1.8392821446054073</v>
      </c>
      <c r="E61" s="23">
        <f>FishHarvestTimeTrends!AD70*((1+OriginalBCACalculations!E$10)^MIN(OriginalBCACalculations!$A61,20))</f>
        <v>0.26296045154815489</v>
      </c>
      <c r="F61" s="23">
        <f t="shared" si="20"/>
        <v>5.7948063020201142</v>
      </c>
      <c r="H61" s="22">
        <f t="shared" si="14"/>
        <v>2.8000000000000001E-2</v>
      </c>
      <c r="I61" s="22"/>
      <c r="J61" s="41"/>
      <c r="K61" s="41">
        <f t="shared" si="6"/>
        <v>0.21077380757199712</v>
      </c>
      <c r="L61" s="41">
        <f t="shared" si="6"/>
        <v>7.1486992418614947E-2</v>
      </c>
      <c r="M61" s="41">
        <f t="shared" si="6"/>
        <v>1.0220428584789757E-2</v>
      </c>
      <c r="N61" s="41">
        <f t="shared" si="6"/>
        <v>0.22522551822451709</v>
      </c>
      <c r="O61" s="67"/>
      <c r="P61" s="41">
        <f t="shared" si="13"/>
        <v>1.0882701132025844E-3</v>
      </c>
      <c r="R61" s="27">
        <f t="shared" si="21"/>
        <v>2.5020693084389443</v>
      </c>
      <c r="S61" s="27">
        <f t="shared" si="21"/>
        <v>1.5519345227535375</v>
      </c>
      <c r="T61" s="27">
        <f t="shared" si="21"/>
        <v>0.96714388694760067</v>
      </c>
      <c r="U61" s="27">
        <f t="shared" si="21"/>
        <v>0.60549777253339299</v>
      </c>
      <c r="V61" s="27">
        <f t="shared" si="21"/>
        <v>0.38080184977212816</v>
      </c>
      <c r="W61" s="27">
        <f t="shared" si="21"/>
        <v>0.24055422014508882</v>
      </c>
      <c r="X61" s="27">
        <f t="shared" si="21"/>
        <v>0.15262223285387205</v>
      </c>
      <c r="Y61" s="27">
        <f t="shared" si="21"/>
        <v>9.7247401769127204E-2</v>
      </c>
    </row>
    <row r="62" spans="1:25" x14ac:dyDescent="0.25">
      <c r="A62" s="21">
        <v>50</v>
      </c>
      <c r="C62" s="25">
        <f t="shared" si="19"/>
        <v>5.422979589734731</v>
      </c>
      <c r="D62" s="23">
        <f>FishHarvestTimeTrends!AC71*((1+OriginalBCACalculations!D$10)^MIN(OriginalBCACalculations!$A62,20))</f>
        <v>1.8393846994870022</v>
      </c>
      <c r="E62" s="23">
        <f>FishHarvestTimeTrends!AD71*((1+OriginalBCACalculations!E$10)^MIN(OriginalBCACalculations!$A62,20))</f>
        <v>0.26296984684687519</v>
      </c>
      <c r="F62" s="23">
        <f t="shared" si="20"/>
        <v>5.7977037051711235</v>
      </c>
      <c r="H62" s="22">
        <f t="shared" si="14"/>
        <v>2.8000000000000001E-2</v>
      </c>
      <c r="I62" s="22"/>
      <c r="J62" s="41"/>
      <c r="K62" s="41">
        <f t="shared" si="6"/>
        <v>0.19698486688971698</v>
      </c>
      <c r="L62" s="41">
        <f t="shared" si="6"/>
        <v>6.6813998502464E-2</v>
      </c>
      <c r="M62" s="41">
        <f t="shared" si="6"/>
        <v>9.552143691485819E-3</v>
      </c>
      <c r="N62" s="41">
        <f t="shared" si="6"/>
        <v>0.21059638409684986</v>
      </c>
      <c r="O62" s="67"/>
      <c r="P62" s="41">
        <f t="shared" si="13"/>
        <v>1.0170748721519481E-3</v>
      </c>
      <c r="R62" s="27">
        <f t="shared" ref="R62:Y77" si="22">(SUM($D62:$H62)-SUM($B62:$C62))/((1+R$10)^($A62-1))</f>
        <v>2.5050786617702698</v>
      </c>
      <c r="S62" s="27">
        <f t="shared" si="22"/>
        <v>1.5384169361087223</v>
      </c>
      <c r="T62" s="27">
        <f t="shared" si="22"/>
        <v>0.94932070116433143</v>
      </c>
      <c r="U62" s="27">
        <f t="shared" si="22"/>
        <v>0.5885689635254423</v>
      </c>
      <c r="V62" s="27">
        <f t="shared" si="22"/>
        <v>0.36659601691771354</v>
      </c>
      <c r="W62" s="27">
        <f t="shared" si="22"/>
        <v>0.22937480544861871</v>
      </c>
      <c r="X62" s="27">
        <f t="shared" si="22"/>
        <v>0.1441564137756231</v>
      </c>
      <c r="Y62" s="27">
        <f t="shared" si="22"/>
        <v>9.0994734273234651E-2</v>
      </c>
    </row>
    <row r="63" spans="1:25" x14ac:dyDescent="0.25">
      <c r="A63" s="21">
        <v>51</v>
      </c>
      <c r="C63" s="25">
        <f t="shared" si="19"/>
        <v>5.422979589734731</v>
      </c>
      <c r="D63" s="23">
        <f>FishHarvestTimeTrends!AC72*((1+OriginalBCACalculations!D$10)^MIN(OriginalBCACalculations!$A63,20))</f>
        <v>1.8393860142990097</v>
      </c>
      <c r="E63" s="23">
        <f>FishHarvestTimeTrends!AD72*((1+OriginalBCACalculations!E$10)^MIN(OriginalBCACalculations!$A63,20))</f>
        <v>0.26296998552618545</v>
      </c>
      <c r="F63" s="23">
        <f t="shared" si="20"/>
        <v>5.8006025570237085</v>
      </c>
      <c r="H63" s="22">
        <f t="shared" si="14"/>
        <v>2.8000000000000001E-2</v>
      </c>
      <c r="I63" s="22"/>
      <c r="J63" s="41"/>
      <c r="K63" s="41">
        <f t="shared" si="6"/>
        <v>0.1840980064389878</v>
      </c>
      <c r="L63" s="41">
        <f t="shared" si="6"/>
        <v>6.2443033889560962E-2</v>
      </c>
      <c r="M63" s="41">
        <f t="shared" si="6"/>
        <v>8.9272418026984206E-3</v>
      </c>
      <c r="N63" s="41">
        <f t="shared" si="6"/>
        <v>0.19691746008308247</v>
      </c>
      <c r="O63" s="67"/>
      <c r="P63" s="41">
        <f t="shared" si="13"/>
        <v>9.5053726369340934E-4</v>
      </c>
      <c r="R63" s="27">
        <f t="shared" si="22"/>
        <v>2.5079789671141723</v>
      </c>
      <c r="S63" s="27">
        <f t="shared" si="22"/>
        <v>1.5249485835087062</v>
      </c>
      <c r="T63" s="27">
        <f t="shared" si="22"/>
        <v>0.93178411407089401</v>
      </c>
      <c r="U63" s="27">
        <f t="shared" si="22"/>
        <v>0.57208775836253722</v>
      </c>
      <c r="V63" s="27">
        <f t="shared" si="22"/>
        <v>0.35290427966339155</v>
      </c>
      <c r="W63" s="27">
        <f t="shared" si="22"/>
        <v>0.21870511310069737</v>
      </c>
      <c r="X63" s="27">
        <f t="shared" si="22"/>
        <v>0.13615406959534443</v>
      </c>
      <c r="Y63" s="27">
        <f t="shared" si="22"/>
        <v>8.5140266600047435E-2</v>
      </c>
    </row>
    <row r="64" spans="1:25" x14ac:dyDescent="0.25">
      <c r="A64" s="21">
        <v>52</v>
      </c>
      <c r="C64" s="25">
        <f t="shared" si="19"/>
        <v>5.422979589734731</v>
      </c>
      <c r="D64" s="23">
        <f>FishHarvestTimeTrends!AC73*((1+OriginalBCACalculations!D$10)^MIN(OriginalBCACalculations!$A64,20))</f>
        <v>1.8393873291110174</v>
      </c>
      <c r="E64" s="23">
        <f>FishHarvestTimeTrends!AD73*((1+OriginalBCACalculations!E$10)^MIN(OriginalBCACalculations!$A64,20))</f>
        <v>0.26297012420549565</v>
      </c>
      <c r="F64" s="23">
        <f t="shared" si="20"/>
        <v>5.8035028583022203</v>
      </c>
      <c r="H64" s="22">
        <f t="shared" si="14"/>
        <v>2.8000000000000001E-2</v>
      </c>
      <c r="I64" s="22"/>
      <c r="J64" s="41"/>
      <c r="K64" s="41">
        <f t="shared" si="6"/>
        <v>0.17205421162522222</v>
      </c>
      <c r="L64" s="41">
        <f t="shared" si="6"/>
        <v>5.8358017312600624E-2</v>
      </c>
      <c r="M64" s="41">
        <f t="shared" si="6"/>
        <v>8.3432210378974556E-3</v>
      </c>
      <c r="N64" s="41">
        <f t="shared" si="6"/>
        <v>0.18412702692815325</v>
      </c>
      <c r="O64" s="67"/>
      <c r="P64" s="41">
        <f t="shared" si="13"/>
        <v>8.8835258289103667E-4</v>
      </c>
      <c r="R64" s="27">
        <f t="shared" si="22"/>
        <v>2.5108807218840017</v>
      </c>
      <c r="S64" s="27">
        <f t="shared" si="22"/>
        <v>1.5115969931371178</v>
      </c>
      <c r="T64" s="27">
        <f t="shared" si="22"/>
        <v>0.91457078124998092</v>
      </c>
      <c r="U64" s="27">
        <f t="shared" si="22"/>
        <v>0.55606763997024178</v>
      </c>
      <c r="V64" s="27">
        <f t="shared" si="22"/>
        <v>0.33972364727510573</v>
      </c>
      <c r="W64" s="27">
        <f t="shared" si="22"/>
        <v>0.20853157802989178</v>
      </c>
      <c r="X64" s="27">
        <f t="shared" si="22"/>
        <v>0.12859585010206812</v>
      </c>
      <c r="Y64" s="27">
        <f t="shared" si="22"/>
        <v>7.9662406236320121E-2</v>
      </c>
    </row>
    <row r="65" spans="1:25" x14ac:dyDescent="0.25">
      <c r="A65" s="21">
        <v>53</v>
      </c>
      <c r="C65" s="25">
        <f t="shared" si="19"/>
        <v>5.422979589734731</v>
      </c>
      <c r="D65" s="23">
        <f>FishHarvestTimeTrends!AC74*((1+OriginalBCACalculations!D$10)^MIN(OriginalBCACalculations!$A65,20))</f>
        <v>1.8393886439230247</v>
      </c>
      <c r="E65" s="23">
        <f>FishHarvestTimeTrends!AD74*((1+OriginalBCACalculations!E$10)^MIN(OriginalBCACalculations!$A65,20))</f>
        <v>0.26297026288480585</v>
      </c>
      <c r="F65" s="23">
        <f t="shared" si="20"/>
        <v>5.8064046097313708</v>
      </c>
      <c r="H65" s="22">
        <f t="shared" si="14"/>
        <v>2.8000000000000001E-2</v>
      </c>
      <c r="I65" s="22"/>
      <c r="J65" s="41"/>
      <c r="K65" s="41">
        <f t="shared" si="6"/>
        <v>0.16079832862170304</v>
      </c>
      <c r="L65" s="41">
        <f t="shared" si="6"/>
        <v>5.4540242081757687E-2</v>
      </c>
      <c r="M65" s="41">
        <f t="shared" si="6"/>
        <v>7.7974069511766416E-3</v>
      </c>
      <c r="N65" s="41">
        <f t="shared" si="6"/>
        <v>0.17216737424450218</v>
      </c>
      <c r="O65" s="67"/>
      <c r="P65" s="41">
        <f t="shared" si="13"/>
        <v>8.3023605877666977E-4</v>
      </c>
      <c r="R65" s="27">
        <f t="shared" si="22"/>
        <v>2.5137839268044697</v>
      </c>
      <c r="S65" s="27">
        <f t="shared" si="22"/>
        <v>1.4983611649604565</v>
      </c>
      <c r="T65" s="27">
        <f t="shared" si="22"/>
        <v>0.89767475821843756</v>
      </c>
      <c r="U65" s="27">
        <f t="shared" si="22"/>
        <v>0.54049572133640134</v>
      </c>
      <c r="V65" s="27">
        <f t="shared" si="22"/>
        <v>0.32703505059478305</v>
      </c>
      <c r="W65" s="27">
        <f t="shared" si="22"/>
        <v>0.198831135801012</v>
      </c>
      <c r="X65" s="27">
        <f t="shared" si="22"/>
        <v>0.12145711227068581</v>
      </c>
      <c r="Y65" s="27">
        <f t="shared" si="22"/>
        <v>7.4536930714510119E-2</v>
      </c>
    </row>
    <row r="66" spans="1:25" x14ac:dyDescent="0.25">
      <c r="A66" s="21">
        <v>54</v>
      </c>
      <c r="C66" s="25">
        <f t="shared" si="19"/>
        <v>5.422979589734731</v>
      </c>
      <c r="D66" s="23">
        <f>FishHarvestTimeTrends!AC75*((1+OriginalBCACalculations!D$10)^MIN(OriginalBCACalculations!$A66,20))</f>
        <v>1.839389958735032</v>
      </c>
      <c r="E66" s="23">
        <f>FishHarvestTimeTrends!AD75*((1+OriginalBCACalculations!E$10)^MIN(OriginalBCACalculations!$A66,20))</f>
        <v>0.26297040156411611</v>
      </c>
      <c r="F66" s="23">
        <f t="shared" si="20"/>
        <v>5.809307812036236</v>
      </c>
      <c r="H66" s="22">
        <f t="shared" si="14"/>
        <v>2.8000000000000001E-2</v>
      </c>
      <c r="I66" s="22"/>
      <c r="J66" s="41"/>
      <c r="K66" s="41">
        <f t="shared" si="6"/>
        <v>0.15027881179598412</v>
      </c>
      <c r="L66" s="41">
        <f t="shared" si="6"/>
        <v>5.0972225296847598E-2</v>
      </c>
      <c r="M66" s="41">
        <f t="shared" si="6"/>
        <v>7.2873000590624147E-3</v>
      </c>
      <c r="N66" s="41">
        <f t="shared" si="6"/>
        <v>0.16098454012301344</v>
      </c>
      <c r="O66" s="67"/>
      <c r="P66" s="41">
        <f t="shared" si="13"/>
        <v>7.7592155025856977E-4</v>
      </c>
      <c r="R66" s="27">
        <f t="shared" si="22"/>
        <v>2.5166885826006524</v>
      </c>
      <c r="S66" s="27">
        <f t="shared" si="22"/>
        <v>1.4852401073789103</v>
      </c>
      <c r="T66" s="27">
        <f t="shared" si="22"/>
        <v>0.88109020952228612</v>
      </c>
      <c r="U66" s="27">
        <f t="shared" si="22"/>
        <v>0.52535947525525584</v>
      </c>
      <c r="V66" s="27">
        <f t="shared" si="22"/>
        <v>0.31482013153327065</v>
      </c>
      <c r="W66" s="27">
        <f t="shared" si="22"/>
        <v>0.18958179378608342</v>
      </c>
      <c r="X66" s="27">
        <f t="shared" si="22"/>
        <v>0.11471458011660519</v>
      </c>
      <c r="Y66" s="27">
        <f t="shared" si="22"/>
        <v>6.9741175233197894E-2</v>
      </c>
    </row>
    <row r="67" spans="1:25" x14ac:dyDescent="0.25">
      <c r="A67" s="21">
        <v>55</v>
      </c>
      <c r="C67" s="25">
        <f t="shared" si="19"/>
        <v>5.422979589734731</v>
      </c>
      <c r="D67" s="23">
        <f>FishHarvestTimeTrends!AC76*((1+OriginalBCACalculations!D$10)^MIN(OriginalBCACalculations!$A67,20))</f>
        <v>1.8393912735470395</v>
      </c>
      <c r="E67" s="23">
        <f>FishHarvestTimeTrends!AD76*((1+OriginalBCACalculations!E$10)^MIN(OriginalBCACalculations!$A67,20))</f>
        <v>0.26297054024342631</v>
      </c>
      <c r="F67" s="23">
        <f t="shared" si="20"/>
        <v>5.8122124659422543</v>
      </c>
      <c r="H67" s="22">
        <f t="shared" si="14"/>
        <v>2.8000000000000001E-2</v>
      </c>
      <c r="I67" s="22"/>
      <c r="J67" s="41"/>
      <c r="K67" s="41">
        <f t="shared" si="6"/>
        <v>0.14044748765979825</v>
      </c>
      <c r="L67" s="41">
        <f t="shared" si="6"/>
        <v>4.7637627787139654E-2</v>
      </c>
      <c r="M67" s="41">
        <f t="shared" si="6"/>
        <v>6.8105643944597121E-3</v>
      </c>
      <c r="N67" s="41">
        <f t="shared" si="6"/>
        <v>0.15052806765707941</v>
      </c>
      <c r="O67" s="67"/>
      <c r="P67" s="41">
        <f t="shared" si="13"/>
        <v>7.2516032734445783E-4</v>
      </c>
      <c r="R67" s="27">
        <f t="shared" si="22"/>
        <v>2.5195946899979891</v>
      </c>
      <c r="S67" s="27">
        <f t="shared" si="22"/>
        <v>1.4722328371566573</v>
      </c>
      <c r="T67" s="27">
        <f t="shared" si="22"/>
        <v>0.86481140674284107</v>
      </c>
      <c r="U67" s="27">
        <f t="shared" si="22"/>
        <v>0.51064672429282165</v>
      </c>
      <c r="V67" s="27">
        <f t="shared" si="22"/>
        <v>0.30306121657079599</v>
      </c>
      <c r="W67" s="27">
        <f t="shared" si="22"/>
        <v>0.18076258137516329</v>
      </c>
      <c r="X67" s="27">
        <f t="shared" si="22"/>
        <v>0.10834626887925418</v>
      </c>
      <c r="Y67" s="27">
        <f t="shared" si="22"/>
        <v>6.5253932506224979E-2</v>
      </c>
    </row>
    <row r="68" spans="1:25" x14ac:dyDescent="0.25">
      <c r="A68" s="21">
        <v>56</v>
      </c>
      <c r="C68" s="25">
        <f t="shared" si="19"/>
        <v>5.422979589734731</v>
      </c>
      <c r="D68" s="23">
        <f>FishHarvestTimeTrends!AC77*((1+OriginalBCACalculations!D$10)^MIN(OriginalBCACalculations!$A68,20))</f>
        <v>1.839392588359047</v>
      </c>
      <c r="E68" s="23">
        <f>FishHarvestTimeTrends!AD77*((1+OriginalBCACalculations!E$10)^MIN(OriginalBCACalculations!$A68,20))</f>
        <v>0.26297067892273651</v>
      </c>
      <c r="F68" s="23">
        <f t="shared" si="20"/>
        <v>5.8151185721752254</v>
      </c>
      <c r="H68" s="22">
        <f t="shared" si="14"/>
        <v>2.8000000000000001E-2</v>
      </c>
      <c r="I68" s="22"/>
      <c r="J68" s="41"/>
      <c r="K68" s="41">
        <f t="shared" si="6"/>
        <v>0.13125933426149369</v>
      </c>
      <c r="L68" s="41">
        <f t="shared" si="6"/>
        <v>4.4521179288698802E-2</v>
      </c>
      <c r="M68" s="41">
        <f t="shared" si="6"/>
        <v>6.3650168093993967E-3</v>
      </c>
      <c r="N68" s="41">
        <f t="shared" si="6"/>
        <v>0.14075077728122237</v>
      </c>
      <c r="O68" s="67"/>
      <c r="P68" s="41">
        <f t="shared" si="13"/>
        <v>6.7771993209762415E-4</v>
      </c>
      <c r="R68" s="27">
        <f t="shared" si="22"/>
        <v>2.5225022497222778</v>
      </c>
      <c r="S68" s="27">
        <f t="shared" si="22"/>
        <v>1.4593383793527288</v>
      </c>
      <c r="T68" s="27">
        <f t="shared" si="22"/>
        <v>0.84883272653917197</v>
      </c>
      <c r="U68" s="27">
        <f t="shared" si="22"/>
        <v>0.49634563103179502</v>
      </c>
      <c r="V68" s="27">
        <f t="shared" si="22"/>
        <v>0.29174129124438258</v>
      </c>
      <c r="W68" s="27">
        <f t="shared" si="22"/>
        <v>0.17235350249917702</v>
      </c>
      <c r="X68" s="27">
        <f t="shared" si="22"/>
        <v>0.10233141340934061</v>
      </c>
      <c r="Y68" s="27">
        <f t="shared" si="22"/>
        <v>6.1055359049924506E-2</v>
      </c>
    </row>
    <row r="69" spans="1:25" x14ac:dyDescent="0.25">
      <c r="A69" s="21">
        <v>57</v>
      </c>
      <c r="C69" s="25">
        <f t="shared" si="19"/>
        <v>5.422979589734731</v>
      </c>
      <c r="D69" s="23">
        <f>FishHarvestTimeTrends!AC78*((1+OriginalBCACalculations!D$10)^MIN(OriginalBCACalculations!$A69,20))</f>
        <v>1.8393939031710542</v>
      </c>
      <c r="E69" s="23">
        <f>FishHarvestTimeTrends!AD78*((1+OriginalBCACalculations!E$10)^MIN(OriginalBCACalculations!$A69,20))</f>
        <v>0.26297081760204677</v>
      </c>
      <c r="F69" s="23">
        <f t="shared" si="20"/>
        <v>5.8180261314613126</v>
      </c>
      <c r="H69" s="22">
        <f t="shared" si="14"/>
        <v>2.8000000000000001E-2</v>
      </c>
      <c r="I69" s="22"/>
      <c r="J69" s="41"/>
      <c r="K69" s="41">
        <f t="shared" si="6"/>
        <v>0.12267227501074177</v>
      </c>
      <c r="L69" s="41">
        <f t="shared" si="6"/>
        <v>4.1608608516617844E-2</v>
      </c>
      <c r="M69" s="41">
        <f t="shared" si="6"/>
        <v>5.9486169776006622E-3</v>
      </c>
      <c r="N69" s="41">
        <f t="shared" si="6"/>
        <v>0.13160855389706821</v>
      </c>
      <c r="O69" s="67"/>
      <c r="P69" s="41">
        <f t="shared" si="13"/>
        <v>6.3338311410992914E-4</v>
      </c>
      <c r="R69" s="27">
        <f t="shared" si="22"/>
        <v>2.5254112624996825</v>
      </c>
      <c r="S69" s="27">
        <f t="shared" si="22"/>
        <v>1.4465557672524278</v>
      </c>
      <c r="T69" s="27">
        <f t="shared" si="22"/>
        <v>0.83314864872624839</v>
      </c>
      <c r="U69" s="27">
        <f t="shared" si="22"/>
        <v>0.48244468858820005</v>
      </c>
      <c r="V69" s="27">
        <f t="shared" si="22"/>
        <v>0.28084397558549112</v>
      </c>
      <c r="W69" s="27">
        <f t="shared" si="22"/>
        <v>0.16433549035745509</v>
      </c>
      <c r="X69" s="27">
        <f t="shared" si="22"/>
        <v>9.6650400526845967E-2</v>
      </c>
      <c r="Y69" s="27">
        <f t="shared" si="22"/>
        <v>5.7126887494654874E-2</v>
      </c>
    </row>
    <row r="70" spans="1:25" x14ac:dyDescent="0.25">
      <c r="A70" s="21">
        <v>58</v>
      </c>
      <c r="C70" s="25">
        <f t="shared" si="19"/>
        <v>5.422979589734731</v>
      </c>
      <c r="D70" s="23">
        <f>FishHarvestTimeTrends!AC79*((1+OriginalBCACalculations!D$10)^MIN(OriginalBCACalculations!$A70,20))</f>
        <v>1.8393952179830615</v>
      </c>
      <c r="E70" s="23">
        <f>FishHarvestTimeTrends!AD79*((1+OriginalBCACalculations!E$10)^MIN(OriginalBCACalculations!$A70,20))</f>
        <v>0.26297095628135703</v>
      </c>
      <c r="F70" s="23">
        <f t="shared" si="20"/>
        <v>5.8209351445270432</v>
      </c>
      <c r="H70" s="22">
        <f t="shared" si="14"/>
        <v>2.8000000000000001E-2</v>
      </c>
      <c r="I70" s="22"/>
      <c r="J70" s="41"/>
      <c r="K70" s="41">
        <f t="shared" si="6"/>
        <v>0.11464698599134744</v>
      </c>
      <c r="L70" s="41">
        <f t="shared" si="6"/>
        <v>3.8886577811916664E-2</v>
      </c>
      <c r="M70" s="41">
        <f t="shared" si="6"/>
        <v>5.5594580510664859E-3</v>
      </c>
      <c r="N70" s="41">
        <f t="shared" si="6"/>
        <v>0.12306014782618387</v>
      </c>
      <c r="O70" s="67"/>
      <c r="P70" s="41">
        <f t="shared" si="13"/>
        <v>5.9194683561675612E-4</v>
      </c>
      <c r="R70" s="27">
        <f t="shared" si="22"/>
        <v>2.5283217290567297</v>
      </c>
      <c r="S70" s="27">
        <f t="shared" si="22"/>
        <v>1.4338840422993027</v>
      </c>
      <c r="T70" s="27">
        <f t="shared" si="22"/>
        <v>0.81775375438812214</v>
      </c>
      <c r="U70" s="27">
        <f t="shared" si="22"/>
        <v>0.46893271139221809</v>
      </c>
      <c r="V70" s="27">
        <f t="shared" si="22"/>
        <v>0.27035350047251194</v>
      </c>
      <c r="W70" s="27">
        <f t="shared" si="22"/>
        <v>0.1566903642476288</v>
      </c>
      <c r="X70" s="27">
        <f t="shared" si="22"/>
        <v>9.1284705129641472E-2</v>
      </c>
      <c r="Y70" s="27">
        <f t="shared" si="22"/>
        <v>5.3451144533436308E-2</v>
      </c>
    </row>
    <row r="71" spans="1:25" x14ac:dyDescent="0.25">
      <c r="A71" s="21">
        <v>59</v>
      </c>
      <c r="C71" s="25">
        <f t="shared" si="19"/>
        <v>5.422979589734731</v>
      </c>
      <c r="D71" s="23">
        <f>FishHarvestTimeTrends!AC80*((1+OriginalBCACalculations!D$10)^MIN(OriginalBCACalculations!$A71,20))</f>
        <v>1.8393965327950688</v>
      </c>
      <c r="E71" s="23">
        <f>FishHarvestTimeTrends!AD80*((1+OriginalBCACalculations!E$10)^MIN(OriginalBCACalculations!$A71,20))</f>
        <v>0.26297109496066717</v>
      </c>
      <c r="F71" s="23">
        <f t="shared" si="20"/>
        <v>5.8238456120993067</v>
      </c>
      <c r="H71" s="22">
        <f t="shared" si="14"/>
        <v>2.8000000000000001E-2</v>
      </c>
      <c r="I71" s="22"/>
      <c r="J71" s="41"/>
      <c r="K71" s="41">
        <f t="shared" si="6"/>
        <v>0.10714671587976397</v>
      </c>
      <c r="L71" s="41">
        <f t="shared" si="6"/>
        <v>3.6342622063834241E-2</v>
      </c>
      <c r="M71" s="41">
        <f t="shared" si="6"/>
        <v>5.1957579279252484E-3</v>
      </c>
      <c r="N71" s="41">
        <f t="shared" si="6"/>
        <v>0.11506698869167942</v>
      </c>
      <c r="O71" s="67"/>
      <c r="P71" s="41">
        <f t="shared" si="13"/>
        <v>5.5322134169790305E-4</v>
      </c>
      <c r="R71" s="27">
        <f t="shared" si="22"/>
        <v>2.5312336501203117</v>
      </c>
      <c r="S71" s="27">
        <f t="shared" si="22"/>
        <v>1.4213222540276638</v>
      </c>
      <c r="T71" s="27">
        <f t="shared" si="22"/>
        <v>0.80264272402550785</v>
      </c>
      <c r="U71" s="27">
        <f t="shared" si="22"/>
        <v>0.45579882622585338</v>
      </c>
      <c r="V71" s="27">
        <f t="shared" si="22"/>
        <v>0.26025468486406034</v>
      </c>
      <c r="W71" s="27">
        <f t="shared" si="22"/>
        <v>0.14940078840029522</v>
      </c>
      <c r="X71" s="27">
        <f t="shared" si="22"/>
        <v>8.6216829844816587E-2</v>
      </c>
      <c r="Y71" s="27">
        <f t="shared" si="22"/>
        <v>5.001187414537283E-2</v>
      </c>
    </row>
    <row r="72" spans="1:25" x14ac:dyDescent="0.25">
      <c r="A72" s="21">
        <v>60</v>
      </c>
      <c r="C72" s="25">
        <f t="shared" si="19"/>
        <v>5.422979589734731</v>
      </c>
      <c r="D72" s="23">
        <f>FishHarvestTimeTrends!AC81*((1+OriginalBCACalculations!D$10)^MIN(OriginalBCACalculations!$A72,20))</f>
        <v>1.8393978476070763</v>
      </c>
      <c r="E72" s="23">
        <f>FishHarvestTimeTrends!AD81*((1+OriginalBCACalculations!E$10)^MIN(OriginalBCACalculations!$A72,20))</f>
        <v>0.26297123363997749</v>
      </c>
      <c r="F72" s="23">
        <f t="shared" si="20"/>
        <v>5.8267575349053562</v>
      </c>
      <c r="H72" s="22">
        <f t="shared" si="14"/>
        <v>2.8000000000000001E-2</v>
      </c>
      <c r="I72" s="22"/>
      <c r="J72" s="41"/>
      <c r="K72" s="41">
        <f t="shared" si="6"/>
        <v>0.10013711764463921</v>
      </c>
      <c r="L72" s="41">
        <f t="shared" si="6"/>
        <v>3.3965091627817801E-2</v>
      </c>
      <c r="M72" s="41">
        <f t="shared" si="6"/>
        <v>4.8558510915307418E-3</v>
      </c>
      <c r="N72" s="41">
        <f t="shared" si="6"/>
        <v>0.10759301138880863</v>
      </c>
      <c r="O72" s="67"/>
      <c r="P72" s="41">
        <f t="shared" si="13"/>
        <v>5.170292913064513E-4</v>
      </c>
      <c r="R72" s="27">
        <f t="shared" si="22"/>
        <v>2.5341470264176786</v>
      </c>
      <c r="S72" s="27">
        <f t="shared" si="22"/>
        <v>1.4088694599956413</v>
      </c>
      <c r="T72" s="27">
        <f t="shared" si="22"/>
        <v>0.78781033573713566</v>
      </c>
      <c r="U72" s="27">
        <f t="shared" si="22"/>
        <v>0.44303246351028275</v>
      </c>
      <c r="V72" s="27">
        <f t="shared" si="22"/>
        <v>0.25053291388028431</v>
      </c>
      <c r="W72" s="27">
        <f t="shared" si="22"/>
        <v>0.14245023272538596</v>
      </c>
      <c r="X72" s="27">
        <f t="shared" si="22"/>
        <v>8.1430248026329213E-2</v>
      </c>
      <c r="Y72" s="27">
        <f t="shared" si="22"/>
        <v>4.6793865754824401E-2</v>
      </c>
    </row>
    <row r="73" spans="1:25" x14ac:dyDescent="0.25">
      <c r="A73" s="21">
        <v>61</v>
      </c>
      <c r="C73" s="25">
        <f t="shared" si="19"/>
        <v>5.422979589734731</v>
      </c>
      <c r="D73" s="23">
        <f>FishHarvestTimeTrends!AC82*((1+OriginalBCACalculations!D$10)^MIN(OriginalBCACalculations!$A73,20))</f>
        <v>1.8393991624190837</v>
      </c>
      <c r="E73" s="23">
        <f>FishHarvestTimeTrends!AD82*((1+OriginalBCACalculations!E$10)^MIN(OriginalBCACalculations!$A73,20))</f>
        <v>0.26297137231928763</v>
      </c>
      <c r="F73" s="23">
        <f t="shared" si="20"/>
        <v>5.8296709136728087</v>
      </c>
      <c r="H73" s="22">
        <f t="shared" si="14"/>
        <v>2.8000000000000001E-2</v>
      </c>
      <c r="I73" s="22"/>
      <c r="J73" s="41"/>
      <c r="K73" s="41">
        <f t="shared" si="6"/>
        <v>9.3586091256672166E-2</v>
      </c>
      <c r="L73" s="41">
        <f t="shared" si="6"/>
        <v>3.1743098977811052E-2</v>
      </c>
      <c r="M73" s="41">
        <f t="shared" si="6"/>
        <v>4.5381809834488061E-3</v>
      </c>
      <c r="N73" s="41">
        <f t="shared" si="6"/>
        <v>0.10060449335934864</v>
      </c>
      <c r="O73" s="67"/>
      <c r="P73" s="41">
        <f t="shared" si="13"/>
        <v>4.8320494514621622E-4</v>
      </c>
      <c r="R73" s="27">
        <f t="shared" si="22"/>
        <v>2.5370618586764486</v>
      </c>
      <c r="S73" s="27">
        <f t="shared" si="22"/>
        <v>1.3965247257187898</v>
      </c>
      <c r="T73" s="27">
        <f t="shared" si="22"/>
        <v>0.77325146343426954</v>
      </c>
      <c r="U73" s="27">
        <f t="shared" si="22"/>
        <v>0.43062334883594966</v>
      </c>
      <c r="V73" s="27">
        <f t="shared" si="22"/>
        <v>0.24117411770062372</v>
      </c>
      <c r="W73" s="27">
        <f t="shared" si="22"/>
        <v>0.13582293538149784</v>
      </c>
      <c r="X73" s="27">
        <f t="shared" si="22"/>
        <v>7.6909349913473757E-2</v>
      </c>
      <c r="Y73" s="27">
        <f t="shared" si="22"/>
        <v>4.3782887009082526E-2</v>
      </c>
    </row>
    <row r="74" spans="1:25" x14ac:dyDescent="0.25">
      <c r="A74" s="21">
        <v>62</v>
      </c>
      <c r="C74" s="25">
        <f t="shared" si="19"/>
        <v>5.422979589734731</v>
      </c>
      <c r="D74" s="23">
        <f>FishHarvestTimeTrends!AC83*((1+OriginalBCACalculations!D$10)^MIN(OriginalBCACalculations!$A74,20))</f>
        <v>1.8394004772310912</v>
      </c>
      <c r="E74" s="23">
        <f>FishHarvestTimeTrends!AD83*((1+OriginalBCACalculations!E$10)^MIN(OriginalBCACalculations!$A74,20))</f>
        <v>0.26297151099859789</v>
      </c>
      <c r="F74" s="23">
        <f t="shared" si="20"/>
        <v>5.8325857491296444</v>
      </c>
      <c r="H74" s="22">
        <f t="shared" si="14"/>
        <v>2.8000000000000001E-2</v>
      </c>
      <c r="I74" s="22"/>
      <c r="J74" s="41"/>
      <c r="K74" s="41">
        <f t="shared" si="6"/>
        <v>8.746363668847866E-2</v>
      </c>
      <c r="L74" s="41">
        <f t="shared" si="6"/>
        <v>2.9666468848543837E-2</v>
      </c>
      <c r="M74" s="41">
        <f t="shared" si="6"/>
        <v>4.2412928754037077E-3</v>
      </c>
      <c r="N74" s="41">
        <f t="shared" si="6"/>
        <v>9.4069902435540462E-2</v>
      </c>
      <c r="O74" s="67"/>
      <c r="P74" s="41">
        <f t="shared" si="13"/>
        <v>4.5159340667870674E-4</v>
      </c>
      <c r="R74" s="27">
        <f t="shared" si="22"/>
        <v>2.5399781476246019</v>
      </c>
      <c r="S74" s="27">
        <f t="shared" si="22"/>
        <v>1.3842871246042221</v>
      </c>
      <c r="T74" s="27">
        <f t="shared" si="22"/>
        <v>0.75896107508778177</v>
      </c>
      <c r="U74" s="27">
        <f t="shared" si="22"/>
        <v>0.41856149472864129</v>
      </c>
      <c r="V74" s="27">
        <f t="shared" si="22"/>
        <v>0.23216475124762306</v>
      </c>
      <c r="W74" s="27">
        <f t="shared" si="22"/>
        <v>0.12950386708355552</v>
      </c>
      <c r="X74" s="27">
        <f t="shared" si="22"/>
        <v>7.2639391774940734E-2</v>
      </c>
      <c r="Y74" s="27">
        <f t="shared" si="22"/>
        <v>4.0965620877688042E-2</v>
      </c>
    </row>
    <row r="75" spans="1:25" x14ac:dyDescent="0.25">
      <c r="A75" s="21">
        <v>63</v>
      </c>
      <c r="C75" s="25">
        <f t="shared" si="19"/>
        <v>5.422979589734731</v>
      </c>
      <c r="D75" s="23">
        <f>FishHarvestTimeTrends!AC84*((1+OriginalBCACalculations!D$10)^MIN(OriginalBCACalculations!$A75,20))</f>
        <v>1.8394017920430983</v>
      </c>
      <c r="E75" s="23">
        <f>FishHarvestTimeTrends!AD84*((1+OriginalBCACalculations!E$10)^MIN(OriginalBCACalculations!$A75,20))</f>
        <v>0.26297164967790809</v>
      </c>
      <c r="F75" s="23">
        <f t="shared" si="20"/>
        <v>5.835502042004209</v>
      </c>
      <c r="H75" s="22">
        <f t="shared" si="14"/>
        <v>2.8000000000000001E-2</v>
      </c>
      <c r="I75" s="22"/>
      <c r="J75" s="41"/>
      <c r="K75" s="41">
        <f t="shared" si="6"/>
        <v>8.1741716531288477E-2</v>
      </c>
      <c r="L75" s="41">
        <f t="shared" si="6"/>
        <v>2.7725691639508044E-2</v>
      </c>
      <c r="M75" s="41">
        <f t="shared" si="6"/>
        <v>3.9638272075422547E-3</v>
      </c>
      <c r="N75" s="41">
        <f t="shared" si="6"/>
        <v>8.7959754567063772E-2</v>
      </c>
      <c r="O75" s="67"/>
      <c r="P75" s="41">
        <f t="shared" si="13"/>
        <v>4.2204991278383812E-4</v>
      </c>
      <c r="R75" s="27">
        <f t="shared" si="22"/>
        <v>2.542895893990484</v>
      </c>
      <c r="S75" s="27">
        <f t="shared" si="22"/>
        <v>1.3721557378852736</v>
      </c>
      <c r="T75" s="27">
        <f t="shared" si="22"/>
        <v>0.74493423100719292</v>
      </c>
      <c r="U75" s="27">
        <f t="shared" si="22"/>
        <v>0.40683719264498619</v>
      </c>
      <c r="V75" s="27">
        <f t="shared" si="22"/>
        <v>0.22349177462753889</v>
      </c>
      <c r="W75" s="27">
        <f t="shared" si="22"/>
        <v>0.12347869706810911</v>
      </c>
      <c r="X75" s="27">
        <f t="shared" si="22"/>
        <v>6.8606447872956403E-2</v>
      </c>
      <c r="Y75" s="27">
        <f t="shared" si="22"/>
        <v>3.8329606795609421E-2</v>
      </c>
    </row>
    <row r="76" spans="1:25" x14ac:dyDescent="0.25">
      <c r="A76" s="21">
        <v>64</v>
      </c>
      <c r="C76" s="25">
        <f t="shared" si="19"/>
        <v>5.422979589734731</v>
      </c>
      <c r="D76" s="23">
        <f>FishHarvestTimeTrends!AC85*((1+OriginalBCACalculations!D$10)^MIN(OriginalBCACalculations!$A76,20))</f>
        <v>1.8394031068551058</v>
      </c>
      <c r="E76" s="23">
        <f>FishHarvestTimeTrends!AD85*((1+OriginalBCACalculations!E$10)^MIN(OriginalBCACalculations!$A76,20))</f>
        <v>0.26297178835721835</v>
      </c>
      <c r="F76" s="23">
        <f t="shared" si="20"/>
        <v>5.8384197930252109</v>
      </c>
      <c r="H76" s="22">
        <f t="shared" si="14"/>
        <v>2.8000000000000001E-2</v>
      </c>
      <c r="I76" s="22"/>
      <c r="J76" s="41"/>
      <c r="K76" s="41">
        <f t="shared" si="6"/>
        <v>7.6394127599335018E-2</v>
      </c>
      <c r="L76" s="41">
        <f t="shared" si="6"/>
        <v>2.5911879867240258E-2</v>
      </c>
      <c r="M76" s="41">
        <f t="shared" si="6"/>
        <v>3.7045133625091429E-3</v>
      </c>
      <c r="N76" s="41">
        <f t="shared" si="6"/>
        <v>8.2246480789109608E-2</v>
      </c>
      <c r="O76" s="67"/>
      <c r="P76" s="41">
        <f t="shared" si="13"/>
        <v>3.9443917082601686E-4</v>
      </c>
      <c r="R76" s="27">
        <f t="shared" si="22"/>
        <v>2.5458150985028034</v>
      </c>
      <c r="S76" s="27">
        <f t="shared" si="22"/>
        <v>1.3601296545566957</v>
      </c>
      <c r="T76" s="27">
        <f t="shared" si="22"/>
        <v>0.73116608215110135</v>
      </c>
      <c r="U76" s="27">
        <f t="shared" si="22"/>
        <v>0.39544100519098696</v>
      </c>
      <c r="V76" s="27">
        <f t="shared" si="22"/>
        <v>0.21514263429956793</v>
      </c>
      <c r="W76" s="27">
        <f t="shared" si="22"/>
        <v>0.11773376063930927</v>
      </c>
      <c r="X76" s="27">
        <f t="shared" si="22"/>
        <v>6.4797365091160755E-2</v>
      </c>
      <c r="Y76" s="27">
        <f t="shared" si="22"/>
        <v>3.5863185590350004E-2</v>
      </c>
    </row>
    <row r="77" spans="1:25" x14ac:dyDescent="0.25">
      <c r="A77" s="21">
        <v>65</v>
      </c>
      <c r="C77" s="25">
        <f t="shared" si="19"/>
        <v>5.422979589734731</v>
      </c>
      <c r="D77" s="23">
        <f>FishHarvestTimeTrends!AC86*((1+OriginalBCACalculations!D$10)^MIN(OriginalBCACalculations!$A77,20))</f>
        <v>1.8394044216671133</v>
      </c>
      <c r="E77" s="23">
        <f>FishHarvestTimeTrends!AD86*((1+OriginalBCACalculations!E$10)^MIN(OriginalBCACalculations!$A77,20))</f>
        <v>0.26297192703652855</v>
      </c>
      <c r="F77" s="23">
        <f t="shared" si="20"/>
        <v>5.8413390029217229</v>
      </c>
      <c r="H77" s="22">
        <f t="shared" si="14"/>
        <v>2.8000000000000001E-2</v>
      </c>
      <c r="I77" s="22"/>
      <c r="J77" s="41"/>
      <c r="K77" s="41">
        <f t="shared" ref="K77:N112" si="23">C77/((1+$M$9)^($A77-1))</f>
        <v>7.1396380933957962E-2</v>
      </c>
      <c r="L77" s="41">
        <f t="shared" si="23"/>
        <v>2.4216727466491499E-2</v>
      </c>
      <c r="M77" s="41">
        <f t="shared" si="23"/>
        <v>3.4621638468227017E-3</v>
      </c>
      <c r="N77" s="41">
        <f t="shared" si="23"/>
        <v>7.6904302831312304E-2</v>
      </c>
      <c r="O77" s="67"/>
      <c r="P77" s="41">
        <f t="shared" si="13"/>
        <v>3.6863473908973544E-4</v>
      </c>
      <c r="R77" s="27">
        <f t="shared" si="22"/>
        <v>2.548735761890633</v>
      </c>
      <c r="S77" s="27">
        <f t="shared" si="22"/>
        <v>1.3482079713103661</v>
      </c>
      <c r="T77" s="27">
        <f t="shared" si="22"/>
        <v>0.71765186846842444</v>
      </c>
      <c r="U77" s="27">
        <f t="shared" si="22"/>
        <v>0.38436375855738159</v>
      </c>
      <c r="V77" s="27">
        <f t="shared" si="22"/>
        <v>0.2071052449465714</v>
      </c>
      <c r="W77" s="27">
        <f t="shared" si="22"/>
        <v>0.11225602822217907</v>
      </c>
      <c r="X77" s="27">
        <f t="shared" si="22"/>
        <v>6.1199720078550117E-2</v>
      </c>
      <c r="Y77" s="27">
        <f t="shared" si="22"/>
        <v>3.3555447949758267E-2</v>
      </c>
    </row>
    <row r="78" spans="1:25" x14ac:dyDescent="0.25">
      <c r="A78" s="21">
        <v>66</v>
      </c>
      <c r="C78" s="25">
        <f t="shared" si="19"/>
        <v>5.422979589734731</v>
      </c>
      <c r="D78" s="23">
        <f>FishHarvestTimeTrends!AC87*((1+OriginalBCACalculations!D$10)^MIN(OriginalBCACalculations!$A78,20))</f>
        <v>1.8394057364791205</v>
      </c>
      <c r="E78" s="23">
        <f>FishHarvestTimeTrends!AD87*((1+OriginalBCACalculations!E$10)^MIN(OriginalBCACalculations!$A78,20))</f>
        <v>0.26297206571583881</v>
      </c>
      <c r="F78" s="23">
        <f t="shared" si="20"/>
        <v>5.8442596724231839</v>
      </c>
      <c r="H78" s="22">
        <f t="shared" si="14"/>
        <v>2.8000000000000001E-2</v>
      </c>
      <c r="I78" s="22"/>
      <c r="J78" s="41"/>
      <c r="K78" s="41">
        <f t="shared" si="23"/>
        <v>6.6725589657904635E-2</v>
      </c>
      <c r="L78" s="41">
        <f t="shared" si="23"/>
        <v>2.2632471753909984E-2</v>
      </c>
      <c r="M78" s="41">
        <f t="shared" si="23"/>
        <v>3.2356688529054404E-3</v>
      </c>
      <c r="N78" s="41">
        <f t="shared" si="23"/>
        <v>7.1909116806287809E-2</v>
      </c>
      <c r="O78" s="67"/>
      <c r="P78" s="41">
        <f t="shared" si="13"/>
        <v>3.4451844774741628E-4</v>
      </c>
      <c r="R78" s="27">
        <f t="shared" ref="R78:Y93" si="24">(SUM($D78:$H78)-SUM($B78:$C78))/((1+R$10)^($A78-1))</f>
        <v>2.5516578848834115</v>
      </c>
      <c r="S78" s="27">
        <f t="shared" si="24"/>
        <v>1.3363897924715284</v>
      </c>
      <c r="T78" s="27">
        <f t="shared" si="24"/>
        <v>0.70438691726990055</v>
      </c>
      <c r="U78" s="27">
        <f t="shared" si="24"/>
        <v>0.37359653516579827</v>
      </c>
      <c r="V78" s="27">
        <f t="shared" si="24"/>
        <v>0.19936797202117884</v>
      </c>
      <c r="W78" s="27">
        <f t="shared" si="24"/>
        <v>0.10703307585320157</v>
      </c>
      <c r="X78" s="27">
        <f t="shared" si="24"/>
        <v>5.7801778769992929E-2</v>
      </c>
      <c r="Y78" s="27">
        <f t="shared" si="24"/>
        <v>3.1396186202946007E-2</v>
      </c>
    </row>
    <row r="79" spans="1:25" x14ac:dyDescent="0.25">
      <c r="A79" s="21">
        <v>67</v>
      </c>
      <c r="C79" s="25">
        <f t="shared" si="19"/>
        <v>5.422979589734731</v>
      </c>
      <c r="D79" s="23">
        <f>FishHarvestTimeTrends!AC88*((1+OriginalBCACalculations!D$10)^MIN(OriginalBCACalculations!$A79,20))</f>
        <v>1.839407051291128</v>
      </c>
      <c r="E79" s="23">
        <f>FishHarvestTimeTrends!AD88*((1+OriginalBCACalculations!E$10)^MIN(OriginalBCACalculations!$A79,20))</f>
        <v>0.26297220439514901</v>
      </c>
      <c r="F79" s="23">
        <f t="shared" si="20"/>
        <v>5.8471818022593949</v>
      </c>
      <c r="H79" s="22">
        <f t="shared" si="14"/>
        <v>2.8000000000000001E-2</v>
      </c>
      <c r="I79" s="22"/>
      <c r="J79" s="41"/>
      <c r="K79" s="41">
        <f t="shared" si="23"/>
        <v>6.2360364166266016E-2</v>
      </c>
      <c r="L79" s="41">
        <f t="shared" si="23"/>
        <v>2.1151857880055792E-2</v>
      </c>
      <c r="M79" s="41">
        <f t="shared" si="23"/>
        <v>3.0239911768669232E-3</v>
      </c>
      <c r="N79" s="41">
        <f t="shared" si="23"/>
        <v>6.7238384452982192E-2</v>
      </c>
      <c r="O79" s="67"/>
      <c r="P79" s="41">
        <f t="shared" si="13"/>
        <v>3.2197985770786568E-4</v>
      </c>
      <c r="R79" s="27">
        <f t="shared" si="24"/>
        <v>2.5545814682109409</v>
      </c>
      <c r="S79" s="27">
        <f t="shared" si="24"/>
        <v>1.3246742299355327</v>
      </c>
      <c r="T79" s="27">
        <f t="shared" si="24"/>
        <v>0.69136664162929184</v>
      </c>
      <c r="U79" s="27">
        <f t="shared" si="24"/>
        <v>0.363130666519839</v>
      </c>
      <c r="V79" s="27">
        <f t="shared" si="24"/>
        <v>0.19191961494212684</v>
      </c>
      <c r="W79" s="27">
        <f t="shared" si="24"/>
        <v>0.10205305704149427</v>
      </c>
      <c r="X79" s="27">
        <f t="shared" si="24"/>
        <v>5.4592458151560379E-2</v>
      </c>
      <c r="Y79" s="27">
        <f t="shared" si="24"/>
        <v>2.9375849201346761E-2</v>
      </c>
    </row>
    <row r="80" spans="1:25" x14ac:dyDescent="0.25">
      <c r="A80" s="21">
        <v>68</v>
      </c>
      <c r="C80" s="25">
        <f t="shared" si="19"/>
        <v>5.422979589734731</v>
      </c>
      <c r="D80" s="23">
        <f>FishHarvestTimeTrends!AC89*((1+OriginalBCACalculations!D$10)^MIN(OriginalBCACalculations!$A80,20))</f>
        <v>1.8394083661031355</v>
      </c>
      <c r="E80" s="23">
        <f>FishHarvestTimeTrends!AD89*((1+OriginalBCACalculations!E$10)^MIN(OriginalBCACalculations!$A80,20))</f>
        <v>0.26297234307445921</v>
      </c>
      <c r="F80" s="23">
        <f t="shared" si="20"/>
        <v>5.8501053931605247</v>
      </c>
      <c r="H80" s="22">
        <f t="shared" si="14"/>
        <v>2.8000000000000001E-2</v>
      </c>
      <c r="I80" s="22"/>
      <c r="J80" s="41"/>
      <c r="K80" s="41">
        <f t="shared" si="23"/>
        <v>5.8280714174080386E-2</v>
      </c>
      <c r="L80" s="41">
        <f t="shared" si="23"/>
        <v>1.9768105606960788E-2</v>
      </c>
      <c r="M80" s="41">
        <f t="shared" si="23"/>
        <v>2.8261614687656346E-3</v>
      </c>
      <c r="N80" s="41">
        <f t="shared" si="23"/>
        <v>6.2871031444120276E-2</v>
      </c>
      <c r="O80" s="67"/>
      <c r="P80" s="41">
        <f t="shared" si="13"/>
        <v>3.0091575486716418E-4</v>
      </c>
      <c r="R80" s="27">
        <f t="shared" si="24"/>
        <v>2.5575065126033873</v>
      </c>
      <c r="S80" s="27">
        <f t="shared" si="24"/>
        <v>1.313060403105095</v>
      </c>
      <c r="T80" s="27">
        <f t="shared" si="24"/>
        <v>0.67858653881375597</v>
      </c>
      <c r="U80" s="27">
        <f t="shared" si="24"/>
        <v>0.35295772625538652</v>
      </c>
      <c r="V80" s="27">
        <f t="shared" si="24"/>
        <v>0.18474939091662501</v>
      </c>
      <c r="W80" s="27">
        <f t="shared" si="24"/>
        <v>9.7304675936936133E-2</v>
      </c>
      <c r="X80" s="27">
        <f t="shared" si="24"/>
        <v>5.1561290146215445E-2</v>
      </c>
      <c r="Y80" s="27">
        <f t="shared" si="24"/>
        <v>2.7485500100633459E-2</v>
      </c>
    </row>
    <row r="81" spans="1:25" x14ac:dyDescent="0.25">
      <c r="A81" s="21">
        <v>69</v>
      </c>
      <c r="C81" s="25">
        <f t="shared" si="19"/>
        <v>5.422979589734731</v>
      </c>
      <c r="D81" s="23">
        <f>FishHarvestTimeTrends!AC90*((1+OriginalBCACalculations!D$10)^MIN(OriginalBCACalculations!$A81,20))</f>
        <v>1.8394096809151428</v>
      </c>
      <c r="E81" s="23">
        <f>FishHarvestTimeTrends!AD90*((1+OriginalBCACalculations!E$10)^MIN(OriginalBCACalculations!$A81,20))</f>
        <v>0.26297248175376947</v>
      </c>
      <c r="F81" s="23">
        <f t="shared" si="20"/>
        <v>5.8530304458571045</v>
      </c>
      <c r="H81" s="22">
        <f t="shared" si="14"/>
        <v>2.8000000000000001E-2</v>
      </c>
      <c r="I81" s="22"/>
      <c r="J81" s="41"/>
      <c r="K81" s="41">
        <f t="shared" si="23"/>
        <v>5.446795717203775E-2</v>
      </c>
      <c r="L81" s="41">
        <f t="shared" si="23"/>
        <v>1.8474878259097122E-2</v>
      </c>
      <c r="M81" s="41">
        <f t="shared" si="23"/>
        <v>2.6412737935990354E-3</v>
      </c>
      <c r="N81" s="41">
        <f t="shared" si="23"/>
        <v>5.8787352298918065E-2</v>
      </c>
      <c r="O81" s="67"/>
      <c r="P81" s="41">
        <f t="shared" si="13"/>
        <v>2.8122967744594784E-4</v>
      </c>
      <c r="R81" s="27">
        <f t="shared" si="24"/>
        <v>2.5604330187912847</v>
      </c>
      <c r="S81" s="27">
        <f t="shared" si="24"/>
        <v>1.3015474388280626</v>
      </c>
      <c r="T81" s="27">
        <f t="shared" si="24"/>
        <v>0.6660421887428547</v>
      </c>
      <c r="U81" s="27">
        <f t="shared" si="24"/>
        <v>0.34306952338459129</v>
      </c>
      <c r="V81" s="27">
        <f t="shared" si="24"/>
        <v>0.1778469193654402</v>
      </c>
      <c r="W81" s="27">
        <f t="shared" si="24"/>
        <v>9.2777161744566905E-2</v>
      </c>
      <c r="X81" s="27">
        <f t="shared" si="24"/>
        <v>4.8698387502302626E-2</v>
      </c>
      <c r="Y81" s="27">
        <f t="shared" si="24"/>
        <v>2.5716776857022412E-2</v>
      </c>
    </row>
    <row r="82" spans="1:25" x14ac:dyDescent="0.25">
      <c r="A82" s="21">
        <v>70</v>
      </c>
      <c r="C82" s="25">
        <f t="shared" si="19"/>
        <v>5.422979589734731</v>
      </c>
      <c r="D82" s="23">
        <f>FishHarvestTimeTrends!AC91*((1+OriginalBCACalculations!D$10)^MIN(OriginalBCACalculations!$A82,20))</f>
        <v>1.8394109957271503</v>
      </c>
      <c r="E82" s="23">
        <f>FishHarvestTimeTrends!AD91*((1+OriginalBCACalculations!E$10)^MIN(OriginalBCACalculations!$A82,20))</f>
        <v>0.26297262043307967</v>
      </c>
      <c r="F82" s="23">
        <f t="shared" si="20"/>
        <v>5.8559569610800324</v>
      </c>
      <c r="H82" s="22">
        <f t="shared" si="14"/>
        <v>2.8000000000000001E-2</v>
      </c>
      <c r="I82" s="22"/>
      <c r="J82" s="41"/>
      <c r="K82" s="41">
        <f t="shared" si="23"/>
        <v>5.090463287106331E-2</v>
      </c>
      <c r="L82" s="41">
        <f t="shared" si="23"/>
        <v>1.7266253705569966E-2</v>
      </c>
      <c r="M82" s="41">
        <f t="shared" si="23"/>
        <v>2.4684814826939471E-3</v>
      </c>
      <c r="N82" s="41">
        <f t="shared" si="23"/>
        <v>5.4968921472025707E-2</v>
      </c>
      <c r="O82" s="67"/>
      <c r="P82" s="41">
        <f t="shared" si="13"/>
        <v>2.6283147424854933E-4</v>
      </c>
      <c r="R82" s="27">
        <f t="shared" si="24"/>
        <v>2.563360987505531</v>
      </c>
      <c r="S82" s="27">
        <f t="shared" si="24"/>
        <v>1.2901344713356788</v>
      </c>
      <c r="T82" s="27">
        <f t="shared" si="24"/>
        <v>0.65372925247567404</v>
      </c>
      <c r="U82" s="27">
        <f t="shared" si="24"/>
        <v>0.33345809572814578</v>
      </c>
      <c r="V82" s="27">
        <f t="shared" si="24"/>
        <v>0.1712022069282578</v>
      </c>
      <c r="W82" s="27">
        <f t="shared" si="24"/>
        <v>8.8460244327393689E-2</v>
      </c>
      <c r="X82" s="27">
        <f t="shared" si="24"/>
        <v>4.5994411573796287E-2</v>
      </c>
      <c r="Y82" s="27">
        <f t="shared" si="24"/>
        <v>2.4061855263474857E-2</v>
      </c>
    </row>
    <row r="83" spans="1:25" x14ac:dyDescent="0.25">
      <c r="A83" s="21">
        <v>71</v>
      </c>
      <c r="C83" s="25">
        <f t="shared" si="19"/>
        <v>5.422979589734731</v>
      </c>
      <c r="D83" s="23">
        <f>FishHarvestTimeTrends!AC92*((1+OriginalBCACalculations!D$10)^MIN(OriginalBCACalculations!$A83,20))</f>
        <v>1.8394123105391578</v>
      </c>
      <c r="E83" s="23">
        <f>FishHarvestTimeTrends!AD92*((1+OriginalBCACalculations!E$10)^MIN(OriginalBCACalculations!$A83,20))</f>
        <v>0.26297275911238988</v>
      </c>
      <c r="F83" s="23">
        <f t="shared" si="20"/>
        <v>5.8588849395605722</v>
      </c>
      <c r="H83" s="22">
        <f t="shared" si="14"/>
        <v>2.8000000000000001E-2</v>
      </c>
      <c r="I83" s="22"/>
      <c r="J83" s="41"/>
      <c r="K83" s="41">
        <f t="shared" si="23"/>
        <v>4.7574423243984407E-2</v>
      </c>
      <c r="L83" s="41">
        <f t="shared" si="23"/>
        <v>1.6136697240652115E-2</v>
      </c>
      <c r="M83" s="41">
        <f t="shared" si="23"/>
        <v>2.3069932564992682E-3</v>
      </c>
      <c r="N83" s="41">
        <f t="shared" si="23"/>
        <v>5.1398510217534318E-2</v>
      </c>
      <c r="O83" s="67"/>
      <c r="P83" s="41">
        <f t="shared" si="13"/>
        <v>2.4563689182107416E-4</v>
      </c>
      <c r="R83" s="27">
        <f t="shared" si="24"/>
        <v>2.5662904194773883</v>
      </c>
      <c r="S83" s="27">
        <f t="shared" si="24"/>
        <v>1.2788206421813462</v>
      </c>
      <c r="T83" s="27">
        <f t="shared" si="24"/>
        <v>0.64164347072555161</v>
      </c>
      <c r="U83" s="27">
        <f t="shared" si="24"/>
        <v>0.32411570353060687</v>
      </c>
      <c r="V83" s="27">
        <f t="shared" si="24"/>
        <v>0.16480563302771489</v>
      </c>
      <c r="W83" s="27">
        <f t="shared" si="24"/>
        <v>8.4344130942427056E-2</v>
      </c>
      <c r="X83" s="27">
        <f t="shared" si="24"/>
        <v>4.344054188742083E-2</v>
      </c>
      <c r="Y83" s="27">
        <f t="shared" si="24"/>
        <v>2.2513414362522369E-2</v>
      </c>
    </row>
    <row r="84" spans="1:25" x14ac:dyDescent="0.25">
      <c r="A84" s="21">
        <v>72</v>
      </c>
      <c r="C84" s="25">
        <f t="shared" si="19"/>
        <v>5.422979589734731</v>
      </c>
      <c r="D84" s="23">
        <f>FishHarvestTimeTrends!AC93*((1+OriginalBCACalculations!D$10)^MIN(OriginalBCACalculations!$A84,20))</f>
        <v>1.839413625351165</v>
      </c>
      <c r="E84" s="23">
        <f>FishHarvestTimeTrends!AD93*((1+OriginalBCACalculations!E$10)^MIN(OriginalBCACalculations!$A84,20))</f>
        <v>0.26297289779170013</v>
      </c>
      <c r="F84" s="23">
        <f t="shared" si="20"/>
        <v>5.8618143820303521</v>
      </c>
      <c r="H84" s="22">
        <f t="shared" si="14"/>
        <v>2.8000000000000001E-2</v>
      </c>
      <c r="I84" s="22"/>
      <c r="J84" s="41"/>
      <c r="K84" s="41">
        <f t="shared" si="23"/>
        <v>4.4462077798116263E-2</v>
      </c>
      <c r="L84" s="41">
        <f t="shared" si="23"/>
        <v>1.5081036238471094E-2</v>
      </c>
      <c r="M84" s="41">
        <f t="shared" si="23"/>
        <v>2.1560696010258424E-3</v>
      </c>
      <c r="N84" s="41">
        <f t="shared" si="23"/>
        <v>4.8060008852937458E-2</v>
      </c>
      <c r="O84" s="67"/>
      <c r="P84" s="41">
        <f t="shared" ref="P84:P112" si="25">H84/((1+$M$9)^($A84-1))</f>
        <v>2.2956718861782632E-4</v>
      </c>
      <c r="R84" s="27">
        <f t="shared" si="24"/>
        <v>2.5692213154384858</v>
      </c>
      <c r="S84" s="27">
        <f t="shared" si="24"/>
        <v>1.2676051001798896</v>
      </c>
      <c r="T84" s="27">
        <f t="shared" si="24"/>
        <v>0.629780662401906</v>
      </c>
      <c r="U84" s="27">
        <f t="shared" si="24"/>
        <v>0.31503482325367033</v>
      </c>
      <c r="V84" s="27">
        <f t="shared" si="24"/>
        <v>0.15864793597130314</v>
      </c>
      <c r="W84" s="27">
        <f t="shared" si="24"/>
        <v>8.0419484057328419E-2</v>
      </c>
      <c r="X84" s="27">
        <f t="shared" si="24"/>
        <v>4.1028447397569681E-2</v>
      </c>
      <c r="Y84" s="27">
        <f t="shared" si="24"/>
        <v>2.1064604082935954E-2</v>
      </c>
    </row>
    <row r="85" spans="1:25" x14ac:dyDescent="0.25">
      <c r="A85" s="21">
        <v>73</v>
      </c>
      <c r="C85" s="25">
        <f t="shared" si="19"/>
        <v>5.422979589734731</v>
      </c>
      <c r="D85" s="23">
        <f>FishHarvestTimeTrends!AC94*((1+OriginalBCACalculations!D$10)^MIN(OriginalBCACalculations!$A85,20))</f>
        <v>1.8394149401631723</v>
      </c>
      <c r="E85" s="23">
        <f>FishHarvestTimeTrends!AD94*((1+OriginalBCACalculations!E$10)^MIN(OriginalBCACalculations!$A85,20))</f>
        <v>0.26297303647101039</v>
      </c>
      <c r="F85" s="23">
        <f t="shared" si="20"/>
        <v>5.864745289221367</v>
      </c>
      <c r="H85" s="22">
        <f t="shared" ref="H85:H112" si="26">B$8</f>
        <v>2.8000000000000001E-2</v>
      </c>
      <c r="I85" s="22"/>
      <c r="J85" s="41"/>
      <c r="K85" s="41">
        <f t="shared" si="23"/>
        <v>4.1553343736557252E-2</v>
      </c>
      <c r="L85" s="41">
        <f t="shared" si="23"/>
        <v>1.4094436465783934E-2</v>
      </c>
      <c r="M85" s="41">
        <f t="shared" si="23"/>
        <v>2.0150193813398853E-3</v>
      </c>
      <c r="N85" s="41">
        <f t="shared" si="23"/>
        <v>4.4938354072302733E-2</v>
      </c>
      <c r="O85" s="67"/>
      <c r="P85" s="41">
        <f t="shared" si="25"/>
        <v>2.1454877440918349E-4</v>
      </c>
      <c r="R85" s="27">
        <f t="shared" si="24"/>
        <v>2.5721536761208181</v>
      </c>
      <c r="S85" s="27">
        <f t="shared" si="24"/>
        <v>1.2564870013473008</v>
      </c>
      <c r="T85" s="27">
        <f t="shared" si="24"/>
        <v>0.61813672317867374</v>
      </c>
      <c r="U85" s="27">
        <f t="shared" si="24"/>
        <v>0.30620814154244358</v>
      </c>
      <c r="V85" s="27">
        <f t="shared" si="24"/>
        <v>0.15272019957111282</v>
      </c>
      <c r="W85" s="27">
        <f t="shared" si="24"/>
        <v>7.6677400197493126E-2</v>
      </c>
      <c r="X85" s="27">
        <f t="shared" si="24"/>
        <v>3.8750259335441455E-2</v>
      </c>
      <c r="Y85" s="27">
        <f t="shared" si="24"/>
        <v>1.9709014957278479E-2</v>
      </c>
    </row>
    <row r="86" spans="1:25" x14ac:dyDescent="0.25">
      <c r="A86" s="21">
        <v>74</v>
      </c>
      <c r="C86" s="25">
        <f t="shared" si="19"/>
        <v>5.422979589734731</v>
      </c>
      <c r="D86" s="23">
        <f>FishHarvestTimeTrends!AC95*((1+OriginalBCACalculations!D$10)^MIN(OriginalBCACalculations!$A86,20))</f>
        <v>1.83941625497518</v>
      </c>
      <c r="E86" s="23">
        <f>FishHarvestTimeTrends!AD95*((1+OriginalBCACalculations!E$10)^MIN(OriginalBCACalculations!$A86,20))</f>
        <v>0.26297317515032054</v>
      </c>
      <c r="F86" s="23">
        <f t="shared" ref="F86:F112" si="27">F85*(1+F$10)</f>
        <v>5.8676776618659776</v>
      </c>
      <c r="H86" s="22">
        <f t="shared" si="26"/>
        <v>2.8000000000000001E-2</v>
      </c>
      <c r="I86" s="22"/>
      <c r="J86" s="41"/>
      <c r="K86" s="41">
        <f t="shared" si="23"/>
        <v>3.8834900688371261E-2</v>
      </c>
      <c r="L86" s="41">
        <f t="shared" si="23"/>
        <v>1.3172379944367655E-2</v>
      </c>
      <c r="M86" s="41">
        <f t="shared" si="23"/>
        <v>1.8831966766018962E-3</v>
      </c>
      <c r="N86" s="41">
        <f t="shared" si="23"/>
        <v>4.2019460980690544E-2</v>
      </c>
      <c r="O86" s="67"/>
      <c r="P86" s="41">
        <f t="shared" si="25"/>
        <v>2.005128732796107E-4</v>
      </c>
      <c r="R86" s="27">
        <f t="shared" si="24"/>
        <v>2.5750875022567463</v>
      </c>
      <c r="S86" s="27">
        <f t="shared" si="24"/>
        <v>1.2454655088409829</v>
      </c>
      <c r="T86" s="27">
        <f t="shared" si="24"/>
        <v>0.60670762408887469</v>
      </c>
      <c r="U86" s="27">
        <f t="shared" si="24"/>
        <v>0.29762854935990035</v>
      </c>
      <c r="V86" s="27">
        <f t="shared" si="24"/>
        <v>0.14701384026213646</v>
      </c>
      <c r="W86" s="27">
        <f t="shared" si="24"/>
        <v>7.3109389775722664E-2</v>
      </c>
      <c r="X86" s="27">
        <f t="shared" si="24"/>
        <v>3.6598545563999337E-2</v>
      </c>
      <c r="Y86" s="27">
        <f t="shared" si="24"/>
        <v>1.8440649786568435E-2</v>
      </c>
    </row>
    <row r="87" spans="1:25" x14ac:dyDescent="0.25">
      <c r="A87" s="21">
        <v>75</v>
      </c>
      <c r="C87" s="25">
        <f t="shared" si="19"/>
        <v>5.422979589734731</v>
      </c>
      <c r="D87" s="23">
        <f>FishHarvestTimeTrends!AC96*((1+OriginalBCACalculations!D$10)^MIN(OriginalBCACalculations!$A87,20))</f>
        <v>1.8394175697871873</v>
      </c>
      <c r="E87" s="23">
        <f>FishHarvestTimeTrends!AD96*((1+OriginalBCACalculations!E$10)^MIN(OriginalBCACalculations!$A87,20))</f>
        <v>0.26297331382963085</v>
      </c>
      <c r="F87" s="23">
        <f t="shared" si="27"/>
        <v>5.87061150069691</v>
      </c>
      <c r="H87" s="22">
        <f t="shared" si="26"/>
        <v>2.8000000000000001E-2</v>
      </c>
      <c r="I87" s="22"/>
      <c r="J87" s="41"/>
      <c r="K87" s="41">
        <f t="shared" si="23"/>
        <v>3.6294299708758193E-2</v>
      </c>
      <c r="L87" s="41">
        <f t="shared" si="23"/>
        <v>1.2310644261649793E-2</v>
      </c>
      <c r="M87" s="41">
        <f t="shared" si="23"/>
        <v>1.7599978221575457E-3</v>
      </c>
      <c r="N87" s="41">
        <f t="shared" si="23"/>
        <v>3.929015954315971E-2</v>
      </c>
      <c r="O87" s="67"/>
      <c r="P87" s="41">
        <f t="shared" si="25"/>
        <v>1.8739520867253339E-4</v>
      </c>
      <c r="R87" s="27">
        <f t="shared" si="24"/>
        <v>2.578022794578998</v>
      </c>
      <c r="S87" s="27">
        <f t="shared" si="24"/>
        <v>1.2345397929004647</v>
      </c>
      <c r="T87" s="27">
        <f t="shared" si="24"/>
        <v>0.59548941014482515</v>
      </c>
      <c r="U87" s="27">
        <f t="shared" si="24"/>
        <v>0.28928913628483671</v>
      </c>
      <c r="V87" s="27">
        <f t="shared" si="24"/>
        <v>0.14152059470056555</v>
      </c>
      <c r="W87" s="27">
        <f t="shared" si="24"/>
        <v>6.9707357858860119E-2</v>
      </c>
      <c r="X87" s="27">
        <f t="shared" si="24"/>
        <v>3.4566286355259615E-2</v>
      </c>
      <c r="Y87" s="27">
        <f t="shared" si="24"/>
        <v>1.7253897126881391E-2</v>
      </c>
    </row>
    <row r="88" spans="1:25" x14ac:dyDescent="0.25">
      <c r="A88" s="21">
        <v>76</v>
      </c>
      <c r="C88" s="25">
        <f t="shared" si="19"/>
        <v>5.422979589734731</v>
      </c>
      <c r="D88" s="23">
        <f>FishHarvestTimeTrends!AC97*((1+OriginalBCACalculations!D$10)^MIN(OriginalBCACalculations!$A88,20))</f>
        <v>1.8394188845991946</v>
      </c>
      <c r="E88" s="23">
        <f>FishHarvestTimeTrends!AD97*((1+OriginalBCACalculations!E$10)^MIN(OriginalBCACalculations!$A88,20))</f>
        <v>0.262973452508941</v>
      </c>
      <c r="F88" s="23">
        <f t="shared" si="27"/>
        <v>5.8735468064472585</v>
      </c>
      <c r="H88" s="22">
        <f t="shared" si="26"/>
        <v>2.8000000000000001E-2</v>
      </c>
      <c r="I88" s="22"/>
      <c r="J88" s="41"/>
      <c r="K88" s="41">
        <f t="shared" si="23"/>
        <v>3.3919906269867461E-2</v>
      </c>
      <c r="L88" s="41">
        <f t="shared" si="23"/>
        <v>1.1505283234835267E-2</v>
      </c>
      <c r="M88" s="41">
        <f t="shared" si="23"/>
        <v>1.6448586451351648E-3</v>
      </c>
      <c r="N88" s="41">
        <f t="shared" si="23"/>
        <v>3.6738135161618016E-2</v>
      </c>
      <c r="O88" s="67"/>
      <c r="P88" s="41">
        <f t="shared" si="25"/>
        <v>1.751357090397508E-4</v>
      </c>
      <c r="R88" s="27">
        <f t="shared" si="24"/>
        <v>2.5809595538206631</v>
      </c>
      <c r="S88" s="27">
        <f t="shared" si="24"/>
        <v>1.2237090307886009</v>
      </c>
      <c r="T88" s="27">
        <f t="shared" si="24"/>
        <v>0.58447819898353692</v>
      </c>
      <c r="U88" s="27">
        <f t="shared" si="24"/>
        <v>0.28118318496877415</v>
      </c>
      <c r="V88" s="27">
        <f t="shared" si="24"/>
        <v>0.13623250782420721</v>
      </c>
      <c r="W88" s="27">
        <f t="shared" si="24"/>
        <v>6.6463585827880742E-2</v>
      </c>
      <c r="X88" s="27">
        <f t="shared" si="24"/>
        <v>3.2646851511043427E-2</v>
      </c>
      <c r="Y88" s="27">
        <f t="shared" si="24"/>
        <v>1.6143506480760739E-2</v>
      </c>
    </row>
    <row r="89" spans="1:25" x14ac:dyDescent="0.25">
      <c r="A89" s="21">
        <v>77</v>
      </c>
      <c r="C89" s="25">
        <f t="shared" si="19"/>
        <v>5.422979589734731</v>
      </c>
      <c r="D89" s="23">
        <f>FishHarvestTimeTrends!AC98*((1+OriginalBCACalculations!D$10)^MIN(OriginalBCACalculations!$A89,20))</f>
        <v>1.8394201994112023</v>
      </c>
      <c r="E89" s="23">
        <f>FishHarvestTimeTrends!AD98*((1+OriginalBCACalculations!E$10)^MIN(OriginalBCACalculations!$A89,20))</f>
        <v>0.26297359118825125</v>
      </c>
      <c r="F89" s="23">
        <f t="shared" si="27"/>
        <v>5.8764835798504818</v>
      </c>
      <c r="H89" s="22">
        <f t="shared" si="26"/>
        <v>2.8000000000000001E-2</v>
      </c>
      <c r="I89" s="22"/>
      <c r="J89" s="41"/>
      <c r="K89" s="41">
        <f t="shared" si="23"/>
        <v>3.1700846981184555E-2</v>
      </c>
      <c r="L89" s="41">
        <f t="shared" si="23"/>
        <v>1.0752608839984005E-2</v>
      </c>
      <c r="M89" s="41">
        <f t="shared" si="23"/>
        <v>1.5372518808906526E-3</v>
      </c>
      <c r="N89" s="41">
        <f t="shared" si="23"/>
        <v>3.4351873111400776E-2</v>
      </c>
      <c r="O89" s="67"/>
      <c r="P89" s="41">
        <f t="shared" si="25"/>
        <v>1.6367823274743068E-4</v>
      </c>
      <c r="R89" s="27">
        <f t="shared" si="24"/>
        <v>2.5838977807152039</v>
      </c>
      <c r="S89" s="27">
        <f t="shared" si="24"/>
        <v>1.2129724067332515</v>
      </c>
      <c r="T89" s="27">
        <f t="shared" si="24"/>
        <v>0.57367017953684207</v>
      </c>
      <c r="U89" s="27">
        <f t="shared" si="24"/>
        <v>0.27330416574738797</v>
      </c>
      <c r="V89" s="27">
        <f t="shared" si="24"/>
        <v>0.13114192135781161</v>
      </c>
      <c r="W89" s="27">
        <f t="shared" si="24"/>
        <v>6.3370713889949332E-2</v>
      </c>
      <c r="X89" s="27">
        <f t="shared" si="24"/>
        <v>3.0833978752697971E-2</v>
      </c>
      <c r="Y89" s="27">
        <f t="shared" si="24"/>
        <v>1.5104565083838313E-2</v>
      </c>
    </row>
    <row r="90" spans="1:25" x14ac:dyDescent="0.25">
      <c r="A90" s="21">
        <v>78</v>
      </c>
      <c r="C90" s="25">
        <f t="shared" si="19"/>
        <v>5.422979589734731</v>
      </c>
      <c r="D90" s="23">
        <f>FishHarvestTimeTrends!AC99*((1+OriginalBCACalculations!D$10)^MIN(OriginalBCACalculations!$A90,20))</f>
        <v>1.8394215142232098</v>
      </c>
      <c r="E90" s="23">
        <f>FishHarvestTimeTrends!AD99*((1+OriginalBCACalculations!E$10)^MIN(OriginalBCACalculations!$A90,20))</f>
        <v>0.26297372986756146</v>
      </c>
      <c r="F90" s="23">
        <f t="shared" si="27"/>
        <v>5.8794218216404071</v>
      </c>
      <c r="H90" s="22">
        <f t="shared" si="26"/>
        <v>2.8000000000000001E-2</v>
      </c>
      <c r="I90" s="22"/>
      <c r="J90" s="41"/>
      <c r="K90" s="41">
        <f t="shared" si="23"/>
        <v>2.9626959795499577E-2</v>
      </c>
      <c r="L90" s="41">
        <f t="shared" si="23"/>
        <v>1.004917432328631E-2</v>
      </c>
      <c r="M90" s="41">
        <f t="shared" si="23"/>
        <v>1.4366847584687144E-3</v>
      </c>
      <c r="N90" s="41">
        <f t="shared" si="23"/>
        <v>3.2120606586875211E-2</v>
      </c>
      <c r="O90" s="67"/>
      <c r="P90" s="41">
        <f t="shared" si="25"/>
        <v>1.5297031097890717E-4</v>
      </c>
      <c r="R90" s="27">
        <f t="shared" si="24"/>
        <v>2.5868374759964476</v>
      </c>
      <c r="S90" s="27">
        <f t="shared" si="24"/>
        <v>1.2023291118694266</v>
      </c>
      <c r="T90" s="27">
        <f t="shared" si="24"/>
        <v>0.56306161072579408</v>
      </c>
      <c r="U90" s="27">
        <f t="shared" si="24"/>
        <v>0.26564573140215414</v>
      </c>
      <c r="V90" s="27">
        <f t="shared" si="24"/>
        <v>0.12624146274674064</v>
      </c>
      <c r="W90" s="27">
        <f t="shared" si="24"/>
        <v>6.0421724402881044E-2</v>
      </c>
      <c r="X90" s="27">
        <f t="shared" si="24"/>
        <v>2.9121753309422398E-2</v>
      </c>
      <c r="Y90" s="27">
        <f t="shared" si="24"/>
        <v>1.4132476184109568E-2</v>
      </c>
    </row>
    <row r="91" spans="1:25" x14ac:dyDescent="0.25">
      <c r="A91" s="21">
        <v>79</v>
      </c>
      <c r="C91" s="25">
        <f t="shared" si="19"/>
        <v>5.422979589734731</v>
      </c>
      <c r="D91" s="23">
        <f>FishHarvestTimeTrends!AC100*((1+OriginalBCACalculations!D$10)^MIN(OriginalBCACalculations!$A91,20))</f>
        <v>1.8394228290352168</v>
      </c>
      <c r="E91" s="23">
        <f>FishHarvestTimeTrends!AD100*((1+OriginalBCACalculations!E$10)^MIN(OriginalBCACalculations!$A91,20))</f>
        <v>0.26297386854687171</v>
      </c>
      <c r="F91" s="23">
        <f t="shared" si="27"/>
        <v>5.8823615325512266</v>
      </c>
      <c r="H91" s="22">
        <f t="shared" si="26"/>
        <v>2.8000000000000001E-2</v>
      </c>
      <c r="I91" s="22"/>
      <c r="J91" s="41"/>
      <c r="K91" s="41">
        <f t="shared" si="23"/>
        <v>2.7688747472429515E-2</v>
      </c>
      <c r="L91" s="41">
        <f t="shared" si="23"/>
        <v>9.3917584171968743E-3</v>
      </c>
      <c r="M91" s="41">
        <f t="shared" si="23"/>
        <v>1.3426967440234054E-3</v>
      </c>
      <c r="N91" s="41">
        <f t="shared" si="23"/>
        <v>3.0034268121652944E-2</v>
      </c>
      <c r="O91" s="67"/>
      <c r="P91" s="41">
        <f t="shared" si="25"/>
        <v>1.429629074569226E-4</v>
      </c>
      <c r="R91" s="27">
        <f t="shared" si="24"/>
        <v>2.5897786403985839</v>
      </c>
      <c r="S91" s="27">
        <f t="shared" si="24"/>
        <v>1.1917783441819003</v>
      </c>
      <c r="T91" s="27">
        <f t="shared" si="24"/>
        <v>0.55264882017890116</v>
      </c>
      <c r="U91" s="27">
        <f t="shared" si="24"/>
        <v>0.25820171206803488</v>
      </c>
      <c r="V91" s="27">
        <f t="shared" si="24"/>
        <v>0.12152403450302633</v>
      </c>
      <c r="W91" s="27">
        <f t="shared" si="24"/>
        <v>5.7609925974280059E-2</v>
      </c>
      <c r="X91" s="27">
        <f t="shared" si="24"/>
        <v>2.7504588638735124E-2</v>
      </c>
      <c r="Y91" s="27">
        <f t="shared" si="24"/>
        <v>1.3222938717900628E-2</v>
      </c>
    </row>
    <row r="92" spans="1:25" x14ac:dyDescent="0.25">
      <c r="A92" s="21">
        <v>80</v>
      </c>
      <c r="C92" s="25">
        <f t="shared" si="19"/>
        <v>5.422979589734731</v>
      </c>
      <c r="D92" s="23">
        <f>FishHarvestTimeTrends!AC101*((1+OriginalBCACalculations!D$10)^MIN(OriginalBCACalculations!$A92,20))</f>
        <v>1.8394241438472243</v>
      </c>
      <c r="E92" s="23">
        <f>FishHarvestTimeTrends!AD101*((1+OriginalBCACalculations!E$10)^MIN(OriginalBCACalculations!$A92,20))</f>
        <v>0.26297400722618192</v>
      </c>
      <c r="F92" s="23">
        <f t="shared" si="27"/>
        <v>5.8853027133175022</v>
      </c>
      <c r="H92" s="22">
        <f t="shared" si="26"/>
        <v>2.8000000000000001E-2</v>
      </c>
      <c r="I92" s="22"/>
      <c r="J92" s="41"/>
      <c r="K92" s="41">
        <f t="shared" si="23"/>
        <v>2.5877334086382722E-2</v>
      </c>
      <c r="L92" s="41">
        <f t="shared" si="23"/>
        <v>8.7773505891475222E-3</v>
      </c>
      <c r="M92" s="41">
        <f t="shared" si="23"/>
        <v>1.2548574318642434E-3</v>
      </c>
      <c r="N92" s="41">
        <f t="shared" si="23"/>
        <v>2.8083444164218471E-2</v>
      </c>
      <c r="O92" s="67"/>
      <c r="P92" s="41">
        <f t="shared" si="25"/>
        <v>1.3361019388497439E-4</v>
      </c>
      <c r="R92" s="27">
        <f t="shared" si="24"/>
        <v>2.592721274656177</v>
      </c>
      <c r="S92" s="27">
        <f t="shared" si="24"/>
        <v>1.1813193084482976</v>
      </c>
      <c r="T92" s="27">
        <f t="shared" si="24"/>
        <v>0.5424282029737667</v>
      </c>
      <c r="U92" s="27">
        <f t="shared" si="24"/>
        <v>0.25096611028313831</v>
      </c>
      <c r="V92" s="27">
        <f t="shared" si="24"/>
        <v>0.11698280394846169</v>
      </c>
      <c r="W92" s="27">
        <f t="shared" si="24"/>
        <v>5.4928938299380732E-2</v>
      </c>
      <c r="X92" s="27">
        <f t="shared" si="24"/>
        <v>2.5977208216303335E-2</v>
      </c>
      <c r="Y92" s="27">
        <f t="shared" si="24"/>
        <v>1.237192829273249E-2</v>
      </c>
    </row>
    <row r="93" spans="1:25" x14ac:dyDescent="0.25">
      <c r="A93" s="21">
        <v>81</v>
      </c>
      <c r="C93" s="25">
        <f t="shared" si="19"/>
        <v>5.422979589734731</v>
      </c>
      <c r="D93" s="23">
        <f>FishHarvestTimeTrends!AC102*((1+OriginalBCACalculations!D$10)^MIN(OriginalBCACalculations!$A93,20))</f>
        <v>1.8394254586592318</v>
      </c>
      <c r="E93" s="23">
        <f>FishHarvestTimeTrends!AD102*((1+OriginalBCACalculations!E$10)^MIN(OriginalBCACalculations!$A93,20))</f>
        <v>0.26297414590549217</v>
      </c>
      <c r="F93" s="23">
        <f t="shared" si="27"/>
        <v>5.8882453646741606</v>
      </c>
      <c r="H93" s="22">
        <f t="shared" si="26"/>
        <v>2.8000000000000001E-2</v>
      </c>
      <c r="I93" s="22"/>
      <c r="J93" s="41"/>
      <c r="K93" s="41">
        <f t="shared" si="23"/>
        <v>2.418442437979694E-2</v>
      </c>
      <c r="L93" s="41">
        <f t="shared" si="23"/>
        <v>8.2031372552876479E-3</v>
      </c>
      <c r="M93" s="41">
        <f t="shared" si="23"/>
        <v>1.1727645734702387E-3</v>
      </c>
      <c r="N93" s="41">
        <f t="shared" si="23"/>
        <v>2.6259332604019237E-2</v>
      </c>
      <c r="O93" s="67"/>
      <c r="P93" s="41">
        <f t="shared" si="25"/>
        <v>1.2486934007941531E-4</v>
      </c>
      <c r="R93" s="27">
        <f t="shared" si="24"/>
        <v>2.5956653795041538</v>
      </c>
      <c r="S93" s="27">
        <f t="shared" si="24"/>
        <v>1.1709512161826272</v>
      </c>
      <c r="T93" s="27">
        <f t="shared" si="24"/>
        <v>0.53239622040169654</v>
      </c>
      <c r="U93" s="27">
        <f t="shared" si="24"/>
        <v>0.24393309617639286</v>
      </c>
      <c r="V93" s="27">
        <f t="shared" si="24"/>
        <v>0.11261119333993484</v>
      </c>
      <c r="W93" s="27">
        <f t="shared" si="24"/>
        <v>5.2372677703286179E-2</v>
      </c>
      <c r="X93" s="27">
        <f t="shared" si="24"/>
        <v>2.4534628335835602E-2</v>
      </c>
      <c r="Y93" s="27">
        <f t="shared" si="24"/>
        <v>1.1575679393059601E-2</v>
      </c>
    </row>
    <row r="94" spans="1:25" x14ac:dyDescent="0.25">
      <c r="A94" s="21">
        <v>82</v>
      </c>
      <c r="C94" s="25">
        <f t="shared" si="19"/>
        <v>5.422979589734731</v>
      </c>
      <c r="D94" s="23">
        <f>FishHarvestTimeTrends!AC103*((1+OriginalBCACalculations!D$10)^MIN(OriginalBCACalculations!$A94,20))</f>
        <v>1.8394267734712393</v>
      </c>
      <c r="E94" s="23">
        <f>FishHarvestTimeTrends!AD103*((1+OriginalBCACalculations!E$10)^MIN(OriginalBCACalculations!$A94,20))</f>
        <v>0.26297428458480238</v>
      </c>
      <c r="F94" s="23">
        <f t="shared" si="27"/>
        <v>5.8911894873564972</v>
      </c>
      <c r="H94" s="22">
        <f t="shared" si="26"/>
        <v>2.8000000000000001E-2</v>
      </c>
      <c r="I94" s="22"/>
      <c r="J94" s="41"/>
      <c r="K94" s="41">
        <f t="shared" si="23"/>
        <v>2.2602265775511159E-2</v>
      </c>
      <c r="L94" s="41">
        <f t="shared" si="23"/>
        <v>7.6664888961202214E-3</v>
      </c>
      <c r="M94" s="41">
        <f t="shared" si="23"/>
        <v>1.096042235445949E-3</v>
      </c>
      <c r="N94" s="41">
        <f t="shared" si="23"/>
        <v>2.4553703056374995E-2</v>
      </c>
      <c r="O94" s="67"/>
      <c r="P94" s="41">
        <f t="shared" si="25"/>
        <v>1.1670031783122928E-4</v>
      </c>
      <c r="R94" s="27">
        <f t="shared" ref="R94:Y109" si="28">(SUM($D94:$H94)-SUM($B94:$C94))/((1+R$10)^($A94-1))</f>
        <v>2.5986109556778088</v>
      </c>
      <c r="S94" s="27">
        <f t="shared" si="28"/>
        <v>1.1606732855792874</v>
      </c>
      <c r="T94" s="27">
        <f t="shared" si="28"/>
        <v>0.52254939875487172</v>
      </c>
      <c r="U94" s="27">
        <f t="shared" si="28"/>
        <v>0.23709700278939935</v>
      </c>
      <c r="V94" s="27">
        <f t="shared" si="28"/>
        <v>0.10840287036277253</v>
      </c>
      <c r="W94" s="27">
        <f t="shared" si="28"/>
        <v>4.9935343354891665E-2</v>
      </c>
      <c r="X94" s="27">
        <f t="shared" si="28"/>
        <v>2.3172141863026432E-2</v>
      </c>
      <c r="Y94" s="27">
        <f t="shared" si="28"/>
        <v>1.083066873026124E-2</v>
      </c>
    </row>
    <row r="95" spans="1:25" x14ac:dyDescent="0.25">
      <c r="A95" s="21">
        <v>83</v>
      </c>
      <c r="C95" s="25">
        <f t="shared" si="19"/>
        <v>5.422979589734731</v>
      </c>
      <c r="D95" s="23">
        <f>FishHarvestTimeTrends!AC104*((1+OriginalBCACalculations!D$10)^MIN(OriginalBCACalculations!$A95,20))</f>
        <v>1.8394280882832466</v>
      </c>
      <c r="E95" s="23">
        <f>FishHarvestTimeTrends!AD104*((1+OriginalBCACalculations!E$10)^MIN(OriginalBCACalculations!$A95,20))</f>
        <v>0.26297442326411263</v>
      </c>
      <c r="F95" s="23">
        <f t="shared" si="27"/>
        <v>5.894135082100175</v>
      </c>
      <c r="H95" s="22">
        <f t="shared" si="26"/>
        <v>2.8000000000000001E-2</v>
      </c>
      <c r="I95" s="22"/>
      <c r="J95" s="41"/>
      <c r="K95" s="41">
        <f t="shared" si="23"/>
        <v>2.1123612874309493E-2</v>
      </c>
      <c r="L95" s="41">
        <f t="shared" si="23"/>
        <v>7.1649480150315524E-3</v>
      </c>
      <c r="M95" s="41">
        <f t="shared" si="23"/>
        <v>1.024339077984184E-3</v>
      </c>
      <c r="N95" s="41">
        <f t="shared" si="23"/>
        <v>2.2958859727012317E-2</v>
      </c>
      <c r="O95" s="67"/>
      <c r="P95" s="41">
        <f t="shared" si="25"/>
        <v>1.0906571759927968E-4</v>
      </c>
      <c r="R95" s="27">
        <f t="shared" si="28"/>
        <v>2.6015580039128041</v>
      </c>
      <c r="S95" s="27">
        <f t="shared" si="28"/>
        <v>1.150484741457515</v>
      </c>
      <c r="T95" s="27">
        <f t="shared" si="28"/>
        <v>0.51288432813566232</v>
      </c>
      <c r="U95" s="27">
        <f t="shared" si="28"/>
        <v>0.23045232152872153</v>
      </c>
      <c r="V95" s="27">
        <f t="shared" si="28"/>
        <v>0.10435173897838507</v>
      </c>
      <c r="W95" s="27">
        <f t="shared" si="28"/>
        <v>4.7611404121299272E-2</v>
      </c>
      <c r="X95" s="27">
        <f t="shared" si="28"/>
        <v>2.1885302890646677E-2</v>
      </c>
      <c r="Y95" s="27">
        <f t="shared" si="28"/>
        <v>1.0133599663317845E-2</v>
      </c>
    </row>
    <row r="96" spans="1:25" x14ac:dyDescent="0.25">
      <c r="A96" s="21">
        <v>84</v>
      </c>
      <c r="C96" s="25">
        <f t="shared" si="19"/>
        <v>5.422979589734731</v>
      </c>
      <c r="D96" s="23">
        <f>FishHarvestTimeTrends!AC105*((1+OriginalBCACalculations!D$10)^MIN(OriginalBCACalculations!$A96,20))</f>
        <v>1.839429403095254</v>
      </c>
      <c r="E96" s="23">
        <f>FishHarvestTimeTrends!AD105*((1+OriginalBCACalculations!E$10)^MIN(OriginalBCACalculations!$A96,20))</f>
        <v>0.26297456194342284</v>
      </c>
      <c r="F96" s="23">
        <f t="shared" si="27"/>
        <v>5.8970821496412249</v>
      </c>
      <c r="H96" s="22">
        <f t="shared" si="26"/>
        <v>2.8000000000000001E-2</v>
      </c>
      <c r="I96" s="22"/>
      <c r="J96" s="41"/>
      <c r="K96" s="41">
        <f t="shared" si="23"/>
        <v>1.97416942750556E-2</v>
      </c>
      <c r="L96" s="41">
        <f t="shared" si="23"/>
        <v>6.6962178845727163E-3</v>
      </c>
      <c r="M96" s="41">
        <f t="shared" si="23"/>
        <v>9.5732674595179034E-4</v>
      </c>
      <c r="N96" s="41">
        <f t="shared" si="23"/>
        <v>2.1467606688668994E-2</v>
      </c>
      <c r="O96" s="67"/>
      <c r="P96" s="41">
        <f t="shared" si="25"/>
        <v>1.0193057719558849E-4</v>
      </c>
      <c r="R96" s="27">
        <f t="shared" si="28"/>
        <v>2.6045065249451715</v>
      </c>
      <c r="S96" s="27">
        <f t="shared" si="28"/>
        <v>1.1403848152062916</v>
      </c>
      <c r="T96" s="27">
        <f t="shared" si="28"/>
        <v>0.50339766128768881</v>
      </c>
      <c r="U96" s="27">
        <f t="shared" si="28"/>
        <v>0.22399369774498204</v>
      </c>
      <c r="V96" s="27">
        <f t="shared" si="28"/>
        <v>0.10045193061301691</v>
      </c>
      <c r="W96" s="27">
        <f t="shared" si="28"/>
        <v>4.5395586032977588E-2</v>
      </c>
      <c r="X96" s="27">
        <f t="shared" si="28"/>
        <v>2.0669912244806486E-2</v>
      </c>
      <c r="Y96" s="27">
        <f t="shared" si="28"/>
        <v>9.4813876213334907E-3</v>
      </c>
    </row>
    <row r="97" spans="1:25" x14ac:dyDescent="0.25">
      <c r="A97" s="21">
        <v>85</v>
      </c>
      <c r="C97" s="25">
        <f t="shared" si="19"/>
        <v>5.422979589734731</v>
      </c>
      <c r="D97" s="23">
        <f>FishHarvestTimeTrends!AC106*((1+OriginalBCACalculations!D$10)^MIN(OriginalBCACalculations!$A97,20))</f>
        <v>1.8394307179072613</v>
      </c>
      <c r="E97" s="23">
        <f>FishHarvestTimeTrends!AD106*((1+OriginalBCACalculations!E$10)^MIN(OriginalBCACalculations!$A97,20))</f>
        <v>0.26297470062273304</v>
      </c>
      <c r="F97" s="23">
        <f t="shared" si="27"/>
        <v>5.9000306907160454</v>
      </c>
      <c r="H97" s="22">
        <f t="shared" si="26"/>
        <v>2.8000000000000001E-2</v>
      </c>
      <c r="I97" s="22"/>
      <c r="J97" s="41"/>
      <c r="K97" s="41">
        <f t="shared" si="23"/>
        <v>1.8450181565472526E-2</v>
      </c>
      <c r="L97" s="41">
        <f t="shared" si="23"/>
        <v>6.2581520289580403E-3</v>
      </c>
      <c r="M97" s="41">
        <f t="shared" si="23"/>
        <v>8.9469836523071652E-4</v>
      </c>
      <c r="N97" s="41">
        <f t="shared" si="23"/>
        <v>2.0073215413096569E-2</v>
      </c>
      <c r="O97" s="67"/>
      <c r="P97" s="41">
        <f t="shared" si="25"/>
        <v>9.5262221678120098E-5</v>
      </c>
      <c r="R97" s="27">
        <f t="shared" si="28"/>
        <v>2.6074565195113086</v>
      </c>
      <c r="S97" s="27">
        <f t="shared" si="28"/>
        <v>1.1303727447296887</v>
      </c>
      <c r="T97" s="27">
        <f t="shared" si="28"/>
        <v>0.4940861124482287</v>
      </c>
      <c r="U97" s="27">
        <f t="shared" si="28"/>
        <v>0.21771592643523305</v>
      </c>
      <c r="V97" s="27">
        <f t="shared" si="28"/>
        <v>9.6697795674897349E-2</v>
      </c>
      <c r="W97" s="27">
        <f t="shared" si="28"/>
        <v>4.3282860331301631E-2</v>
      </c>
      <c r="X97" s="27">
        <f t="shared" si="28"/>
        <v>1.9522003795188529E-2</v>
      </c>
      <c r="Y97" s="27">
        <f t="shared" si="28"/>
        <v>8.8711464634909209E-3</v>
      </c>
    </row>
    <row r="98" spans="1:25" x14ac:dyDescent="0.25">
      <c r="A98" s="21">
        <v>86</v>
      </c>
      <c r="C98" s="25">
        <f t="shared" ref="C98:C112" si="29">C97</f>
        <v>5.422979589734731</v>
      </c>
      <c r="D98" s="23">
        <f>FishHarvestTimeTrends!AC107*((1+OriginalBCACalculations!D$10)^MIN(OriginalBCACalculations!$A98,20))</f>
        <v>1.8394320327192688</v>
      </c>
      <c r="E98" s="23">
        <f>FishHarvestTimeTrends!AD107*((1+OriginalBCACalculations!E$10)^MIN(OriginalBCACalculations!$A98,20))</f>
        <v>0.2629748393020433</v>
      </c>
      <c r="F98" s="23">
        <f t="shared" si="27"/>
        <v>5.9029807060614035</v>
      </c>
      <c r="H98" s="22">
        <f t="shared" si="26"/>
        <v>2.8000000000000001E-2</v>
      </c>
      <c r="I98" s="22"/>
      <c r="J98" s="41"/>
      <c r="K98" s="41">
        <f t="shared" si="23"/>
        <v>1.7243160341563108E-2</v>
      </c>
      <c r="L98" s="41">
        <f t="shared" si="23"/>
        <v>5.8487443946174241E-3</v>
      </c>
      <c r="M98" s="41">
        <f t="shared" si="23"/>
        <v>8.3616713742854659E-4</v>
      </c>
      <c r="N98" s="41">
        <f t="shared" si="23"/>
        <v>1.8769394411965529E-2</v>
      </c>
      <c r="O98" s="67"/>
      <c r="P98" s="41">
        <f t="shared" si="25"/>
        <v>8.9030113717869248E-5</v>
      </c>
      <c r="R98" s="27">
        <f t="shared" si="28"/>
        <v>2.6104079883479843</v>
      </c>
      <c r="S98" s="27">
        <f t="shared" si="28"/>
        <v>1.1204477743926673</v>
      </c>
      <c r="T98" s="27">
        <f t="shared" si="28"/>
        <v>0.48494645622158566</v>
      </c>
      <c r="U98" s="27">
        <f t="shared" si="28"/>
        <v>0.21161394806516923</v>
      </c>
      <c r="V98" s="27">
        <f t="shared" si="28"/>
        <v>9.3083895387559679E-2</v>
      </c>
      <c r="W98" s="27">
        <f t="shared" si="28"/>
        <v>4.1268432071425311E-2</v>
      </c>
      <c r="X98" s="27">
        <f t="shared" si="28"/>
        <v>1.8437831524665931E-2</v>
      </c>
      <c r="Y98" s="27">
        <f t="shared" si="28"/>
        <v>8.3001757161662616E-3</v>
      </c>
    </row>
    <row r="99" spans="1:25" x14ac:dyDescent="0.25">
      <c r="A99" s="21">
        <v>87</v>
      </c>
      <c r="C99" s="25">
        <f t="shared" si="29"/>
        <v>5.422979589734731</v>
      </c>
      <c r="D99" s="23">
        <f>FishHarvestTimeTrends!AC108*((1+OriginalBCACalculations!D$10)^MIN(OriginalBCACalculations!$A99,20))</f>
        <v>1.8394333475312763</v>
      </c>
      <c r="E99" s="23">
        <f>FishHarvestTimeTrends!AD108*((1+OriginalBCACalculations!E$10)^MIN(OriginalBCACalculations!$A99,20))</f>
        <v>0.2629749779813535</v>
      </c>
      <c r="F99" s="23">
        <f t="shared" si="27"/>
        <v>5.905932196414434</v>
      </c>
      <c r="H99" s="22">
        <f t="shared" si="26"/>
        <v>2.8000000000000001E-2</v>
      </c>
      <c r="I99" s="22"/>
      <c r="J99" s="41"/>
      <c r="K99" s="41">
        <f t="shared" si="23"/>
        <v>1.6115103122956175E-2</v>
      </c>
      <c r="L99" s="41">
        <f t="shared" si="23"/>
        <v>5.4661201637900671E-3</v>
      </c>
      <c r="M99" s="41">
        <f t="shared" si="23"/>
        <v>7.8146502652316622E-4</v>
      </c>
      <c r="N99" s="41">
        <f t="shared" si="23"/>
        <v>1.7550260849693002E-2</v>
      </c>
      <c r="O99" s="67"/>
      <c r="P99" s="41">
        <f t="shared" si="25"/>
        <v>8.320571375501798E-5</v>
      </c>
      <c r="R99" s="27">
        <f t="shared" si="28"/>
        <v>2.6133609321923332</v>
      </c>
      <c r="S99" s="27">
        <f t="shared" si="28"/>
        <v>1.1106091549673038</v>
      </c>
      <c r="T99" s="27">
        <f t="shared" si="28"/>
        <v>0.47597552647303376</v>
      </c>
      <c r="U99" s="27">
        <f t="shared" si="28"/>
        <v>0.20568284450784249</v>
      </c>
      <c r="V99" s="27">
        <f t="shared" si="28"/>
        <v>8.960499392755128E-2</v>
      </c>
      <c r="W99" s="27">
        <f t="shared" si="28"/>
        <v>3.9347729254693556E-2</v>
      </c>
      <c r="X99" s="27">
        <f t="shared" si="28"/>
        <v>1.7413857316191342E-2</v>
      </c>
      <c r="Y99" s="27">
        <f t="shared" si="28"/>
        <v>7.76594863080508E-3</v>
      </c>
    </row>
    <row r="100" spans="1:25" x14ac:dyDescent="0.25">
      <c r="A100" s="21">
        <v>88</v>
      </c>
      <c r="C100" s="25">
        <f t="shared" si="29"/>
        <v>5.422979589734731</v>
      </c>
      <c r="D100" s="23">
        <f>FishHarvestTimeTrends!AC109*((1+OriginalBCACalculations!D$10)^MIN(OriginalBCACalculations!$A100,20))</f>
        <v>1.8394346623432836</v>
      </c>
      <c r="E100" s="23">
        <f>FishHarvestTimeTrends!AD109*((1+OriginalBCACalculations!E$10)^MIN(OriginalBCACalculations!$A100,20))</f>
        <v>0.26297511666066375</v>
      </c>
      <c r="F100" s="23">
        <f t="shared" si="27"/>
        <v>5.9088851625126413</v>
      </c>
      <c r="H100" s="22">
        <f t="shared" si="26"/>
        <v>2.8000000000000001E-2</v>
      </c>
      <c r="I100" s="22"/>
      <c r="J100" s="41"/>
      <c r="K100" s="41">
        <f t="shared" si="23"/>
        <v>1.5060844040145956E-2</v>
      </c>
      <c r="L100" s="41">
        <f t="shared" si="23"/>
        <v>5.1085271690919027E-3</v>
      </c>
      <c r="M100" s="41">
        <f t="shared" si="23"/>
        <v>7.3034153142722451E-4</v>
      </c>
      <c r="N100" s="41">
        <f t="shared" si="23"/>
        <v>1.6410314000110136E-2</v>
      </c>
      <c r="O100" s="67"/>
      <c r="P100" s="41">
        <f t="shared" si="25"/>
        <v>7.7762349303755115E-5</v>
      </c>
      <c r="R100" s="27">
        <f t="shared" si="28"/>
        <v>2.616315351781858</v>
      </c>
      <c r="S100" s="27">
        <f t="shared" si="28"/>
        <v>1.1008561435794657</v>
      </c>
      <c r="T100" s="27">
        <f t="shared" si="28"/>
        <v>0.46717021524296715</v>
      </c>
      <c r="U100" s="27">
        <f t="shared" si="28"/>
        <v>0.1999178350956369</v>
      </c>
      <c r="V100" s="27">
        <f t="shared" si="28"/>
        <v>8.6256050855196637E-2</v>
      </c>
      <c r="W100" s="27">
        <f t="shared" si="28"/>
        <v>3.7516392465999894E-2</v>
      </c>
      <c r="X100" s="27">
        <f t="shared" si="28"/>
        <v>1.644673941717854E-2</v>
      </c>
      <c r="Y100" s="27">
        <f t="shared" si="28"/>
        <v>7.266101009787064E-3</v>
      </c>
    </row>
    <row r="101" spans="1:25" x14ac:dyDescent="0.25">
      <c r="A101" s="21">
        <v>89</v>
      </c>
      <c r="C101" s="25">
        <f t="shared" si="29"/>
        <v>5.422979589734731</v>
      </c>
      <c r="D101" s="23">
        <f>FishHarvestTimeTrends!AC110*((1+OriginalBCACalculations!D$10)^MIN(OriginalBCACalculations!$A101,20))</f>
        <v>1.8394359771552908</v>
      </c>
      <c r="E101" s="23">
        <f>FishHarvestTimeTrends!AD110*((1+OriginalBCACalculations!E$10)^MIN(OriginalBCACalculations!$A101,20))</f>
        <v>0.26297525533997396</v>
      </c>
      <c r="F101" s="23">
        <f t="shared" si="27"/>
        <v>5.9118396050938973</v>
      </c>
      <c r="H101" s="22">
        <f t="shared" si="26"/>
        <v>2.8000000000000001E-2</v>
      </c>
      <c r="I101" s="22"/>
      <c r="J101" s="41"/>
      <c r="K101" s="41">
        <f t="shared" si="23"/>
        <v>1.4075555177706501E-2</v>
      </c>
      <c r="L101" s="41">
        <f t="shared" si="23"/>
        <v>4.774327869741116E-3</v>
      </c>
      <c r="M101" s="41">
        <f t="shared" si="23"/>
        <v>6.8256253885151023E-4</v>
      </c>
      <c r="N101" s="41">
        <f t="shared" si="23"/>
        <v>1.5344410427205786E-2</v>
      </c>
      <c r="O101" s="67"/>
      <c r="P101" s="41">
        <f t="shared" si="25"/>
        <v>7.2675092807247772E-5</v>
      </c>
      <c r="R101" s="27">
        <f t="shared" si="28"/>
        <v>2.6192712478544324</v>
      </c>
      <c r="S101" s="27">
        <f t="shared" si="28"/>
        <v>1.091188003655909</v>
      </c>
      <c r="T101" s="27">
        <f t="shared" si="28"/>
        <v>0.45852747168088548</v>
      </c>
      <c r="U101" s="27">
        <f t="shared" si="28"/>
        <v>0.19431427278234703</v>
      </c>
      <c r="V101" s="27">
        <f t="shared" si="28"/>
        <v>8.3032213827496787E-2</v>
      </c>
      <c r="W101" s="27">
        <f t="shared" si="28"/>
        <v>3.5770264992636185E-2</v>
      </c>
      <c r="X101" s="27">
        <f t="shared" si="28"/>
        <v>1.5533321543803477E-2</v>
      </c>
      <c r="Y101" s="27">
        <f t="shared" si="28"/>
        <v>6.7984207508991626E-3</v>
      </c>
    </row>
    <row r="102" spans="1:25" x14ac:dyDescent="0.25">
      <c r="A102" s="21">
        <v>90</v>
      </c>
      <c r="C102" s="25">
        <f t="shared" si="29"/>
        <v>5.422979589734731</v>
      </c>
      <c r="D102" s="23">
        <f>FishHarvestTimeTrends!AC111*((1+OriginalBCACalculations!D$10)^MIN(OriginalBCACalculations!$A102,20))</f>
        <v>1.8394372919672983</v>
      </c>
      <c r="E102" s="23">
        <f>FishHarvestTimeTrends!AD111*((1+OriginalBCACalculations!E$10)^MIN(OriginalBCACalculations!$A102,20))</f>
        <v>0.26297539401928421</v>
      </c>
      <c r="F102" s="23">
        <f t="shared" si="27"/>
        <v>5.9147955248964443</v>
      </c>
      <c r="H102" s="22">
        <f t="shared" si="26"/>
        <v>2.8000000000000001E-2</v>
      </c>
      <c r="I102" s="22"/>
      <c r="J102" s="41"/>
      <c r="K102" s="41">
        <f t="shared" si="23"/>
        <v>1.3154724465146261E-2</v>
      </c>
      <c r="L102" s="41">
        <f t="shared" si="23"/>
        <v>4.4619918526981276E-3</v>
      </c>
      <c r="M102" s="41">
        <f t="shared" si="23"/>
        <v>6.3790925121408641E-4</v>
      </c>
      <c r="N102" s="41">
        <f t="shared" si="23"/>
        <v>1.4347740777962045E-2</v>
      </c>
      <c r="O102" s="67"/>
      <c r="P102" s="41">
        <f t="shared" si="25"/>
        <v>6.7920647483409133E-5</v>
      </c>
      <c r="R102" s="27">
        <f t="shared" si="28"/>
        <v>2.6222286211482961</v>
      </c>
      <c r="S102" s="27">
        <f t="shared" si="28"/>
        <v>1.0816040048718134</v>
      </c>
      <c r="T102" s="27">
        <f t="shared" si="28"/>
        <v>0.45004430099885312</v>
      </c>
      <c r="U102" s="27">
        <f t="shared" si="28"/>
        <v>0.18886764041229226</v>
      </c>
      <c r="V102" s="27">
        <f t="shared" si="28"/>
        <v>7.9928811582654954E-2</v>
      </c>
      <c r="W102" s="27">
        <f t="shared" si="28"/>
        <v>3.4105383402270394E-2</v>
      </c>
      <c r="X102" s="27">
        <f t="shared" si="28"/>
        <v>1.4670622589734748E-2</v>
      </c>
      <c r="Y102" s="27">
        <f t="shared" si="28"/>
        <v>6.3608380642114076E-3</v>
      </c>
    </row>
    <row r="103" spans="1:25" x14ac:dyDescent="0.25">
      <c r="A103" s="21">
        <v>91</v>
      </c>
      <c r="C103" s="25">
        <f t="shared" si="29"/>
        <v>5.422979589734731</v>
      </c>
      <c r="D103" s="23">
        <f>FishHarvestTimeTrends!AC112*((1+OriginalBCACalculations!D$10)^MIN(OriginalBCACalculations!$A103,20))</f>
        <v>1.8394386067793058</v>
      </c>
      <c r="E103" s="23">
        <f>FishHarvestTimeTrends!AD112*((1+OriginalBCACalculations!E$10)^MIN(OriginalBCACalculations!$A103,20))</f>
        <v>0.26297553269859436</v>
      </c>
      <c r="F103" s="23">
        <f t="shared" si="27"/>
        <v>5.9177529226588925</v>
      </c>
      <c r="H103" s="22">
        <f t="shared" si="26"/>
        <v>2.8000000000000001E-2</v>
      </c>
      <c r="I103" s="22"/>
      <c r="J103" s="41"/>
      <c r="K103" s="41">
        <f t="shared" si="23"/>
        <v>1.2294135014155386E-2</v>
      </c>
      <c r="L103" s="41">
        <f t="shared" si="23"/>
        <v>4.1700888243801889E-3</v>
      </c>
      <c r="M103" s="41">
        <f t="shared" si="23"/>
        <v>5.9617718468567955E-4</v>
      </c>
      <c r="N103" s="41">
        <f t="shared" si="23"/>
        <v>1.3415808082571054E-2</v>
      </c>
      <c r="O103" s="67"/>
      <c r="P103" s="41">
        <f t="shared" si="25"/>
        <v>6.3477240638700131E-5</v>
      </c>
      <c r="R103" s="27">
        <f t="shared" si="28"/>
        <v>2.6251874724020619</v>
      </c>
      <c r="S103" s="27">
        <f t="shared" si="28"/>
        <v>1.0721034230987401</v>
      </c>
      <c r="T103" s="27">
        <f t="shared" si="28"/>
        <v>0.4417177634440797</v>
      </c>
      <c r="U103" s="27">
        <f t="shared" si="28"/>
        <v>0.18357354709348811</v>
      </c>
      <c r="V103" s="27">
        <f t="shared" si="28"/>
        <v>7.694134718611001E-2</v>
      </c>
      <c r="W103" s="27">
        <f t="shared" si="28"/>
        <v>3.2517968558727142E-2</v>
      </c>
      <c r="X103" s="27">
        <f t="shared" si="28"/>
        <v>1.385582690577159E-2</v>
      </c>
      <c r="Y103" s="27">
        <f t="shared" si="28"/>
        <v>5.9514163181202369E-3</v>
      </c>
    </row>
    <row r="104" spans="1:25" x14ac:dyDescent="0.25">
      <c r="A104" s="21">
        <v>92</v>
      </c>
      <c r="C104" s="25">
        <f t="shared" si="29"/>
        <v>5.422979589734731</v>
      </c>
      <c r="D104" s="23">
        <f>FishHarvestTimeTrends!AC113*((1+OriginalBCACalculations!D$10)^MIN(OriginalBCACalculations!$A104,20))</f>
        <v>1.8394399215913129</v>
      </c>
      <c r="E104" s="23">
        <f>FishHarvestTimeTrends!AD113*((1+OriginalBCACalculations!E$10)^MIN(OriginalBCACalculations!$A104,20))</f>
        <v>0.26297567137790467</v>
      </c>
      <c r="F104" s="23">
        <f t="shared" si="27"/>
        <v>5.9207117991202214</v>
      </c>
      <c r="H104" s="22">
        <f t="shared" si="26"/>
        <v>2.8000000000000001E-2</v>
      </c>
      <c r="I104" s="22"/>
      <c r="J104" s="41"/>
      <c r="K104" s="41">
        <f t="shared" si="23"/>
        <v>1.1489845807621853E-2</v>
      </c>
      <c r="L104" s="41">
        <f t="shared" si="23"/>
        <v>3.8972820608572578E-3</v>
      </c>
      <c r="M104" s="41">
        <f t="shared" si="23"/>
        <v>5.5717523278300991E-4</v>
      </c>
      <c r="N104" s="41">
        <f t="shared" si="23"/>
        <v>1.2544407464123677E-2</v>
      </c>
      <c r="O104" s="67"/>
      <c r="P104" s="41">
        <f t="shared" si="25"/>
        <v>5.9324523961401979E-5</v>
      </c>
      <c r="R104" s="27">
        <f t="shared" si="28"/>
        <v>2.6281478023547082</v>
      </c>
      <c r="S104" s="27">
        <f t="shared" si="28"/>
        <v>1.0626855403530107</v>
      </c>
      <c r="T104" s="27">
        <f t="shared" si="28"/>
        <v>0.43354497329027064</v>
      </c>
      <c r="U104" s="27">
        <f t="shared" si="28"/>
        <v>0.17842772467197282</v>
      </c>
      <c r="V104" s="27">
        <f t="shared" si="28"/>
        <v>7.406549152833504E-2</v>
      </c>
      <c r="W104" s="27">
        <f t="shared" si="28"/>
        <v>3.1004417055234955E-2</v>
      </c>
      <c r="X104" s="27">
        <f t="shared" si="28"/>
        <v>1.3086275118725768E-2</v>
      </c>
      <c r="Y104" s="27">
        <f t="shared" si="28"/>
        <v>5.5683434741034942E-3</v>
      </c>
    </row>
    <row r="105" spans="1:25" x14ac:dyDescent="0.25">
      <c r="A105" s="21">
        <v>93</v>
      </c>
      <c r="C105" s="25">
        <f t="shared" si="29"/>
        <v>5.422979589734731</v>
      </c>
      <c r="D105" s="23">
        <f>FishHarvestTimeTrends!AC114*((1+OriginalBCACalculations!D$10)^MIN(OriginalBCACalculations!$A105,20))</f>
        <v>1.8394412364033204</v>
      </c>
      <c r="E105" s="23">
        <f>FishHarvestTimeTrends!AD114*((1+OriginalBCACalculations!E$10)^MIN(OriginalBCACalculations!$A105,20))</f>
        <v>0.26297581005721482</v>
      </c>
      <c r="F105" s="23">
        <f t="shared" si="27"/>
        <v>5.9236721550197808</v>
      </c>
      <c r="H105" s="22">
        <f t="shared" si="26"/>
        <v>2.8000000000000001E-2</v>
      </c>
      <c r="I105" s="22"/>
      <c r="J105" s="41"/>
      <c r="K105" s="41">
        <f t="shared" si="23"/>
        <v>1.0738173651983044E-2</v>
      </c>
      <c r="L105" s="41">
        <f t="shared" si="23"/>
        <v>3.6423222865353696E-3</v>
      </c>
      <c r="M105" s="41">
        <f t="shared" si="23"/>
        <v>5.2072479122190719E-4</v>
      </c>
      <c r="N105" s="41">
        <f t="shared" si="23"/>
        <v>1.1729607166220318E-2</v>
      </c>
      <c r="O105" s="67"/>
      <c r="P105" s="41">
        <f t="shared" si="25"/>
        <v>5.5443480337758871E-5</v>
      </c>
      <c r="R105" s="27">
        <f t="shared" si="28"/>
        <v>2.6311096117455852</v>
      </c>
      <c r="S105" s="27">
        <f t="shared" si="28"/>
        <v>1.0533496447445088</v>
      </c>
      <c r="T105" s="27">
        <f t="shared" si="28"/>
        <v>0.42552309784740966</v>
      </c>
      <c r="U105" s="27">
        <f t="shared" si="28"/>
        <v>0.17342602430447307</v>
      </c>
      <c r="V105" s="27">
        <f t="shared" si="28"/>
        <v>7.1297077065022585E-2</v>
      </c>
      <c r="W105" s="27">
        <f t="shared" si="28"/>
        <v>2.9561293045749459E-2</v>
      </c>
      <c r="X105" s="27">
        <f t="shared" si="28"/>
        <v>1.2359455459639812E-2</v>
      </c>
      <c r="Y105" s="27">
        <f t="shared" si="28"/>
        <v>5.2099240723323115E-3</v>
      </c>
    </row>
    <row r="106" spans="1:25" x14ac:dyDescent="0.25">
      <c r="A106" s="21">
        <v>94</v>
      </c>
      <c r="C106" s="25">
        <f t="shared" si="29"/>
        <v>5.422979589734731</v>
      </c>
      <c r="D106" s="23">
        <f>FishHarvestTimeTrends!AC115*((1+OriginalBCACalculations!D$10)^MIN(OriginalBCACalculations!$A106,20))</f>
        <v>1.8394425512153281</v>
      </c>
      <c r="E106" s="23">
        <f>FishHarvestTimeTrends!AD115*((1+OriginalBCACalculations!E$10)^MIN(OriginalBCACalculations!$A106,20))</f>
        <v>0.26297594873652508</v>
      </c>
      <c r="F106" s="23">
        <f t="shared" si="27"/>
        <v>5.9266339910972903</v>
      </c>
      <c r="H106" s="22">
        <f t="shared" si="26"/>
        <v>2.8000000000000001E-2</v>
      </c>
      <c r="I106" s="22"/>
      <c r="J106" s="41"/>
      <c r="K106" s="41">
        <f t="shared" si="23"/>
        <v>1.0035676310264526E-2</v>
      </c>
      <c r="L106" s="41">
        <f t="shared" si="23"/>
        <v>3.4040419532958628E-3</v>
      </c>
      <c r="M106" s="41">
        <f t="shared" si="23"/>
        <v>4.866589400225972E-4</v>
      </c>
      <c r="N106" s="41">
        <f t="shared" si="23"/>
        <v>1.09677308129004E-2</v>
      </c>
      <c r="O106" s="67"/>
      <c r="P106" s="41">
        <f t="shared" si="25"/>
        <v>5.1816336764260622E-5</v>
      </c>
      <c r="R106" s="27">
        <f t="shared" si="28"/>
        <v>2.6340729013144122</v>
      </c>
      <c r="S106" s="27">
        <f t="shared" si="28"/>
        <v>1.044095030425898</v>
      </c>
      <c r="T106" s="27">
        <f t="shared" si="28"/>
        <v>0.41764935648963541</v>
      </c>
      <c r="U106" s="27">
        <f t="shared" si="28"/>
        <v>0.16856441312666889</v>
      </c>
      <c r="V106" s="27">
        <f t="shared" si="28"/>
        <v>6.8632091790625654E-2</v>
      </c>
      <c r="W106" s="27">
        <f t="shared" si="28"/>
        <v>2.8185320455861078E-2</v>
      </c>
      <c r="X106" s="27">
        <f t="shared" si="28"/>
        <v>1.1672995573092036E-2</v>
      </c>
      <c r="Y106" s="27">
        <f t="shared" si="28"/>
        <v>4.8745717327185936E-3</v>
      </c>
    </row>
    <row r="107" spans="1:25" x14ac:dyDescent="0.25">
      <c r="A107" s="21">
        <v>95</v>
      </c>
      <c r="C107" s="25">
        <f t="shared" si="29"/>
        <v>5.422979589734731</v>
      </c>
      <c r="D107" s="23">
        <f>FishHarvestTimeTrends!AC116*((1+OriginalBCACalculations!D$10)^MIN(OriginalBCACalculations!$A107,20))</f>
        <v>1.8394438660273351</v>
      </c>
      <c r="E107" s="23">
        <f>FishHarvestTimeTrends!AD116*((1+OriginalBCACalculations!E$10)^MIN(OriginalBCACalculations!$A107,20))</f>
        <v>0.26297608741583534</v>
      </c>
      <c r="F107" s="23">
        <f t="shared" si="27"/>
        <v>5.9295973080928386</v>
      </c>
      <c r="H107" s="22">
        <f t="shared" si="26"/>
        <v>2.8000000000000001E-2</v>
      </c>
      <c r="I107" s="22"/>
      <c r="J107" s="41"/>
      <c r="K107" s="41">
        <f t="shared" si="23"/>
        <v>9.379136738564978E-3</v>
      </c>
      <c r="L107" s="41">
        <f t="shared" si="23"/>
        <v>3.1813498938927207E-3</v>
      </c>
      <c r="M107" s="41">
        <f t="shared" si="23"/>
        <v>4.5482167912171449E-4</v>
      </c>
      <c r="N107" s="41">
        <f t="shared" si="23"/>
        <v>1.0255340820847524E-2</v>
      </c>
      <c r="O107" s="67"/>
      <c r="P107" s="41">
        <f t="shared" si="25"/>
        <v>4.8426482957252925E-5</v>
      </c>
      <c r="R107" s="27">
        <f t="shared" si="28"/>
        <v>2.637037671801278</v>
      </c>
      <c r="S107" s="27">
        <f t="shared" si="28"/>
        <v>1.0349209975422502</v>
      </c>
      <c r="T107" s="27">
        <f t="shared" si="28"/>
        <v>0.40992101970088213</v>
      </c>
      <c r="U107" s="27">
        <f t="shared" si="28"/>
        <v>0.16383897101439379</v>
      </c>
      <c r="V107" s="27">
        <f t="shared" si="28"/>
        <v>6.6066673436560891E-2</v>
      </c>
      <c r="W107" s="27">
        <f t="shared" si="28"/>
        <v>2.6873375555655395E-2</v>
      </c>
      <c r="X107" s="27">
        <f t="shared" si="28"/>
        <v>1.1024654780905471E-2</v>
      </c>
      <c r="Y107" s="27">
        <f t="shared" si="28"/>
        <v>4.5608021382542328E-3</v>
      </c>
    </row>
    <row r="108" spans="1:25" x14ac:dyDescent="0.25">
      <c r="A108" s="21">
        <v>96</v>
      </c>
      <c r="C108" s="25">
        <f t="shared" si="29"/>
        <v>5.422979589734731</v>
      </c>
      <c r="D108" s="23">
        <f>FishHarvestTimeTrends!AC117*((1+OriginalBCACalculations!D$10)^MIN(OriginalBCACalculations!$A108,20))</f>
        <v>1.8394451808393426</v>
      </c>
      <c r="E108" s="23">
        <f>FishHarvestTimeTrends!AD117*((1+OriginalBCACalculations!E$10)^MIN(OriginalBCACalculations!$A108,20))</f>
        <v>0.26297622609514554</v>
      </c>
      <c r="F108" s="23">
        <f t="shared" si="27"/>
        <v>5.932562106746885</v>
      </c>
      <c r="H108" s="22">
        <f t="shared" si="26"/>
        <v>2.8000000000000001E-2</v>
      </c>
      <c r="I108" s="22"/>
      <c r="J108" s="41"/>
      <c r="K108" s="41">
        <f t="shared" si="23"/>
        <v>8.7655483537990419E-3</v>
      </c>
      <c r="L108" s="41">
        <f t="shared" si="23"/>
        <v>2.9732263251240794E-3</v>
      </c>
      <c r="M108" s="41">
        <f t="shared" si="23"/>
        <v>4.2506721399062925E-4</v>
      </c>
      <c r="N108" s="41">
        <f t="shared" si="23"/>
        <v>9.5892228890261163E-3</v>
      </c>
      <c r="O108" s="67"/>
      <c r="P108" s="41">
        <f t="shared" si="25"/>
        <v>4.5258395287152253E-5</v>
      </c>
      <c r="R108" s="27">
        <f t="shared" si="28"/>
        <v>2.6400039239466428</v>
      </c>
      <c r="S108" s="27">
        <f t="shared" si="28"/>
        <v>1.0258268521810867</v>
      </c>
      <c r="T108" s="27">
        <f t="shared" si="28"/>
        <v>0.40233540813796304</v>
      </c>
      <c r="U108" s="27">
        <f t="shared" si="28"/>
        <v>0.15924588743518167</v>
      </c>
      <c r="V108" s="27">
        <f t="shared" si="28"/>
        <v>6.3597103885703582E-2</v>
      </c>
      <c r="W108" s="27">
        <f t="shared" si="28"/>
        <v>2.5622479877712153E-2</v>
      </c>
      <c r="X108" s="27">
        <f t="shared" si="28"/>
        <v>1.0412316775057225E-2</v>
      </c>
      <c r="Y108" s="27">
        <f t="shared" si="28"/>
        <v>4.2672264696289354E-3</v>
      </c>
    </row>
    <row r="109" spans="1:25" x14ac:dyDescent="0.25">
      <c r="A109" s="21">
        <v>97</v>
      </c>
      <c r="C109" s="25">
        <f t="shared" si="29"/>
        <v>5.422979589734731</v>
      </c>
      <c r="D109" s="23">
        <f>FishHarvestTimeTrends!AC118*((1+OriginalBCACalculations!D$10)^MIN(OriginalBCACalculations!$A109,20))</f>
        <v>1.8394464956513501</v>
      </c>
      <c r="E109" s="23">
        <f>FishHarvestTimeTrends!AD118*((1+OriginalBCACalculations!E$10)^MIN(OriginalBCACalculations!$A109,20))</f>
        <v>0.26297636477445574</v>
      </c>
      <c r="F109" s="23">
        <f t="shared" si="27"/>
        <v>5.9355283878002583</v>
      </c>
      <c r="H109" s="22">
        <f t="shared" si="26"/>
        <v>2.8000000000000001E-2</v>
      </c>
      <c r="I109" s="22"/>
      <c r="J109" s="41"/>
      <c r="K109" s="41">
        <f t="shared" si="23"/>
        <v>8.1921012652327527E-3</v>
      </c>
      <c r="L109" s="41">
        <f t="shared" si="23"/>
        <v>2.7787181778957211E-3</v>
      </c>
      <c r="M109" s="41">
        <f t="shared" si="23"/>
        <v>3.9725928798867361E-4</v>
      </c>
      <c r="N109" s="41">
        <f t="shared" si="23"/>
        <v>8.9663714957669456E-3</v>
      </c>
      <c r="O109" s="67"/>
      <c r="P109" s="41">
        <f t="shared" si="25"/>
        <v>4.2297565688927347E-5</v>
      </c>
      <c r="R109" s="27">
        <f t="shared" si="28"/>
        <v>2.6429716584913345</v>
      </c>
      <c r="S109" s="27">
        <f t="shared" si="28"/>
        <v>1.0168119063228205</v>
      </c>
      <c r="T109" s="27">
        <f t="shared" si="28"/>
        <v>0.3948898917107761</v>
      </c>
      <c r="U109" s="27">
        <f t="shared" si="28"/>
        <v>0.15478145838764232</v>
      </c>
      <c r="V109" s="27">
        <f t="shared" si="28"/>
        <v>6.1219803795115948E-2</v>
      </c>
      <c r="W109" s="27">
        <f t="shared" si="28"/>
        <v>2.442979346421046E-2</v>
      </c>
      <c r="X109" s="27">
        <f t="shared" si="28"/>
        <v>9.8339827159824433E-3</v>
      </c>
      <c r="Y109" s="27">
        <f t="shared" si="28"/>
        <v>3.9925452621075172E-3</v>
      </c>
    </row>
    <row r="110" spans="1:25" x14ac:dyDescent="0.25">
      <c r="A110" s="21">
        <v>98</v>
      </c>
      <c r="C110" s="25">
        <f t="shared" si="29"/>
        <v>5.422979589734731</v>
      </c>
      <c r="D110" s="23">
        <f>FishHarvestTimeTrends!AC119*((1+OriginalBCACalculations!D$10)^MIN(OriginalBCACalculations!$A110,20))</f>
        <v>1.8394478104633576</v>
      </c>
      <c r="E110" s="23">
        <f>FishHarvestTimeTrends!AD119*((1+OriginalBCACalculations!E$10)^MIN(OriginalBCACalculations!$A110,20))</f>
        <v>0.262976503453766</v>
      </c>
      <c r="F110" s="23">
        <f t="shared" si="27"/>
        <v>5.9384961519941584</v>
      </c>
      <c r="H110" s="22">
        <f t="shared" si="26"/>
        <v>2.8000000000000001E-2</v>
      </c>
      <c r="I110" s="22"/>
      <c r="J110" s="41"/>
      <c r="K110" s="41">
        <f t="shared" si="23"/>
        <v>7.6561694067595809E-3</v>
      </c>
      <c r="L110" s="41">
        <f t="shared" si="23"/>
        <v>2.5969347327913033E-3</v>
      </c>
      <c r="M110" s="41">
        <f t="shared" si="23"/>
        <v>3.7127055839386168E-4</v>
      </c>
      <c r="N110" s="41">
        <f t="shared" si="23"/>
        <v>8.3839763378643246E-3</v>
      </c>
      <c r="O110" s="67"/>
      <c r="P110" s="41">
        <f t="shared" si="25"/>
        <v>3.9530435223296587E-5</v>
      </c>
      <c r="R110" s="27">
        <f t="shared" ref="R110:Y112" si="30">(SUM($D110:$H110)-SUM($B110:$C110))/((1+R$10)^($A110-1))</f>
        <v>2.6459408761765504</v>
      </c>
      <c r="S110" s="27">
        <f t="shared" si="30"/>
        <v>1.0078754777916092</v>
      </c>
      <c r="T110" s="27">
        <f t="shared" si="30"/>
        <v>0.38758188867932297</v>
      </c>
      <c r="U110" s="27">
        <f t="shared" si="30"/>
        <v>0.15044208342621909</v>
      </c>
      <c r="V110" s="27">
        <f t="shared" si="30"/>
        <v>5.8931327419250196E-2</v>
      </c>
      <c r="W110" s="27">
        <f t="shared" si="30"/>
        <v>2.3292608427851455E-2</v>
      </c>
      <c r="X110" s="27">
        <f t="shared" si="30"/>
        <v>9.2877647137870785E-3</v>
      </c>
      <c r="Y110" s="27">
        <f t="shared" si="30"/>
        <v>3.7355426575132046E-3</v>
      </c>
    </row>
    <row r="111" spans="1:25" x14ac:dyDescent="0.25">
      <c r="A111" s="21">
        <v>99</v>
      </c>
      <c r="C111" s="25">
        <f t="shared" si="29"/>
        <v>5.422979589734731</v>
      </c>
      <c r="D111" s="23">
        <f>FishHarvestTimeTrends!AC120*((1+OriginalBCACalculations!D$10)^MIN(OriginalBCACalculations!$A111,20))</f>
        <v>1.8394491252753649</v>
      </c>
      <c r="E111" s="23">
        <f>FishHarvestTimeTrends!AD120*((1+OriginalBCACalculations!E$10)^MIN(OriginalBCACalculations!$A111,20))</f>
        <v>0.2629766421330762</v>
      </c>
      <c r="F111" s="23">
        <f t="shared" si="27"/>
        <v>5.9414654000701548</v>
      </c>
      <c r="H111" s="22">
        <f t="shared" si="26"/>
        <v>2.8000000000000001E-2</v>
      </c>
      <c r="I111" s="22"/>
      <c r="J111" s="41"/>
      <c r="K111" s="41">
        <f t="shared" si="23"/>
        <v>7.1552985109902623E-3</v>
      </c>
      <c r="L111" s="41">
        <f t="shared" si="23"/>
        <v>2.4270435411631298E-3</v>
      </c>
      <c r="M111" s="41">
        <f t="shared" si="23"/>
        <v>3.469820132537255E-4</v>
      </c>
      <c r="N111" s="41">
        <f t="shared" si="23"/>
        <v>7.8394096504983708E-3</v>
      </c>
      <c r="O111" s="67"/>
      <c r="P111" s="41">
        <f t="shared" si="25"/>
        <v>3.6944331984389331E-5</v>
      </c>
      <c r="R111" s="27">
        <f t="shared" si="30"/>
        <v>2.6489115777438643</v>
      </c>
      <c r="S111" s="27">
        <f t="shared" si="30"/>
        <v>0.99901689020660556</v>
      </c>
      <c r="T111" s="27">
        <f t="shared" si="30"/>
        <v>0.38040886476723379</v>
      </c>
      <c r="U111" s="27">
        <f t="shared" si="30"/>
        <v>0.14622426276895004</v>
      </c>
      <c r="V111" s="27">
        <f t="shared" si="30"/>
        <v>5.6728357626156752E-2</v>
      </c>
      <c r="W111" s="27">
        <f t="shared" si="30"/>
        <v>2.2208342812020491E-2</v>
      </c>
      <c r="X111" s="27">
        <f t="shared" si="30"/>
        <v>8.7718796711306543E-3</v>
      </c>
      <c r="Y111" s="27">
        <f t="shared" si="30"/>
        <v>3.4950810259093516E-3</v>
      </c>
    </row>
    <row r="112" spans="1:25" x14ac:dyDescent="0.25">
      <c r="A112" s="21">
        <v>100</v>
      </c>
      <c r="C112" s="25">
        <f t="shared" si="29"/>
        <v>5.422979589734731</v>
      </c>
      <c r="D112" s="23">
        <f>FishHarvestTimeTrends!AC121*((1+OriginalBCACalculations!D$10)^MIN(OriginalBCACalculations!$A112,20))</f>
        <v>1.8394504400873724</v>
      </c>
      <c r="E112" s="23">
        <f>FishHarvestTimeTrends!AD121*((1+OriginalBCACalculations!E$10)^MIN(OriginalBCACalculations!$A112,20))</f>
        <v>0.2629767808123864</v>
      </c>
      <c r="F112" s="23">
        <f t="shared" si="27"/>
        <v>5.9444361327701891</v>
      </c>
      <c r="H112" s="22">
        <f t="shared" si="26"/>
        <v>2.8000000000000001E-2</v>
      </c>
      <c r="I112" s="22"/>
      <c r="J112" s="41"/>
      <c r="K112" s="41">
        <f t="shared" si="23"/>
        <v>6.6871948700843575E-3</v>
      </c>
      <c r="L112" s="41">
        <f t="shared" si="23"/>
        <v>2.2682666130647176E-3</v>
      </c>
      <c r="M112" s="41">
        <f t="shared" si="23"/>
        <v>3.2428242638580737E-4</v>
      </c>
      <c r="N112" s="41">
        <f t="shared" si="23"/>
        <v>7.3302143507697369E-3</v>
      </c>
      <c r="O112" s="67"/>
      <c r="P112" s="41">
        <f t="shared" si="25"/>
        <v>3.4527413069522736E-5</v>
      </c>
      <c r="R112" s="27">
        <f t="shared" si="30"/>
        <v>2.651883763935218</v>
      </c>
      <c r="S112" s="27">
        <f t="shared" si="30"/>
        <v>0.99023547293360037</v>
      </c>
      <c r="T112" s="27">
        <f t="shared" si="30"/>
        <v>0.37336833229149452</v>
      </c>
      <c r="U112" s="27">
        <f t="shared" si="30"/>
        <v>0.14212459448591747</v>
      </c>
      <c r="V112" s="27">
        <f t="shared" si="30"/>
        <v>5.4607701099505843E-2</v>
      </c>
      <c r="W112" s="27">
        <f t="shared" si="30"/>
        <v>2.1174534736286915E-2</v>
      </c>
      <c r="X112" s="27">
        <f t="shared" si="30"/>
        <v>8.2846434677177842E-3</v>
      </c>
      <c r="Y112" s="27">
        <f t="shared" si="30"/>
        <v>3.2700959332054285E-3</v>
      </c>
    </row>
  </sheetData>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8"/>
  <sheetViews>
    <sheetView workbookViewId="0">
      <selection activeCell="D6" sqref="D6"/>
    </sheetView>
  </sheetViews>
  <sheetFormatPr defaultRowHeight="15" x14ac:dyDescent="0.25"/>
  <cols>
    <col min="1" max="1" width="38.42578125" customWidth="1"/>
    <col min="2" max="20" width="8.28515625" customWidth="1"/>
  </cols>
  <sheetData>
    <row r="1" spans="1:21" x14ac:dyDescent="0.25">
      <c r="A1" t="s">
        <v>59</v>
      </c>
      <c r="B1" t="s">
        <v>0</v>
      </c>
    </row>
    <row r="2" spans="1:21" x14ac:dyDescent="0.25">
      <c r="A2" t="s">
        <v>8</v>
      </c>
      <c r="B2">
        <v>1</v>
      </c>
      <c r="C2">
        <v>2</v>
      </c>
      <c r="D2">
        <v>3</v>
      </c>
      <c r="E2">
        <v>4</v>
      </c>
      <c r="F2">
        <v>5</v>
      </c>
      <c r="G2">
        <v>6</v>
      </c>
      <c r="H2">
        <v>7</v>
      </c>
      <c r="I2">
        <v>8</v>
      </c>
      <c r="J2">
        <v>9</v>
      </c>
      <c r="K2">
        <v>10</v>
      </c>
      <c r="L2">
        <v>11</v>
      </c>
      <c r="M2">
        <v>12</v>
      </c>
      <c r="N2">
        <v>13</v>
      </c>
      <c r="O2">
        <v>14</v>
      </c>
      <c r="P2">
        <v>15</v>
      </c>
      <c r="Q2">
        <v>16</v>
      </c>
      <c r="R2">
        <v>17</v>
      </c>
      <c r="S2">
        <v>18</v>
      </c>
      <c r="T2">
        <v>19</v>
      </c>
      <c r="U2" t="s">
        <v>24</v>
      </c>
    </row>
    <row r="3" spans="1:21" x14ac:dyDescent="0.25">
      <c r="A3" t="s">
        <v>9</v>
      </c>
      <c r="B3" s="2">
        <v>0.47</v>
      </c>
      <c r="C3" s="2">
        <v>0.51</v>
      </c>
      <c r="D3" s="2">
        <v>0.4</v>
      </c>
      <c r="E3" s="2">
        <v>0.4</v>
      </c>
      <c r="F3" s="2"/>
      <c r="G3" s="2"/>
      <c r="H3" s="2"/>
      <c r="I3" s="2"/>
      <c r="J3" s="2"/>
      <c r="K3" s="2"/>
      <c r="L3" s="2"/>
      <c r="M3" s="2"/>
      <c r="N3" s="2"/>
      <c r="O3" s="2"/>
      <c r="P3" s="2"/>
      <c r="Q3" s="2"/>
      <c r="R3" s="2"/>
      <c r="S3" s="2"/>
      <c r="T3" s="2"/>
      <c r="U3" s="2">
        <f>SUM(B3:T3)</f>
        <v>1.7799999999999998</v>
      </c>
    </row>
    <row r="4" spans="1:21" x14ac:dyDescent="0.25">
      <c r="A4" t="s">
        <v>10</v>
      </c>
      <c r="B4" s="2">
        <v>2.1</v>
      </c>
      <c r="C4" s="2">
        <v>1.94</v>
      </c>
      <c r="D4" s="2"/>
      <c r="E4" s="2"/>
      <c r="F4" s="2"/>
      <c r="G4" s="2"/>
      <c r="H4" s="2"/>
      <c r="I4" s="2"/>
      <c r="J4" s="2"/>
      <c r="K4" s="2"/>
      <c r="L4" s="2"/>
      <c r="M4" s="2"/>
      <c r="N4" s="2"/>
      <c r="O4" s="2"/>
      <c r="P4" s="2"/>
      <c r="Q4" s="2"/>
      <c r="R4" s="2"/>
      <c r="S4" s="2"/>
      <c r="T4" s="2"/>
      <c r="U4" s="2">
        <f t="shared" ref="U4:U17" si="0">SUM(B4:T4)</f>
        <v>4.04</v>
      </c>
    </row>
    <row r="5" spans="1:21" x14ac:dyDescent="0.25">
      <c r="A5" t="s">
        <v>11</v>
      </c>
      <c r="B5" s="2"/>
      <c r="C5" s="2"/>
      <c r="D5" s="2">
        <v>3.2</v>
      </c>
      <c r="E5" s="2">
        <v>1.8</v>
      </c>
      <c r="F5" s="2"/>
      <c r="G5" s="2"/>
      <c r="H5" s="2"/>
      <c r="I5" s="2"/>
      <c r="J5" s="2"/>
      <c r="K5" s="2"/>
      <c r="L5" s="2"/>
      <c r="M5" s="2"/>
      <c r="N5" s="2"/>
      <c r="O5" s="2"/>
      <c r="P5" s="2"/>
      <c r="Q5" s="2"/>
      <c r="R5" s="2"/>
      <c r="S5" s="2"/>
      <c r="T5" s="2"/>
      <c r="U5" s="2">
        <f t="shared" si="0"/>
        <v>5</v>
      </c>
    </row>
    <row r="6" spans="1:21" x14ac:dyDescent="0.25">
      <c r="A6" t="s">
        <v>12</v>
      </c>
      <c r="B6" s="2"/>
      <c r="C6" s="2"/>
      <c r="D6" s="3"/>
      <c r="E6" s="2"/>
      <c r="F6" s="2"/>
      <c r="G6" s="2"/>
      <c r="H6" s="2"/>
      <c r="I6" s="2"/>
      <c r="J6" s="2"/>
      <c r="K6" s="2"/>
      <c r="L6" s="2"/>
      <c r="M6" s="2"/>
      <c r="N6" s="2"/>
      <c r="O6" s="2"/>
      <c r="P6" s="2"/>
      <c r="Q6" s="2"/>
      <c r="R6" s="2"/>
      <c r="S6" s="2"/>
      <c r="T6" s="2"/>
      <c r="U6" s="2">
        <f t="shared" si="0"/>
        <v>0</v>
      </c>
    </row>
    <row r="7" spans="1:21" x14ac:dyDescent="0.25">
      <c r="A7" t="s">
        <v>13</v>
      </c>
      <c r="B7" s="2"/>
      <c r="C7" s="2"/>
      <c r="D7" s="2"/>
      <c r="E7" s="2"/>
      <c r="F7" s="2">
        <v>19.989999999999998</v>
      </c>
      <c r="G7" s="2">
        <v>19.899999999999999</v>
      </c>
      <c r="H7" s="2">
        <v>19.98</v>
      </c>
      <c r="I7" s="2">
        <v>19.98</v>
      </c>
      <c r="J7" s="2"/>
      <c r="K7" s="2"/>
      <c r="L7" s="2"/>
      <c r="M7" s="2"/>
      <c r="N7" s="2"/>
      <c r="O7" s="2"/>
      <c r="P7" s="2"/>
      <c r="Q7" s="2"/>
      <c r="R7" s="2"/>
      <c r="S7" s="2"/>
      <c r="T7" s="2"/>
      <c r="U7" s="2">
        <f t="shared" si="0"/>
        <v>79.850000000000009</v>
      </c>
    </row>
    <row r="8" spans="1:21" x14ac:dyDescent="0.25">
      <c r="A8" t="s">
        <v>14</v>
      </c>
      <c r="B8" s="2"/>
      <c r="C8" s="2"/>
      <c r="D8" s="2"/>
      <c r="E8" s="2">
        <v>7.15</v>
      </c>
      <c r="F8" s="2">
        <v>7.15</v>
      </c>
      <c r="G8" s="2">
        <v>0.56999999999999995</v>
      </c>
      <c r="H8" s="2">
        <v>0.56999999999999995</v>
      </c>
      <c r="I8" s="2">
        <v>0.56999999999999995</v>
      </c>
      <c r="J8" s="2">
        <v>0.56999999999999995</v>
      </c>
      <c r="K8" s="2">
        <v>0.56999999999999995</v>
      </c>
      <c r="L8" s="2"/>
      <c r="M8" s="2"/>
      <c r="N8" s="2"/>
      <c r="O8" s="2"/>
      <c r="P8" s="2"/>
      <c r="Q8" s="2"/>
      <c r="R8" s="2"/>
      <c r="S8" s="2"/>
      <c r="T8" s="2"/>
      <c r="U8" s="2">
        <f t="shared" si="0"/>
        <v>17.150000000000002</v>
      </c>
    </row>
    <row r="9" spans="1:21" x14ac:dyDescent="0.25">
      <c r="A9" t="s">
        <v>15</v>
      </c>
      <c r="B9" s="2"/>
      <c r="C9" s="2"/>
      <c r="D9" s="2"/>
      <c r="E9" s="2"/>
      <c r="F9" s="2">
        <v>1.5</v>
      </c>
      <c r="G9" s="2"/>
      <c r="H9" s="2"/>
      <c r="I9" s="2"/>
      <c r="J9" s="2"/>
      <c r="K9" s="2"/>
      <c r="L9" s="2"/>
      <c r="M9" s="2"/>
      <c r="N9" s="2"/>
      <c r="O9" s="2"/>
      <c r="P9" s="2"/>
      <c r="Q9" s="2"/>
      <c r="R9" s="2"/>
      <c r="S9" s="2"/>
      <c r="T9" s="2"/>
      <c r="U9" s="2">
        <f t="shared" si="0"/>
        <v>1.5</v>
      </c>
    </row>
    <row r="10" spans="1:21" x14ac:dyDescent="0.25">
      <c r="A10" t="s">
        <v>16</v>
      </c>
      <c r="B10" s="2"/>
      <c r="C10" s="2"/>
      <c r="D10" s="2"/>
      <c r="E10" s="2"/>
      <c r="F10" s="2">
        <v>1</v>
      </c>
      <c r="G10" s="2"/>
      <c r="H10" s="2"/>
      <c r="I10" s="2"/>
      <c r="J10" s="2"/>
      <c r="K10" s="2"/>
      <c r="L10" s="2"/>
      <c r="M10" s="2"/>
      <c r="N10" s="2"/>
      <c r="O10" s="2"/>
      <c r="P10" s="2"/>
      <c r="Q10" s="2"/>
      <c r="R10" s="2"/>
      <c r="S10" s="2"/>
      <c r="T10" s="2"/>
      <c r="U10" s="2">
        <f t="shared" si="0"/>
        <v>1</v>
      </c>
    </row>
    <row r="11" spans="1:21" x14ac:dyDescent="0.25">
      <c r="A11" t="s">
        <v>17</v>
      </c>
      <c r="B11" s="2"/>
      <c r="C11" s="2"/>
      <c r="D11" s="2"/>
      <c r="E11" s="2"/>
      <c r="F11" s="2">
        <v>2.1</v>
      </c>
      <c r="G11" s="2"/>
      <c r="H11" s="2"/>
      <c r="I11" s="2"/>
      <c r="J11" s="2"/>
      <c r="K11" s="2"/>
      <c r="L11" s="2"/>
      <c r="M11" s="2"/>
      <c r="N11" s="2"/>
      <c r="O11" s="2"/>
      <c r="P11" s="2"/>
      <c r="Q11" s="2"/>
      <c r="R11" s="2"/>
      <c r="S11" s="2"/>
      <c r="T11" s="2"/>
      <c r="U11" s="2">
        <f t="shared" si="0"/>
        <v>2.1</v>
      </c>
    </row>
    <row r="12" spans="1:21" x14ac:dyDescent="0.25">
      <c r="A12" t="s">
        <v>18</v>
      </c>
      <c r="B12" s="2">
        <v>0.39</v>
      </c>
      <c r="C12" s="2">
        <v>0.35</v>
      </c>
      <c r="D12" s="2">
        <v>1.94</v>
      </c>
      <c r="E12" s="2">
        <v>0.22</v>
      </c>
      <c r="F12" s="2">
        <v>0.23</v>
      </c>
      <c r="G12" s="2">
        <v>0.36</v>
      </c>
      <c r="H12" s="2">
        <v>0.36</v>
      </c>
      <c r="I12" s="2">
        <v>0.38</v>
      </c>
      <c r="J12" s="2">
        <v>0.38</v>
      </c>
      <c r="K12" s="2">
        <v>0.38</v>
      </c>
      <c r="L12" s="2">
        <v>0.38</v>
      </c>
      <c r="M12" s="2">
        <v>0.37</v>
      </c>
      <c r="N12" s="2">
        <v>0.2</v>
      </c>
      <c r="O12" s="2">
        <v>0.17</v>
      </c>
      <c r="P12" s="2">
        <v>0.11</v>
      </c>
      <c r="Q12" s="2">
        <v>0.1</v>
      </c>
      <c r="R12" s="2">
        <v>0.1</v>
      </c>
      <c r="S12" s="2">
        <v>0.1</v>
      </c>
      <c r="T12" s="2">
        <v>0.08</v>
      </c>
      <c r="U12" s="2">
        <f t="shared" si="0"/>
        <v>6.5999999999999988</v>
      </c>
    </row>
    <row r="13" spans="1:21" x14ac:dyDescent="0.25">
      <c r="A13" t="s">
        <v>23</v>
      </c>
      <c r="B13" s="2">
        <v>0.06</v>
      </c>
      <c r="C13" s="2">
        <v>0.11</v>
      </c>
      <c r="D13" s="2">
        <v>0.76</v>
      </c>
      <c r="E13" s="2">
        <v>0.96</v>
      </c>
      <c r="F13" s="2">
        <v>0.96</v>
      </c>
      <c r="G13" s="2">
        <v>0.96</v>
      </c>
      <c r="H13" s="2">
        <v>0.37</v>
      </c>
      <c r="I13" s="2">
        <v>0.37</v>
      </c>
      <c r="J13" s="2">
        <v>0.12</v>
      </c>
      <c r="K13" s="2">
        <v>0.12</v>
      </c>
      <c r="L13" s="2">
        <v>0.12</v>
      </c>
      <c r="M13" s="2">
        <v>0.12</v>
      </c>
      <c r="N13" s="2"/>
      <c r="O13" s="2"/>
      <c r="P13" s="2"/>
      <c r="Q13" s="2"/>
      <c r="R13" s="2"/>
      <c r="S13" s="2"/>
      <c r="T13" s="2"/>
      <c r="U13" s="2">
        <f t="shared" si="0"/>
        <v>5.03</v>
      </c>
    </row>
    <row r="14" spans="1:21" x14ac:dyDescent="0.25">
      <c r="A14" t="s">
        <v>19</v>
      </c>
      <c r="B14" s="2"/>
      <c r="C14" s="2"/>
      <c r="D14" s="2"/>
      <c r="E14" s="2"/>
      <c r="F14" s="2">
        <v>0.5</v>
      </c>
      <c r="G14" s="2">
        <v>0.5</v>
      </c>
      <c r="H14" s="2">
        <v>0.14000000000000001</v>
      </c>
      <c r="I14" s="2">
        <v>0.14000000000000001</v>
      </c>
      <c r="J14" s="2">
        <v>0.14000000000000001</v>
      </c>
      <c r="K14" s="2">
        <v>0.14000000000000001</v>
      </c>
      <c r="L14" s="2">
        <v>0.14000000000000001</v>
      </c>
      <c r="M14" s="2">
        <v>0.14000000000000001</v>
      </c>
      <c r="N14" s="2">
        <v>0.14000000000000001</v>
      </c>
      <c r="O14" s="2">
        <v>0.14000000000000001</v>
      </c>
      <c r="P14" s="2">
        <v>0.14000000000000001</v>
      </c>
      <c r="Q14" s="2">
        <v>0.14000000000000001</v>
      </c>
      <c r="R14" s="2"/>
      <c r="S14" s="2"/>
      <c r="T14" s="2"/>
      <c r="U14" s="2">
        <f t="shared" si="0"/>
        <v>2.4000000000000012</v>
      </c>
    </row>
    <row r="15" spans="1:21" x14ac:dyDescent="0.25">
      <c r="A15" t="s">
        <v>20</v>
      </c>
      <c r="B15" s="2">
        <v>0.08</v>
      </c>
      <c r="C15" s="2">
        <v>0.13</v>
      </c>
      <c r="D15" s="2"/>
      <c r="E15" s="2">
        <v>0.1</v>
      </c>
      <c r="F15" s="2">
        <v>0.1</v>
      </c>
      <c r="G15" s="2">
        <v>0.02</v>
      </c>
      <c r="H15" s="2">
        <v>0.02</v>
      </c>
      <c r="I15" s="2">
        <v>0.02</v>
      </c>
      <c r="J15" s="2">
        <v>0.02</v>
      </c>
      <c r="K15" s="2">
        <v>0.02</v>
      </c>
      <c r="L15" s="2">
        <v>0.02</v>
      </c>
      <c r="M15" s="2">
        <v>0.02</v>
      </c>
      <c r="N15" s="2">
        <v>0.02</v>
      </c>
      <c r="O15" s="2">
        <v>0.02</v>
      </c>
      <c r="P15" s="2">
        <v>0.02</v>
      </c>
      <c r="Q15" s="2">
        <v>0.02</v>
      </c>
      <c r="R15" s="2">
        <v>0.02</v>
      </c>
      <c r="S15" s="2">
        <v>0.02</v>
      </c>
      <c r="T15" s="2">
        <v>0.02</v>
      </c>
      <c r="U15" s="2">
        <f t="shared" si="0"/>
        <v>0.69000000000000028</v>
      </c>
    </row>
    <row r="16" spans="1:21" x14ac:dyDescent="0.25">
      <c r="A16" t="s">
        <v>21</v>
      </c>
      <c r="B16" s="2">
        <v>0.18</v>
      </c>
      <c r="C16" s="2">
        <v>0.6</v>
      </c>
      <c r="D16" s="2">
        <v>0.45</v>
      </c>
      <c r="E16" s="2">
        <v>0.45</v>
      </c>
      <c r="F16" s="2">
        <v>0.45</v>
      </c>
      <c r="G16" s="2">
        <v>0.45</v>
      </c>
      <c r="H16" s="2">
        <v>0.45</v>
      </c>
      <c r="I16" s="2">
        <v>0.45</v>
      </c>
      <c r="J16" s="2">
        <v>0.45</v>
      </c>
      <c r="K16" s="2">
        <v>0.45</v>
      </c>
      <c r="L16" s="2"/>
      <c r="M16" s="2"/>
      <c r="N16" s="2"/>
      <c r="O16" s="2"/>
      <c r="P16" s="2"/>
      <c r="Q16" s="2"/>
      <c r="R16" s="2"/>
      <c r="S16" s="2"/>
      <c r="T16" s="2"/>
      <c r="U16" s="2">
        <f t="shared" si="0"/>
        <v>4.3800000000000008</v>
      </c>
    </row>
    <row r="17" spans="1:21" x14ac:dyDescent="0.25">
      <c r="A17" t="s">
        <v>22</v>
      </c>
      <c r="B17" s="2">
        <f>SUM(B3:B16)</f>
        <v>3.2800000000000007</v>
      </c>
      <c r="C17" s="2">
        <f t="shared" ref="C17:T17" si="1">SUM(C3:C16)</f>
        <v>3.64</v>
      </c>
      <c r="D17" s="2">
        <f t="shared" si="1"/>
        <v>6.75</v>
      </c>
      <c r="E17" s="2">
        <f t="shared" si="1"/>
        <v>11.08</v>
      </c>
      <c r="F17" s="2">
        <f t="shared" si="1"/>
        <v>33.980000000000004</v>
      </c>
      <c r="G17" s="2">
        <f t="shared" si="1"/>
        <v>22.759999999999998</v>
      </c>
      <c r="H17" s="2">
        <f t="shared" si="1"/>
        <v>21.89</v>
      </c>
      <c r="I17" s="2">
        <f t="shared" si="1"/>
        <v>21.91</v>
      </c>
      <c r="J17" s="2">
        <f t="shared" si="1"/>
        <v>1.68</v>
      </c>
      <c r="K17" s="2">
        <f t="shared" si="1"/>
        <v>1.68</v>
      </c>
      <c r="L17" s="2">
        <f t="shared" si="1"/>
        <v>0.66</v>
      </c>
      <c r="M17" s="2">
        <f t="shared" si="1"/>
        <v>0.65</v>
      </c>
      <c r="N17" s="2">
        <f t="shared" si="1"/>
        <v>0.36000000000000004</v>
      </c>
      <c r="O17" s="2">
        <f t="shared" si="1"/>
        <v>0.33000000000000007</v>
      </c>
      <c r="P17" s="2">
        <f t="shared" si="1"/>
        <v>0.27</v>
      </c>
      <c r="Q17" s="2">
        <f t="shared" si="1"/>
        <v>0.26</v>
      </c>
      <c r="R17" s="2">
        <f t="shared" si="1"/>
        <v>0.12000000000000001</v>
      </c>
      <c r="S17" s="2">
        <f t="shared" si="1"/>
        <v>0.12000000000000001</v>
      </c>
      <c r="T17" s="2">
        <f t="shared" si="1"/>
        <v>0.1</v>
      </c>
      <c r="U17" s="2">
        <f t="shared" si="0"/>
        <v>131.52000000000004</v>
      </c>
    </row>
    <row r="18" spans="1:21" x14ac:dyDescent="0.25">
      <c r="A18" t="s">
        <v>25</v>
      </c>
      <c r="B18" s="1">
        <f>B17/$U17</f>
        <v>2.4939172749391725E-2</v>
      </c>
      <c r="C18" s="1">
        <f t="shared" ref="C18:T18" si="2">C17/$U17</f>
        <v>2.7676399026763984E-2</v>
      </c>
      <c r="D18" s="1">
        <f t="shared" si="2"/>
        <v>5.1322992700729909E-2</v>
      </c>
      <c r="E18" s="1">
        <f t="shared" si="2"/>
        <v>8.4245742092457401E-2</v>
      </c>
      <c r="F18" s="1">
        <f t="shared" si="2"/>
        <v>0.2583637469586374</v>
      </c>
      <c r="G18" s="1">
        <f t="shared" si="2"/>
        <v>0.17305352798053522</v>
      </c>
      <c r="H18" s="1">
        <f t="shared" si="2"/>
        <v>0.1664385644768856</v>
      </c>
      <c r="I18" s="1">
        <f t="shared" si="2"/>
        <v>0.16659063260340629</v>
      </c>
      <c r="J18" s="1">
        <f t="shared" si="2"/>
        <v>1.2773722627737223E-2</v>
      </c>
      <c r="K18" s="1">
        <f t="shared" si="2"/>
        <v>1.2773722627737223E-2</v>
      </c>
      <c r="L18" s="1">
        <f t="shared" si="2"/>
        <v>5.0182481751824808E-3</v>
      </c>
      <c r="M18" s="1">
        <f t="shared" si="2"/>
        <v>4.9422141119221394E-3</v>
      </c>
      <c r="N18" s="1">
        <f t="shared" si="2"/>
        <v>2.7372262773722625E-3</v>
      </c>
      <c r="O18" s="1">
        <f t="shared" si="2"/>
        <v>2.5091240875912408E-3</v>
      </c>
      <c r="P18" s="1">
        <f t="shared" si="2"/>
        <v>2.0529197080291967E-3</v>
      </c>
      <c r="Q18" s="1">
        <f t="shared" si="2"/>
        <v>1.9768856447688558E-3</v>
      </c>
      <c r="R18" s="1">
        <f t="shared" si="2"/>
        <v>9.1240875912408734E-4</v>
      </c>
      <c r="S18" s="1">
        <f t="shared" si="2"/>
        <v>9.1240875912408734E-4</v>
      </c>
      <c r="T18" s="1">
        <f t="shared" si="2"/>
        <v>7.6034063260340616E-4</v>
      </c>
    </row>
    <row r="20" spans="1:21" x14ac:dyDescent="0.25">
      <c r="B20">
        <v>1</v>
      </c>
      <c r="C20" s="4">
        <f>B18</f>
        <v>2.4939172749391725E-2</v>
      </c>
    </row>
    <row r="21" spans="1:21" x14ac:dyDescent="0.25">
      <c r="B21">
        <v>2</v>
      </c>
      <c r="C21" s="4">
        <f>C18</f>
        <v>2.7676399026763984E-2</v>
      </c>
    </row>
    <row r="22" spans="1:21" x14ac:dyDescent="0.25">
      <c r="B22">
        <v>3</v>
      </c>
      <c r="C22" s="4">
        <f>D18</f>
        <v>5.1322992700729909E-2</v>
      </c>
    </row>
    <row r="23" spans="1:21" x14ac:dyDescent="0.25">
      <c r="B23">
        <v>4</v>
      </c>
      <c r="C23" s="4">
        <f>E18</f>
        <v>8.4245742092457401E-2</v>
      </c>
    </row>
    <row r="24" spans="1:21" x14ac:dyDescent="0.25">
      <c r="B24">
        <v>5</v>
      </c>
      <c r="C24" s="4">
        <f>F18</f>
        <v>0.2583637469586374</v>
      </c>
    </row>
    <row r="25" spans="1:21" x14ac:dyDescent="0.25">
      <c r="B25">
        <v>6</v>
      </c>
      <c r="C25" s="4">
        <f>G18</f>
        <v>0.17305352798053522</v>
      </c>
    </row>
    <row r="26" spans="1:21" x14ac:dyDescent="0.25">
      <c r="B26">
        <v>7</v>
      </c>
      <c r="C26" s="4">
        <f>H18</f>
        <v>0.1664385644768856</v>
      </c>
    </row>
    <row r="27" spans="1:21" x14ac:dyDescent="0.25">
      <c r="B27">
        <v>8</v>
      </c>
      <c r="C27" s="4">
        <f>I18</f>
        <v>0.16659063260340629</v>
      </c>
    </row>
    <row r="28" spans="1:21" x14ac:dyDescent="0.25">
      <c r="B28">
        <v>9</v>
      </c>
      <c r="C28" s="4">
        <f>J18</f>
        <v>1.2773722627737223E-2</v>
      </c>
    </row>
    <row r="29" spans="1:21" x14ac:dyDescent="0.25">
      <c r="B29">
        <v>10</v>
      </c>
      <c r="C29" s="4">
        <f>K18</f>
        <v>1.2773722627737223E-2</v>
      </c>
    </row>
    <row r="30" spans="1:21" x14ac:dyDescent="0.25">
      <c r="B30">
        <v>11</v>
      </c>
      <c r="C30" s="4">
        <f>L18</f>
        <v>5.0182481751824808E-3</v>
      </c>
    </row>
    <row r="31" spans="1:21" x14ac:dyDescent="0.25">
      <c r="B31">
        <v>12</v>
      </c>
      <c r="C31" s="4">
        <f>M18</f>
        <v>4.9422141119221394E-3</v>
      </c>
    </row>
    <row r="32" spans="1:21" x14ac:dyDescent="0.25">
      <c r="B32">
        <v>13</v>
      </c>
      <c r="C32" s="4">
        <f>N18</f>
        <v>2.7372262773722625E-3</v>
      </c>
    </row>
    <row r="33" spans="2:3" x14ac:dyDescent="0.25">
      <c r="B33">
        <v>14</v>
      </c>
      <c r="C33" s="4">
        <f>O18</f>
        <v>2.5091240875912408E-3</v>
      </c>
    </row>
    <row r="34" spans="2:3" x14ac:dyDescent="0.25">
      <c r="B34">
        <v>15</v>
      </c>
      <c r="C34" s="4">
        <f>P18</f>
        <v>2.0529197080291967E-3</v>
      </c>
    </row>
    <row r="35" spans="2:3" x14ac:dyDescent="0.25">
      <c r="B35">
        <v>16</v>
      </c>
      <c r="C35" s="4">
        <f>Q18</f>
        <v>1.9768856447688558E-3</v>
      </c>
    </row>
    <row r="36" spans="2:3" x14ac:dyDescent="0.25">
      <c r="B36">
        <v>17</v>
      </c>
      <c r="C36" s="4">
        <f>R18</f>
        <v>9.1240875912408734E-4</v>
      </c>
    </row>
    <row r="37" spans="2:3" x14ac:dyDescent="0.25">
      <c r="B37">
        <v>18</v>
      </c>
      <c r="C37" s="4">
        <f>S18</f>
        <v>9.1240875912408734E-4</v>
      </c>
    </row>
    <row r="38" spans="2:3" x14ac:dyDescent="0.25">
      <c r="B38">
        <v>19</v>
      </c>
      <c r="C38" s="4">
        <f>T18</f>
        <v>7.6034063260340616E-4</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6"/>
  <sheetViews>
    <sheetView workbookViewId="0">
      <selection activeCell="I21" sqref="I21"/>
    </sheetView>
  </sheetViews>
  <sheetFormatPr defaultRowHeight="15" x14ac:dyDescent="0.25"/>
  <cols>
    <col min="1" max="1" width="11.85546875" customWidth="1"/>
    <col min="3" max="3" width="15.28515625" customWidth="1"/>
    <col min="4" max="5" width="12.28515625" customWidth="1"/>
    <col min="6" max="6" width="18.28515625" customWidth="1"/>
    <col min="7" max="7" width="19.42578125" customWidth="1"/>
    <col min="9" max="9" width="15.140625" customWidth="1"/>
  </cols>
  <sheetData>
    <row r="1" spans="1:9" x14ac:dyDescent="0.25">
      <c r="C1" t="s">
        <v>28</v>
      </c>
      <c r="D1" t="s">
        <v>29</v>
      </c>
      <c r="E1" t="s">
        <v>30</v>
      </c>
      <c r="F1" t="s">
        <v>31</v>
      </c>
      <c r="G1" t="s">
        <v>32</v>
      </c>
      <c r="I1" t="s">
        <v>100</v>
      </c>
    </row>
    <row r="2" spans="1:9" x14ac:dyDescent="0.25">
      <c r="A2" s="5" t="s">
        <v>33</v>
      </c>
      <c r="B2" s="6" t="s">
        <v>34</v>
      </c>
      <c r="C2" s="6">
        <v>10.9</v>
      </c>
      <c r="D2" s="6">
        <v>0.09</v>
      </c>
      <c r="E2" s="6">
        <v>0.25</v>
      </c>
      <c r="F2" s="7">
        <f>E2/SUM(E$2:E$4)</f>
        <v>0.16129032258064516</v>
      </c>
      <c r="G2" s="8">
        <f t="shared" ref="G2:G16" si="0">100*F2/C2</f>
        <v>1.4797277300976619</v>
      </c>
      <c r="I2" s="61">
        <f>E2-D2</f>
        <v>0.16</v>
      </c>
    </row>
    <row r="3" spans="1:9" x14ac:dyDescent="0.25">
      <c r="A3" s="9"/>
      <c r="B3" s="10" t="s">
        <v>35</v>
      </c>
      <c r="C3" s="10">
        <v>45.5</v>
      </c>
      <c r="D3" s="10">
        <v>0.38</v>
      </c>
      <c r="E3" s="10">
        <v>1.06</v>
      </c>
      <c r="F3" s="11">
        <f>E3/SUM(E$2:E$4)</f>
        <v>0.68387096774193545</v>
      </c>
      <c r="G3" s="12">
        <f t="shared" si="0"/>
        <v>1.5030131159163418</v>
      </c>
      <c r="I3" s="62">
        <f t="shared" ref="I3:I14" si="1">E3-D3</f>
        <v>0.68</v>
      </c>
    </row>
    <row r="4" spans="1:9" x14ac:dyDescent="0.25">
      <c r="A4" s="13"/>
      <c r="B4" s="14" t="s">
        <v>36</v>
      </c>
      <c r="C4" s="14">
        <v>43.6</v>
      </c>
      <c r="D4" s="14">
        <v>0.09</v>
      </c>
      <c r="E4" s="14">
        <v>0.24</v>
      </c>
      <c r="F4" s="15">
        <f>E4/SUM(E$2:E$4)</f>
        <v>0.15483870967741933</v>
      </c>
      <c r="G4" s="16">
        <f t="shared" si="0"/>
        <v>0.35513465522343884</v>
      </c>
      <c r="I4" s="62">
        <f t="shared" si="1"/>
        <v>0.15</v>
      </c>
    </row>
    <row r="5" spans="1:9" x14ac:dyDescent="0.25">
      <c r="A5" s="5" t="s">
        <v>37</v>
      </c>
      <c r="B5" s="6" t="s">
        <v>34</v>
      </c>
      <c r="C5" s="6">
        <v>20.8</v>
      </c>
      <c r="D5" s="6">
        <v>0.05</v>
      </c>
      <c r="E5" s="6">
        <v>0.16</v>
      </c>
      <c r="F5" s="7">
        <f>E5/SUM(E$5:E$7)</f>
        <v>0.22857142857142856</v>
      </c>
      <c r="G5" s="8">
        <f t="shared" si="0"/>
        <v>1.098901098901099</v>
      </c>
      <c r="I5" s="62">
        <f t="shared" si="1"/>
        <v>0.11</v>
      </c>
    </row>
    <row r="6" spans="1:9" x14ac:dyDescent="0.25">
      <c r="A6" s="9"/>
      <c r="B6" s="10" t="s">
        <v>35</v>
      </c>
      <c r="C6" s="10">
        <v>47.9</v>
      </c>
      <c r="D6" s="10">
        <v>0.11</v>
      </c>
      <c r="E6" s="10">
        <v>0.38</v>
      </c>
      <c r="F6" s="11">
        <f>E6/SUM(E$5:E$7)</f>
        <v>0.54285714285714282</v>
      </c>
      <c r="G6" s="12">
        <f t="shared" si="0"/>
        <v>1.1333134506412168</v>
      </c>
      <c r="I6" s="62">
        <f t="shared" si="1"/>
        <v>0.27</v>
      </c>
    </row>
    <row r="7" spans="1:9" x14ac:dyDescent="0.25">
      <c r="A7" s="13"/>
      <c r="B7" s="14" t="s">
        <v>36</v>
      </c>
      <c r="C7" s="14">
        <v>31.1</v>
      </c>
      <c r="D7" s="14">
        <v>0.05</v>
      </c>
      <c r="E7" s="14">
        <v>0.16</v>
      </c>
      <c r="F7" s="15">
        <f>E7/SUM(E$5:E$7)</f>
        <v>0.22857142857142856</v>
      </c>
      <c r="G7" s="16">
        <f t="shared" si="0"/>
        <v>0.73495636196600822</v>
      </c>
      <c r="I7" s="62">
        <f t="shared" si="1"/>
        <v>0.11</v>
      </c>
    </row>
    <row r="8" spans="1:9" x14ac:dyDescent="0.25">
      <c r="A8" s="5" t="s">
        <v>38</v>
      </c>
      <c r="B8" s="6" t="s">
        <v>34</v>
      </c>
      <c r="C8" s="6">
        <v>46.1</v>
      </c>
      <c r="D8" s="6"/>
      <c r="E8" s="6">
        <v>0.28999999999999998</v>
      </c>
      <c r="F8" s="7">
        <f>E8/SUM(E$8:E$10)</f>
        <v>0.4264705882352941</v>
      </c>
      <c r="G8" s="8">
        <f t="shared" si="0"/>
        <v>0.92509888988133215</v>
      </c>
      <c r="I8" s="62">
        <f t="shared" si="1"/>
        <v>0.28999999999999998</v>
      </c>
    </row>
    <row r="9" spans="1:9" x14ac:dyDescent="0.25">
      <c r="A9" s="9"/>
      <c r="B9" s="10" t="s">
        <v>35</v>
      </c>
      <c r="C9" s="10">
        <v>52.2</v>
      </c>
      <c r="D9" s="10"/>
      <c r="E9" s="10">
        <v>0.32</v>
      </c>
      <c r="F9" s="11">
        <f>E9/SUM(E$8:E$10)</f>
        <v>0.4705882352941177</v>
      </c>
      <c r="G9" s="12">
        <f t="shared" si="0"/>
        <v>0.90151002929907598</v>
      </c>
      <c r="I9" s="62">
        <f t="shared" si="1"/>
        <v>0.32</v>
      </c>
    </row>
    <row r="10" spans="1:9" x14ac:dyDescent="0.25">
      <c r="A10" s="13"/>
      <c r="B10" s="14" t="s">
        <v>36</v>
      </c>
      <c r="C10" s="14">
        <v>1.7</v>
      </c>
      <c r="D10" s="14"/>
      <c r="E10" s="14">
        <v>7.0000000000000007E-2</v>
      </c>
      <c r="F10" s="15">
        <f>E10/SUM(E$8:E$10)</f>
        <v>0.10294117647058826</v>
      </c>
      <c r="G10" s="16">
        <f t="shared" si="0"/>
        <v>6.0553633217993097</v>
      </c>
      <c r="I10" s="62">
        <f t="shared" si="1"/>
        <v>7.0000000000000007E-2</v>
      </c>
    </row>
    <row r="11" spans="1:9" x14ac:dyDescent="0.25">
      <c r="A11" s="5" t="s">
        <v>39</v>
      </c>
      <c r="B11" s="6" t="s">
        <v>34</v>
      </c>
      <c r="C11" s="6">
        <v>46.9</v>
      </c>
      <c r="D11" s="6"/>
      <c r="E11" s="6">
        <v>0.13</v>
      </c>
      <c r="F11" s="7">
        <f>E11/SUM(E$11:E$12)</f>
        <v>0.46428571428571425</v>
      </c>
      <c r="G11" s="8">
        <f t="shared" si="0"/>
        <v>0.98994821809320732</v>
      </c>
      <c r="I11" s="62">
        <f t="shared" si="1"/>
        <v>0.13</v>
      </c>
    </row>
    <row r="12" spans="1:9" x14ac:dyDescent="0.25">
      <c r="A12" s="13"/>
      <c r="B12" s="14" t="s">
        <v>35</v>
      </c>
      <c r="C12" s="14">
        <v>53.1</v>
      </c>
      <c r="D12" s="14"/>
      <c r="E12" s="14">
        <v>0.15</v>
      </c>
      <c r="F12" s="15">
        <f>E12/SUM(E$11:E$12)</f>
        <v>0.5357142857142857</v>
      </c>
      <c r="G12" s="16">
        <f t="shared" si="0"/>
        <v>1.0088781275221952</v>
      </c>
      <c r="I12" s="62">
        <f t="shared" si="1"/>
        <v>0.15</v>
      </c>
    </row>
    <row r="13" spans="1:9" x14ac:dyDescent="0.25">
      <c r="A13" s="5" t="s">
        <v>40</v>
      </c>
      <c r="B13" s="6" t="s">
        <v>34</v>
      </c>
      <c r="C13" s="6">
        <v>46.3</v>
      </c>
      <c r="D13" s="6"/>
      <c r="E13" s="6">
        <v>0.03</v>
      </c>
      <c r="F13" s="7">
        <f>E13/SUM(E$13:E$14)</f>
        <v>0.42857142857142849</v>
      </c>
      <c r="G13" s="8">
        <f t="shared" si="0"/>
        <v>0.9256402344955259</v>
      </c>
      <c r="I13" s="62">
        <f t="shared" si="1"/>
        <v>0.03</v>
      </c>
    </row>
    <row r="14" spans="1:9" x14ac:dyDescent="0.25">
      <c r="A14" s="13"/>
      <c r="B14" s="14" t="s">
        <v>35</v>
      </c>
      <c r="C14" s="14">
        <v>53.7</v>
      </c>
      <c r="D14" s="14"/>
      <c r="E14" s="14">
        <v>0.04</v>
      </c>
      <c r="F14" s="15">
        <f>E14/SUM(E$13:E$14)</f>
        <v>0.5714285714285714</v>
      </c>
      <c r="G14" s="16">
        <f t="shared" si="0"/>
        <v>1.0641127959563712</v>
      </c>
      <c r="I14" s="62">
        <f t="shared" si="1"/>
        <v>0.04</v>
      </c>
    </row>
    <row r="15" spans="1:9" x14ac:dyDescent="0.25">
      <c r="A15" s="5" t="s">
        <v>41</v>
      </c>
      <c r="B15" s="6" t="s">
        <v>35</v>
      </c>
      <c r="C15" s="6">
        <v>50</v>
      </c>
      <c r="D15" s="6">
        <v>0.05</v>
      </c>
      <c r="E15" s="6">
        <v>0.13</v>
      </c>
      <c r="F15" s="7">
        <f>E15/SUM(E$15:E$16)</f>
        <v>0.72222222222222232</v>
      </c>
      <c r="G15" s="8">
        <f t="shared" si="0"/>
        <v>1.4444444444444446</v>
      </c>
      <c r="I15" s="62">
        <f t="shared" ref="I15:I16" si="2">E15-D15</f>
        <v>0.08</v>
      </c>
    </row>
    <row r="16" spans="1:9" x14ac:dyDescent="0.25">
      <c r="A16" s="13"/>
      <c r="B16" s="14" t="s">
        <v>36</v>
      </c>
      <c r="C16" s="14">
        <v>50</v>
      </c>
      <c r="D16" s="14">
        <v>0.02</v>
      </c>
      <c r="E16" s="14">
        <v>0.05</v>
      </c>
      <c r="F16" s="15">
        <f>E16/SUM(E$15:E$16)</f>
        <v>0.27777777777777779</v>
      </c>
      <c r="G16" s="16">
        <f t="shared" si="0"/>
        <v>0.55555555555555558</v>
      </c>
      <c r="I16" s="62">
        <f t="shared" si="2"/>
        <v>3.0000000000000002E-2</v>
      </c>
    </row>
    <row r="17" spans="2:9" x14ac:dyDescent="0.25">
      <c r="I17" s="62"/>
    </row>
    <row r="18" spans="2:9" x14ac:dyDescent="0.25">
      <c r="C18" s="5"/>
      <c r="D18" s="17" t="s">
        <v>42</v>
      </c>
      <c r="E18" s="18">
        <f>E2+E3+E5+E6+E8+E9+E11+E12+E13+E14+E15</f>
        <v>2.9399999999999995</v>
      </c>
      <c r="I18" s="61">
        <f>I2+I3+I5+I6+I8+I9+I11+I12+I13+I14+I15</f>
        <v>2.2600000000000002</v>
      </c>
    </row>
    <row r="19" spans="2:9" x14ac:dyDescent="0.25">
      <c r="C19" s="13"/>
      <c r="D19" s="19" t="s">
        <v>43</v>
      </c>
      <c r="E19" s="20">
        <f>E4+E7+E10+E16</f>
        <v>0.52</v>
      </c>
      <c r="I19" s="63">
        <f>I4+I7+I10+I16</f>
        <v>0.36000000000000004</v>
      </c>
    </row>
    <row r="20" spans="2:9" x14ac:dyDescent="0.25">
      <c r="I20">
        <f>I18+I19</f>
        <v>2.62</v>
      </c>
    </row>
    <row r="22" spans="2:9" x14ac:dyDescent="0.25">
      <c r="B22" t="s">
        <v>60</v>
      </c>
    </row>
    <row r="23" spans="2:9" x14ac:dyDescent="0.25">
      <c r="B23" t="s">
        <v>61</v>
      </c>
    </row>
    <row r="24" spans="2:9" x14ac:dyDescent="0.25">
      <c r="B24" t="s">
        <v>62</v>
      </c>
    </row>
    <row r="26" spans="2:9" x14ac:dyDescent="0.25">
      <c r="B26" t="s">
        <v>63</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1"/>
  <sheetViews>
    <sheetView workbookViewId="0">
      <selection activeCell="Y3" sqref="Y3"/>
    </sheetView>
  </sheetViews>
  <sheetFormatPr defaultRowHeight="15" x14ac:dyDescent="0.25"/>
  <cols>
    <col min="1" max="1" width="13.5703125" customWidth="1"/>
    <col min="2" max="7" width="11.28515625" customWidth="1"/>
    <col min="9" max="9" width="11.85546875" customWidth="1"/>
    <col min="12" max="12" width="10.42578125" customWidth="1"/>
    <col min="22" max="23" width="9.85546875" customWidth="1"/>
  </cols>
  <sheetData>
    <row r="1" spans="1:27" x14ac:dyDescent="0.25">
      <c r="A1" t="s">
        <v>64</v>
      </c>
      <c r="R1" t="s">
        <v>82</v>
      </c>
    </row>
    <row r="2" spans="1:27" ht="78" customHeight="1" x14ac:dyDescent="0.25">
      <c r="B2" s="43" t="s">
        <v>101</v>
      </c>
      <c r="C2" s="43" t="s">
        <v>102</v>
      </c>
      <c r="D2" s="43" t="s">
        <v>103</v>
      </c>
      <c r="E2" s="43" t="s">
        <v>104</v>
      </c>
      <c r="F2" s="43" t="s">
        <v>105</v>
      </c>
      <c r="G2" s="43" t="s">
        <v>106</v>
      </c>
      <c r="J2" s="43" t="s">
        <v>66</v>
      </c>
      <c r="K2" s="43" t="s">
        <v>67</v>
      </c>
      <c r="L2" s="43" t="s">
        <v>68</v>
      </c>
      <c r="M2" s="43" t="s">
        <v>69</v>
      </c>
      <c r="N2" s="43" t="s">
        <v>70</v>
      </c>
      <c r="O2" s="43" t="s">
        <v>71</v>
      </c>
      <c r="R2" s="43" t="s">
        <v>72</v>
      </c>
      <c r="S2" s="43" t="s">
        <v>73</v>
      </c>
      <c r="T2" s="43" t="s">
        <v>74</v>
      </c>
      <c r="U2" s="43" t="s">
        <v>75</v>
      </c>
      <c r="V2" s="43" t="s">
        <v>76</v>
      </c>
      <c r="W2" s="43" t="s">
        <v>77</v>
      </c>
      <c r="X2" s="43" t="s">
        <v>78</v>
      </c>
      <c r="Y2" s="43" t="s">
        <v>79</v>
      </c>
      <c r="Z2" s="43" t="s">
        <v>80</v>
      </c>
      <c r="AA2" s="43" t="s">
        <v>81</v>
      </c>
    </row>
    <row r="3" spans="1:27" x14ac:dyDescent="0.25">
      <c r="A3" t="s">
        <v>65</v>
      </c>
      <c r="I3" t="s">
        <v>65</v>
      </c>
      <c r="Q3" t="s">
        <v>65</v>
      </c>
      <c r="R3" s="46">
        <f>CommAndSportFishingValues!I2+CommAndSportFishingValues!I3</f>
        <v>0.84000000000000008</v>
      </c>
      <c r="S3" s="46">
        <f>CommAndSportFishingValues!I4</f>
        <v>0.15</v>
      </c>
      <c r="T3" s="46">
        <f>CommAndSportFishingValues!I5+CommAndSportFishingValues!I6</f>
        <v>0.38</v>
      </c>
      <c r="U3" s="46">
        <f>CommAndSportFishingValues!I7</f>
        <v>0.11</v>
      </c>
      <c r="V3" s="46">
        <f>CommAndSportFishingValues!I15</f>
        <v>0.08</v>
      </c>
      <c r="W3" s="46">
        <f>CommAndSportFishingValues!I16</f>
        <v>3.0000000000000002E-2</v>
      </c>
      <c r="X3" s="46">
        <f>CommAndSportFishingValues!I8+CommAndSportFishingValues!I9</f>
        <v>0.61</v>
      </c>
      <c r="Y3" s="46">
        <f>CommAndSportFishingValues!I10</f>
        <v>7.0000000000000007E-2</v>
      </c>
      <c r="Z3" s="46">
        <f>CommAndSportFishingValues!I11+CommAndSportFishingValues!I12</f>
        <v>0.28000000000000003</v>
      </c>
      <c r="AA3" s="46">
        <f>CommAndSportFishingValues!I13+CommAndSportFishingValues!I14</f>
        <v>7.0000000000000007E-2</v>
      </c>
    </row>
    <row r="4" spans="1:27" x14ac:dyDescent="0.25">
      <c r="A4">
        <v>1</v>
      </c>
      <c r="B4">
        <v>0</v>
      </c>
      <c r="C4">
        <v>0</v>
      </c>
      <c r="D4">
        <v>0</v>
      </c>
      <c r="E4">
        <v>0</v>
      </c>
      <c r="F4">
        <v>0</v>
      </c>
      <c r="G4">
        <v>0</v>
      </c>
      <c r="I4">
        <v>1</v>
      </c>
      <c r="J4" s="45">
        <f>B25/B$20</f>
        <v>-0.35829488210642169</v>
      </c>
      <c r="K4" s="45">
        <f t="shared" ref="K4:O4" si="0">C25/C$20</f>
        <v>-0.30439181421016326</v>
      </c>
      <c r="L4" s="45">
        <f t="shared" si="0"/>
        <v>-0.41372997711670478</v>
      </c>
      <c r="M4" s="45">
        <f t="shared" si="0"/>
        <v>0</v>
      </c>
      <c r="N4" s="45">
        <f t="shared" si="0"/>
        <v>0</v>
      </c>
      <c r="O4" s="45">
        <f t="shared" si="0"/>
        <v>0</v>
      </c>
      <c r="Q4">
        <v>1</v>
      </c>
      <c r="R4" s="46">
        <f>J4*R$3</f>
        <v>-0.30096770096939424</v>
      </c>
      <c r="S4" s="46">
        <f>J4*S$3</f>
        <v>-5.3744232315963252E-2</v>
      </c>
      <c r="T4" s="46">
        <f>K4*T$3</f>
        <v>-0.11566888939986204</v>
      </c>
      <c r="U4" s="46">
        <f>K4*U$3</f>
        <v>-3.3483099563117957E-2</v>
      </c>
      <c r="V4" s="46">
        <f>L4*V$3</f>
        <v>-3.3098398169336386E-2</v>
      </c>
      <c r="W4" s="46">
        <f>L4*W$3</f>
        <v>-1.2411899313501144E-2</v>
      </c>
      <c r="X4" s="46">
        <f>M4*X$3</f>
        <v>0</v>
      </c>
      <c r="Y4" s="46">
        <f>M4*Y$3</f>
        <v>0</v>
      </c>
      <c r="Z4" s="46">
        <f>N4*Z$3</f>
        <v>0</v>
      </c>
      <c r="AA4" s="46">
        <f>O4*AA$3</f>
        <v>0</v>
      </c>
    </row>
    <row r="5" spans="1:27" x14ac:dyDescent="0.25">
      <c r="A5">
        <v>2</v>
      </c>
      <c r="B5">
        <v>0</v>
      </c>
      <c r="C5">
        <v>0</v>
      </c>
      <c r="D5">
        <v>0</v>
      </c>
      <c r="E5">
        <v>0</v>
      </c>
      <c r="F5">
        <v>0</v>
      </c>
      <c r="G5">
        <v>0</v>
      </c>
      <c r="I5">
        <v>2</v>
      </c>
      <c r="J5" s="45">
        <f t="shared" ref="J5:O5" si="1">B26/B$20</f>
        <v>-0.35829488210642169</v>
      </c>
      <c r="K5" s="45">
        <f t="shared" si="1"/>
        <v>-0.30439181421016326</v>
      </c>
      <c r="L5" s="45">
        <f t="shared" si="1"/>
        <v>-0.41372997711670478</v>
      </c>
      <c r="M5" s="45">
        <f t="shared" si="1"/>
        <v>0</v>
      </c>
      <c r="N5" s="45">
        <f t="shared" si="1"/>
        <v>0</v>
      </c>
      <c r="O5" s="45">
        <f t="shared" si="1"/>
        <v>0</v>
      </c>
      <c r="Q5">
        <v>2</v>
      </c>
      <c r="R5" s="46">
        <f t="shared" ref="R5:R20" si="2">J5*R$3</f>
        <v>-0.30096770096939424</v>
      </c>
      <c r="S5" s="46">
        <f t="shared" ref="S5:S20" si="3">J5*S$3</f>
        <v>-5.3744232315963252E-2</v>
      </c>
      <c r="T5" s="46">
        <f t="shared" ref="T5:T20" si="4">K5*T$3</f>
        <v>-0.11566888939986204</v>
      </c>
      <c r="U5" s="46">
        <f t="shared" ref="U5:U20" si="5">K5*U$3</f>
        <v>-3.3483099563117957E-2</v>
      </c>
      <c r="V5" s="46">
        <f t="shared" ref="V5:V20" si="6">L5*V$3</f>
        <v>-3.3098398169336386E-2</v>
      </c>
      <c r="W5" s="46">
        <f t="shared" ref="W5:W20" si="7">L5*W$3</f>
        <v>-1.2411899313501144E-2</v>
      </c>
      <c r="X5" s="46">
        <f t="shared" ref="X5:X20" si="8">M5*X$3</f>
        <v>0</v>
      </c>
      <c r="Y5" s="46">
        <f t="shared" ref="Y5:Y20" si="9">M5*Y$3</f>
        <v>0</v>
      </c>
      <c r="Z5" s="46">
        <f t="shared" ref="Z5:Z20" si="10">N5*Z$3</f>
        <v>0</v>
      </c>
      <c r="AA5" s="46">
        <f t="shared" ref="AA5:AA20" si="11">O5*AA$3</f>
        <v>0</v>
      </c>
    </row>
    <row r="6" spans="1:27" x14ac:dyDescent="0.25">
      <c r="A6">
        <v>3</v>
      </c>
      <c r="B6">
        <v>0</v>
      </c>
      <c r="C6">
        <v>0</v>
      </c>
      <c r="D6">
        <v>0</v>
      </c>
      <c r="E6">
        <v>0</v>
      </c>
      <c r="F6">
        <v>0</v>
      </c>
      <c r="G6">
        <v>1997</v>
      </c>
      <c r="I6">
        <v>3</v>
      </c>
      <c r="J6" s="45">
        <f t="shared" ref="J6:O6" si="12">B27/B$20</f>
        <v>-0.35829488210642169</v>
      </c>
      <c r="K6" s="45">
        <f t="shared" si="12"/>
        <v>-0.30439181421016326</v>
      </c>
      <c r="L6" s="45">
        <f t="shared" si="12"/>
        <v>-0.41372997711670478</v>
      </c>
      <c r="M6" s="45">
        <f t="shared" si="12"/>
        <v>0</v>
      </c>
      <c r="N6" s="45">
        <f t="shared" si="12"/>
        <v>0</v>
      </c>
      <c r="O6" s="45">
        <f t="shared" si="12"/>
        <v>0.60772976262933653</v>
      </c>
      <c r="Q6">
        <v>3</v>
      </c>
      <c r="R6" s="46">
        <f t="shared" si="2"/>
        <v>-0.30096770096939424</v>
      </c>
      <c r="S6" s="46">
        <f t="shared" si="3"/>
        <v>-5.3744232315963252E-2</v>
      </c>
      <c r="T6" s="46">
        <f t="shared" si="4"/>
        <v>-0.11566888939986204</v>
      </c>
      <c r="U6" s="46">
        <f t="shared" si="5"/>
        <v>-3.3483099563117957E-2</v>
      </c>
      <c r="V6" s="46">
        <f t="shared" si="6"/>
        <v>-3.3098398169336386E-2</v>
      </c>
      <c r="W6" s="46">
        <f t="shared" si="7"/>
        <v>-1.2411899313501144E-2</v>
      </c>
      <c r="X6" s="46">
        <f t="shared" si="8"/>
        <v>0</v>
      </c>
      <c r="Y6" s="46">
        <f t="shared" si="9"/>
        <v>0</v>
      </c>
      <c r="Z6" s="46">
        <f t="shared" si="10"/>
        <v>0</v>
      </c>
      <c r="AA6" s="46">
        <f t="shared" si="11"/>
        <v>4.254108338405356E-2</v>
      </c>
    </row>
    <row r="7" spans="1:27" x14ac:dyDescent="0.25">
      <c r="A7">
        <v>4</v>
      </c>
      <c r="B7">
        <v>0</v>
      </c>
      <c r="C7">
        <v>0</v>
      </c>
      <c r="D7">
        <v>0</v>
      </c>
      <c r="E7">
        <v>0</v>
      </c>
      <c r="F7">
        <v>0</v>
      </c>
      <c r="G7">
        <v>2245</v>
      </c>
      <c r="I7">
        <v>4</v>
      </c>
      <c r="J7" s="45">
        <f t="shared" ref="J7:O7" si="13">B28/B$20</f>
        <v>-0.35829488210642169</v>
      </c>
      <c r="K7" s="45">
        <f t="shared" si="13"/>
        <v>-0.30439181421016326</v>
      </c>
      <c r="L7" s="45">
        <f t="shared" si="13"/>
        <v>-0.41372997711670478</v>
      </c>
      <c r="M7" s="45">
        <f t="shared" si="13"/>
        <v>0</v>
      </c>
      <c r="N7" s="45">
        <f t="shared" si="13"/>
        <v>0</v>
      </c>
      <c r="O7" s="45">
        <f t="shared" si="13"/>
        <v>0.68320146074254418</v>
      </c>
      <c r="Q7">
        <v>4</v>
      </c>
      <c r="R7" s="46">
        <f t="shared" si="2"/>
        <v>-0.30096770096939424</v>
      </c>
      <c r="S7" s="46">
        <f t="shared" si="3"/>
        <v>-5.3744232315963252E-2</v>
      </c>
      <c r="T7" s="46">
        <f t="shared" si="4"/>
        <v>-0.11566888939986204</v>
      </c>
      <c r="U7" s="46">
        <f t="shared" si="5"/>
        <v>-3.3483099563117957E-2</v>
      </c>
      <c r="V7" s="46">
        <f t="shared" si="6"/>
        <v>-3.3098398169336386E-2</v>
      </c>
      <c r="W7" s="46">
        <f t="shared" si="7"/>
        <v>-1.2411899313501144E-2</v>
      </c>
      <c r="X7" s="46">
        <f t="shared" si="8"/>
        <v>0</v>
      </c>
      <c r="Y7" s="46">
        <f t="shared" si="9"/>
        <v>0</v>
      </c>
      <c r="Z7" s="46">
        <f t="shared" si="10"/>
        <v>0</v>
      </c>
      <c r="AA7" s="46">
        <f t="shared" si="11"/>
        <v>4.7824102251978098E-2</v>
      </c>
    </row>
    <row r="8" spans="1:27" x14ac:dyDescent="0.25">
      <c r="A8">
        <v>5</v>
      </c>
      <c r="B8">
        <v>0</v>
      </c>
      <c r="C8">
        <v>0</v>
      </c>
      <c r="D8">
        <v>0</v>
      </c>
      <c r="E8">
        <v>1228</v>
      </c>
      <c r="F8">
        <v>0</v>
      </c>
      <c r="G8">
        <v>2465</v>
      </c>
      <c r="I8">
        <v>5</v>
      </c>
      <c r="J8" s="45">
        <f t="shared" ref="J8:O8" si="14">B29/B$20</f>
        <v>-0.35829488210642169</v>
      </c>
      <c r="K8" s="45">
        <f t="shared" si="14"/>
        <v>-0.30439181421016326</v>
      </c>
      <c r="L8" s="45">
        <f t="shared" si="14"/>
        <v>-0.41372997711670478</v>
      </c>
      <c r="M8" s="45">
        <f t="shared" si="14"/>
        <v>6.8615618434580486E-3</v>
      </c>
      <c r="N8" s="45">
        <f t="shared" si="14"/>
        <v>0</v>
      </c>
      <c r="O8" s="45">
        <f t="shared" si="14"/>
        <v>0.75015216068167989</v>
      </c>
      <c r="Q8">
        <v>5</v>
      </c>
      <c r="R8" s="46">
        <f t="shared" si="2"/>
        <v>-0.30096770096939424</v>
      </c>
      <c r="S8" s="46">
        <f t="shared" si="3"/>
        <v>-5.3744232315963252E-2</v>
      </c>
      <c r="T8" s="46">
        <f t="shared" si="4"/>
        <v>-0.11566888939986204</v>
      </c>
      <c r="U8" s="46">
        <f t="shared" si="5"/>
        <v>-3.3483099563117957E-2</v>
      </c>
      <c r="V8" s="46">
        <f t="shared" si="6"/>
        <v>-3.3098398169336386E-2</v>
      </c>
      <c r="W8" s="46">
        <f t="shared" si="7"/>
        <v>-1.2411899313501144E-2</v>
      </c>
      <c r="X8" s="46">
        <f t="shared" si="8"/>
        <v>4.1855527245094094E-3</v>
      </c>
      <c r="Y8" s="46">
        <f t="shared" si="9"/>
        <v>4.8030932904206345E-4</v>
      </c>
      <c r="Z8" s="46">
        <f t="shared" si="10"/>
        <v>0</v>
      </c>
      <c r="AA8" s="46">
        <f t="shared" si="11"/>
        <v>5.2510651247717595E-2</v>
      </c>
    </row>
    <row r="9" spans="1:27" x14ac:dyDescent="0.25">
      <c r="A9">
        <v>6</v>
      </c>
      <c r="B9">
        <v>0</v>
      </c>
      <c r="C9">
        <v>1361</v>
      </c>
      <c r="D9">
        <v>5</v>
      </c>
      <c r="E9">
        <v>0</v>
      </c>
      <c r="F9">
        <v>326</v>
      </c>
      <c r="G9">
        <v>2651</v>
      </c>
      <c r="I9">
        <v>6</v>
      </c>
      <c r="J9" s="45">
        <f t="shared" ref="J9:O9" si="15">B30/B$20</f>
        <v>-0.35829488210642169</v>
      </c>
      <c r="K9" s="45">
        <f t="shared" si="15"/>
        <v>-0.24180271326741778</v>
      </c>
      <c r="L9" s="45">
        <f t="shared" si="15"/>
        <v>-0.41258581235697939</v>
      </c>
      <c r="M9" s="45">
        <f t="shared" si="15"/>
        <v>0</v>
      </c>
      <c r="N9" s="45">
        <f t="shared" si="15"/>
        <v>1.8004086817252997E-2</v>
      </c>
      <c r="O9" s="45">
        <f t="shared" si="15"/>
        <v>0.80675593426658554</v>
      </c>
      <c r="Q9">
        <v>6</v>
      </c>
      <c r="R9" s="46">
        <f t="shared" si="2"/>
        <v>-0.30096770096939424</v>
      </c>
      <c r="S9" s="46">
        <f t="shared" si="3"/>
        <v>-5.3744232315963252E-2</v>
      </c>
      <c r="T9" s="46">
        <f t="shared" si="4"/>
        <v>-9.1885031041618756E-2</v>
      </c>
      <c r="U9" s="46">
        <f t="shared" si="5"/>
        <v>-2.6598298459415956E-2</v>
      </c>
      <c r="V9" s="46">
        <f t="shared" si="6"/>
        <v>-3.300686498855835E-2</v>
      </c>
      <c r="W9" s="46">
        <f t="shared" si="7"/>
        <v>-1.2377574370709382E-2</v>
      </c>
      <c r="X9" s="46">
        <f t="shared" si="8"/>
        <v>0</v>
      </c>
      <c r="Y9" s="46">
        <f t="shared" si="9"/>
        <v>0</v>
      </c>
      <c r="Z9" s="46">
        <f t="shared" si="10"/>
        <v>5.0411443088308394E-3</v>
      </c>
      <c r="AA9" s="46">
        <f t="shared" si="11"/>
        <v>5.6472915398660992E-2</v>
      </c>
    </row>
    <row r="10" spans="1:27" x14ac:dyDescent="0.25">
      <c r="A10">
        <v>7</v>
      </c>
      <c r="B10">
        <v>1215</v>
      </c>
      <c r="C10">
        <v>1361</v>
      </c>
      <c r="D10">
        <v>5</v>
      </c>
      <c r="E10">
        <v>3333</v>
      </c>
      <c r="F10">
        <v>326</v>
      </c>
      <c r="G10">
        <v>2804</v>
      </c>
      <c r="I10">
        <v>7</v>
      </c>
      <c r="J10" s="45">
        <f t="shared" ref="J10:O10" si="16">B31/B$20</f>
        <v>-0.30686195656775178</v>
      </c>
      <c r="K10" s="45">
        <f t="shared" si="16"/>
        <v>-0.24180271326741778</v>
      </c>
      <c r="L10" s="45">
        <f t="shared" si="16"/>
        <v>-0.41258581235697939</v>
      </c>
      <c r="M10" s="45">
        <f t="shared" si="16"/>
        <v>1.862344106208931E-2</v>
      </c>
      <c r="N10" s="45">
        <f t="shared" si="16"/>
        <v>1.8004086817252997E-2</v>
      </c>
      <c r="O10" s="45">
        <f t="shared" si="16"/>
        <v>0.85331710286062079</v>
      </c>
      <c r="Q10">
        <v>7</v>
      </c>
      <c r="R10" s="46">
        <f t="shared" si="2"/>
        <v>-0.25776404351691151</v>
      </c>
      <c r="S10" s="46">
        <f t="shared" si="3"/>
        <v>-4.6029293485162763E-2</v>
      </c>
      <c r="T10" s="46">
        <f t="shared" si="4"/>
        <v>-9.1885031041618756E-2</v>
      </c>
      <c r="U10" s="46">
        <f t="shared" si="5"/>
        <v>-2.6598298459415956E-2</v>
      </c>
      <c r="V10" s="46">
        <f t="shared" si="6"/>
        <v>-3.300686498855835E-2</v>
      </c>
      <c r="W10" s="46">
        <f t="shared" si="7"/>
        <v>-1.2377574370709382E-2</v>
      </c>
      <c r="X10" s="46">
        <f t="shared" si="8"/>
        <v>1.1360299047874479E-2</v>
      </c>
      <c r="Y10" s="46">
        <f t="shared" si="9"/>
        <v>1.3036408743462519E-3</v>
      </c>
      <c r="Z10" s="46">
        <f t="shared" si="10"/>
        <v>5.0411443088308394E-3</v>
      </c>
      <c r="AA10" s="46">
        <f t="shared" si="11"/>
        <v>5.9732197200243461E-2</v>
      </c>
    </row>
    <row r="11" spans="1:27" x14ac:dyDescent="0.25">
      <c r="A11">
        <v>8</v>
      </c>
      <c r="B11">
        <v>1215</v>
      </c>
      <c r="C11">
        <v>1361</v>
      </c>
      <c r="D11">
        <v>5</v>
      </c>
      <c r="E11">
        <v>0</v>
      </c>
      <c r="F11">
        <v>326</v>
      </c>
      <c r="G11">
        <v>2915</v>
      </c>
      <c r="I11">
        <v>8</v>
      </c>
      <c r="J11" s="45">
        <f t="shared" ref="J11:O11" si="17">B32/B$20</f>
        <v>-0.30686195656775178</v>
      </c>
      <c r="K11" s="45">
        <f t="shared" si="17"/>
        <v>-0.24180271326741778</v>
      </c>
      <c r="L11" s="45">
        <f t="shared" si="17"/>
        <v>-0.41258581235697939</v>
      </c>
      <c r="M11" s="45">
        <f t="shared" si="17"/>
        <v>0</v>
      </c>
      <c r="N11" s="45">
        <f t="shared" si="17"/>
        <v>1.8004086817252997E-2</v>
      </c>
      <c r="O11" s="45">
        <f t="shared" si="17"/>
        <v>0.88709677419354838</v>
      </c>
      <c r="Q11">
        <v>8</v>
      </c>
      <c r="R11" s="46">
        <f t="shared" si="2"/>
        <v>-0.25776404351691151</v>
      </c>
      <c r="S11" s="46">
        <f t="shared" si="3"/>
        <v>-4.6029293485162763E-2</v>
      </c>
      <c r="T11" s="46">
        <f t="shared" si="4"/>
        <v>-9.1885031041618756E-2</v>
      </c>
      <c r="U11" s="46">
        <f t="shared" si="5"/>
        <v>-2.6598298459415956E-2</v>
      </c>
      <c r="V11" s="46">
        <f t="shared" si="6"/>
        <v>-3.300686498855835E-2</v>
      </c>
      <c r="W11" s="46">
        <f t="shared" si="7"/>
        <v>-1.2377574370709382E-2</v>
      </c>
      <c r="X11" s="46">
        <f t="shared" si="8"/>
        <v>0</v>
      </c>
      <c r="Y11" s="46">
        <f t="shared" si="9"/>
        <v>0</v>
      </c>
      <c r="Z11" s="46">
        <f t="shared" si="10"/>
        <v>5.0411443088308394E-3</v>
      </c>
      <c r="AA11" s="46">
        <f t="shared" si="11"/>
        <v>6.2096774193548393E-2</v>
      </c>
    </row>
    <row r="12" spans="1:27" x14ac:dyDescent="0.25">
      <c r="A12">
        <v>9</v>
      </c>
      <c r="B12">
        <v>1215</v>
      </c>
      <c r="C12">
        <v>3276</v>
      </c>
      <c r="D12">
        <v>14</v>
      </c>
      <c r="E12">
        <v>8920</v>
      </c>
      <c r="F12">
        <v>785</v>
      </c>
      <c r="G12">
        <v>3018</v>
      </c>
      <c r="I12">
        <v>9</v>
      </c>
      <c r="J12" s="45">
        <f t="shared" ref="J12:O12" si="18">B33/B$20</f>
        <v>-0.30686195656775178</v>
      </c>
      <c r="K12" s="45">
        <f t="shared" si="18"/>
        <v>-0.15373649114739021</v>
      </c>
      <c r="L12" s="45">
        <f t="shared" si="18"/>
        <v>-0.41052631578947368</v>
      </c>
      <c r="M12" s="45">
        <f t="shared" si="18"/>
        <v>4.984131241339234E-2</v>
      </c>
      <c r="N12" s="45">
        <f t="shared" si="18"/>
        <v>4.3353399237863813E-2</v>
      </c>
      <c r="O12" s="45">
        <f t="shared" si="18"/>
        <v>0.91844187461959825</v>
      </c>
      <c r="Q12">
        <v>9</v>
      </c>
      <c r="R12" s="46">
        <f t="shared" si="2"/>
        <v>-0.25776404351691151</v>
      </c>
      <c r="S12" s="46">
        <f t="shared" si="3"/>
        <v>-4.6029293485162763E-2</v>
      </c>
      <c r="T12" s="46">
        <f t="shared" si="4"/>
        <v>-5.8419866636008282E-2</v>
      </c>
      <c r="U12" s="46">
        <f t="shared" si="5"/>
        <v>-1.6911014026212923E-2</v>
      </c>
      <c r="V12" s="46">
        <f t="shared" si="6"/>
        <v>-3.2842105263157895E-2</v>
      </c>
      <c r="W12" s="46">
        <f t="shared" si="7"/>
        <v>-1.2315789473684212E-2</v>
      </c>
      <c r="X12" s="46">
        <f t="shared" si="8"/>
        <v>3.0403200572169328E-2</v>
      </c>
      <c r="Y12" s="46">
        <f t="shared" si="9"/>
        <v>3.4888918689374641E-3</v>
      </c>
      <c r="Z12" s="46">
        <f t="shared" si="10"/>
        <v>1.2138951786601869E-2</v>
      </c>
      <c r="AA12" s="46">
        <f t="shared" si="11"/>
        <v>6.4290931223371886E-2</v>
      </c>
    </row>
    <row r="13" spans="1:27" x14ac:dyDescent="0.25">
      <c r="A13">
        <v>10</v>
      </c>
      <c r="B13">
        <v>1215</v>
      </c>
      <c r="C13">
        <v>3276</v>
      </c>
      <c r="D13">
        <v>14</v>
      </c>
      <c r="E13" s="44">
        <v>22987</v>
      </c>
      <c r="F13">
        <v>785</v>
      </c>
      <c r="G13">
        <v>3089</v>
      </c>
      <c r="I13">
        <v>10</v>
      </c>
      <c r="J13" s="45">
        <f t="shared" ref="J13:O13" si="19">B34/B$20</f>
        <v>-0.30686195656775178</v>
      </c>
      <c r="K13" s="45">
        <f t="shared" si="19"/>
        <v>-0.15373649114739021</v>
      </c>
      <c r="L13" s="45">
        <f t="shared" si="19"/>
        <v>-0.41052631578947368</v>
      </c>
      <c r="M13" s="45">
        <f t="shared" si="19"/>
        <v>0.12844195610388448</v>
      </c>
      <c r="N13" s="45">
        <f t="shared" si="19"/>
        <v>4.3353399237863813E-2</v>
      </c>
      <c r="O13" s="45">
        <f t="shared" si="19"/>
        <v>0.94004869141813752</v>
      </c>
      <c r="Q13">
        <v>10</v>
      </c>
      <c r="R13" s="46">
        <f t="shared" si="2"/>
        <v>-0.25776404351691151</v>
      </c>
      <c r="S13" s="46">
        <f t="shared" si="3"/>
        <v>-4.6029293485162763E-2</v>
      </c>
      <c r="T13" s="46">
        <f t="shared" si="4"/>
        <v>-5.8419866636008282E-2</v>
      </c>
      <c r="U13" s="46">
        <f t="shared" si="5"/>
        <v>-1.6911014026212923E-2</v>
      </c>
      <c r="V13" s="46">
        <f t="shared" si="6"/>
        <v>-3.2842105263157895E-2</v>
      </c>
      <c r="W13" s="46">
        <f t="shared" si="7"/>
        <v>-1.2315789473684212E-2</v>
      </c>
      <c r="X13" s="46">
        <f t="shared" si="8"/>
        <v>7.8349593223369526E-2</v>
      </c>
      <c r="Y13" s="46">
        <f t="shared" si="9"/>
        <v>8.9909369272719152E-3</v>
      </c>
      <c r="Z13" s="46">
        <f t="shared" si="10"/>
        <v>1.2138951786601869E-2</v>
      </c>
      <c r="AA13" s="46">
        <f t="shared" si="11"/>
        <v>6.5803408399269639E-2</v>
      </c>
    </row>
    <row r="14" spans="1:27" x14ac:dyDescent="0.25">
      <c r="A14">
        <v>15</v>
      </c>
      <c r="B14">
        <v>12715</v>
      </c>
      <c r="C14">
        <v>12962</v>
      </c>
      <c r="D14">
        <v>81</v>
      </c>
      <c r="E14">
        <v>133274</v>
      </c>
      <c r="F14">
        <v>3869</v>
      </c>
      <c r="G14">
        <v>3247</v>
      </c>
      <c r="I14">
        <v>15</v>
      </c>
      <c r="J14" s="45">
        <f t="shared" ref="J14:O14" si="20">B35/B$20</f>
        <v>0.17995174194640817</v>
      </c>
      <c r="K14" s="45">
        <f t="shared" si="20"/>
        <v>0.29169924120487467</v>
      </c>
      <c r="L14" s="45">
        <f t="shared" si="20"/>
        <v>-0.39519450800915334</v>
      </c>
      <c r="M14" s="45">
        <f t="shared" si="20"/>
        <v>0.74468061329399671</v>
      </c>
      <c r="N14" s="45">
        <f t="shared" si="20"/>
        <v>0.21367426961948419</v>
      </c>
      <c r="O14" s="45">
        <f t="shared" si="20"/>
        <v>0.98813146682897135</v>
      </c>
      <c r="Q14">
        <v>15</v>
      </c>
      <c r="R14" s="46">
        <f t="shared" si="2"/>
        <v>0.15115946323498289</v>
      </c>
      <c r="S14" s="46">
        <f t="shared" si="3"/>
        <v>2.6992761291961227E-2</v>
      </c>
      <c r="T14" s="46">
        <f t="shared" si="4"/>
        <v>0.11084571165785237</v>
      </c>
      <c r="U14" s="46">
        <f t="shared" si="5"/>
        <v>3.2086916532536217E-2</v>
      </c>
      <c r="V14" s="46">
        <f t="shared" si="6"/>
        <v>-3.1615560640732267E-2</v>
      </c>
      <c r="W14" s="46">
        <f t="shared" si="7"/>
        <v>-1.1855835240274601E-2</v>
      </c>
      <c r="X14" s="46">
        <f t="shared" si="8"/>
        <v>0.45425517410933797</v>
      </c>
      <c r="Y14" s="46">
        <f t="shared" si="9"/>
        <v>5.2127642930579775E-2</v>
      </c>
      <c r="Z14" s="46">
        <f t="shared" si="10"/>
        <v>5.9828795493455579E-2</v>
      </c>
      <c r="AA14" s="46">
        <f t="shared" si="11"/>
        <v>6.9169202678028008E-2</v>
      </c>
    </row>
    <row r="15" spans="1:27" x14ac:dyDescent="0.25">
      <c r="A15">
        <v>20</v>
      </c>
      <c r="B15">
        <v>18227</v>
      </c>
      <c r="C15">
        <v>21603</v>
      </c>
      <c r="D15">
        <v>2795</v>
      </c>
      <c r="E15" s="44">
        <v>175709</v>
      </c>
      <c r="F15">
        <v>13890</v>
      </c>
      <c r="G15">
        <v>3279</v>
      </c>
      <c r="I15">
        <v>20</v>
      </c>
      <c r="J15" s="45">
        <f t="shared" ref="J15:O15" si="21">B36/B$20</f>
        <v>0.41328366422554291</v>
      </c>
      <c r="K15" s="45">
        <f t="shared" si="21"/>
        <v>0.68907794895378249</v>
      </c>
      <c r="L15" s="45">
        <f t="shared" si="21"/>
        <v>0.22585812356979404</v>
      </c>
      <c r="M15" s="45">
        <f t="shared" si="21"/>
        <v>0.98179004067766307</v>
      </c>
      <c r="N15" s="45">
        <f t="shared" si="21"/>
        <v>0.76710664383939908</v>
      </c>
      <c r="O15" s="45">
        <f t="shared" si="21"/>
        <v>0.99786975045648207</v>
      </c>
      <c r="Q15">
        <v>20</v>
      </c>
      <c r="R15" s="46">
        <f t="shared" si="2"/>
        <v>0.34715827794945608</v>
      </c>
      <c r="S15" s="46">
        <f t="shared" si="3"/>
        <v>6.1992549633831433E-2</v>
      </c>
      <c r="T15" s="46">
        <f t="shared" si="4"/>
        <v>0.26184962060243733</v>
      </c>
      <c r="U15" s="46">
        <f t="shared" si="5"/>
        <v>7.5798574384916079E-2</v>
      </c>
      <c r="V15" s="46">
        <f t="shared" si="6"/>
        <v>1.8068649885583522E-2</v>
      </c>
      <c r="W15" s="46">
        <f t="shared" si="7"/>
        <v>6.7757437070938217E-3</v>
      </c>
      <c r="X15" s="46">
        <f t="shared" si="8"/>
        <v>0.5988919248133745</v>
      </c>
      <c r="Y15" s="46">
        <f t="shared" si="9"/>
        <v>6.8725302847436415E-2</v>
      </c>
      <c r="Z15" s="46">
        <f t="shared" si="10"/>
        <v>0.21478986027503177</v>
      </c>
      <c r="AA15" s="46">
        <f t="shared" si="11"/>
        <v>6.9850882531953748E-2</v>
      </c>
    </row>
    <row r="16" spans="1:27" x14ac:dyDescent="0.25">
      <c r="A16">
        <v>25</v>
      </c>
      <c r="B16">
        <v>21782</v>
      </c>
      <c r="C16">
        <v>21728</v>
      </c>
      <c r="D16">
        <v>4208</v>
      </c>
      <c r="E16">
        <v>178556</v>
      </c>
      <c r="F16">
        <v>16723</v>
      </c>
      <c r="G16">
        <v>3285</v>
      </c>
      <c r="I16">
        <v>25</v>
      </c>
      <c r="J16" s="45">
        <f t="shared" ref="J16:O16" si="22">B37/B$20</f>
        <v>0.563772594505355</v>
      </c>
      <c r="K16" s="45">
        <f t="shared" si="22"/>
        <v>0.69482639687284431</v>
      </c>
      <c r="L16" s="45">
        <f t="shared" si="22"/>
        <v>0.54919908466819223</v>
      </c>
      <c r="M16" s="45">
        <f t="shared" si="22"/>
        <v>0.99769791247597339</v>
      </c>
      <c r="N16" s="45">
        <f t="shared" si="22"/>
        <v>0.92356547191693816</v>
      </c>
      <c r="O16" s="45">
        <f t="shared" si="22"/>
        <v>0.99969567863664033</v>
      </c>
      <c r="Q16">
        <v>25</v>
      </c>
      <c r="R16" s="46">
        <f t="shared" si="2"/>
        <v>0.47356897938449827</v>
      </c>
      <c r="S16" s="46">
        <f t="shared" si="3"/>
        <v>8.4565889175803252E-2</v>
      </c>
      <c r="T16" s="46">
        <f t="shared" si="4"/>
        <v>0.26403403081168086</v>
      </c>
      <c r="U16" s="46">
        <f t="shared" si="5"/>
        <v>7.6430903656012877E-2</v>
      </c>
      <c r="V16" s="46">
        <f t="shared" si="6"/>
        <v>4.3935926773455376E-2</v>
      </c>
      <c r="W16" s="46">
        <f t="shared" si="7"/>
        <v>1.6475972540045767E-2</v>
      </c>
      <c r="X16" s="46">
        <f t="shared" si="8"/>
        <v>0.60859572661034378</v>
      </c>
      <c r="Y16" s="46">
        <f t="shared" si="9"/>
        <v>6.9838853873318146E-2</v>
      </c>
      <c r="Z16" s="46">
        <f t="shared" si="10"/>
        <v>0.25859833213674271</v>
      </c>
      <c r="AA16" s="46">
        <f t="shared" si="11"/>
        <v>6.9978697504564827E-2</v>
      </c>
    </row>
    <row r="17" spans="1:30" x14ac:dyDescent="0.25">
      <c r="A17">
        <v>30</v>
      </c>
      <c r="B17">
        <v>23147</v>
      </c>
      <c r="C17">
        <v>21743</v>
      </c>
      <c r="D17">
        <v>4316</v>
      </c>
      <c r="E17" s="44">
        <v>178950</v>
      </c>
      <c r="F17">
        <v>17732</v>
      </c>
      <c r="G17">
        <v>3286</v>
      </c>
      <c r="I17">
        <v>30</v>
      </c>
      <c r="J17" s="45">
        <f t="shared" ref="J17:O17" si="23">B38/B$20</f>
        <v>0.6215552639376879</v>
      </c>
      <c r="K17" s="45">
        <f t="shared" si="23"/>
        <v>0.69551621062313174</v>
      </c>
      <c r="L17" s="45">
        <f t="shared" si="23"/>
        <v>0.57391304347826089</v>
      </c>
      <c r="M17" s="45">
        <f t="shared" si="23"/>
        <v>0.99989942336060078</v>
      </c>
      <c r="N17" s="45">
        <f t="shared" si="23"/>
        <v>0.97928977743414147</v>
      </c>
      <c r="O17" s="45">
        <f t="shared" si="23"/>
        <v>1</v>
      </c>
      <c r="Q17">
        <v>30</v>
      </c>
      <c r="R17" s="46">
        <f t="shared" si="2"/>
        <v>0.52210642170765786</v>
      </c>
      <c r="S17" s="46">
        <f t="shared" si="3"/>
        <v>9.3233289590653176E-2</v>
      </c>
      <c r="T17" s="46">
        <f t="shared" si="4"/>
        <v>0.26429616003679007</v>
      </c>
      <c r="U17" s="46">
        <f t="shared" si="5"/>
        <v>7.6506783168544493E-2</v>
      </c>
      <c r="V17" s="46">
        <f t="shared" si="6"/>
        <v>4.5913043478260869E-2</v>
      </c>
      <c r="W17" s="46">
        <f t="shared" si="7"/>
        <v>1.7217391304347827E-2</v>
      </c>
      <c r="X17" s="46">
        <f t="shared" si="8"/>
        <v>0.60993864824996646</v>
      </c>
      <c r="Y17" s="46">
        <f t="shared" si="9"/>
        <v>6.9992959635242061E-2</v>
      </c>
      <c r="Z17" s="46">
        <f t="shared" si="10"/>
        <v>0.27420113768155963</v>
      </c>
      <c r="AA17" s="46">
        <f t="shared" si="11"/>
        <v>7.0000000000000007E-2</v>
      </c>
    </row>
    <row r="18" spans="1:30" x14ac:dyDescent="0.25">
      <c r="A18">
        <v>40</v>
      </c>
      <c r="B18">
        <v>23617</v>
      </c>
      <c r="C18">
        <v>21745</v>
      </c>
      <c r="D18">
        <v>4361</v>
      </c>
      <c r="E18" s="44">
        <v>178968</v>
      </c>
      <c r="F18">
        <v>18062</v>
      </c>
      <c r="G18" s="44">
        <v>3286</v>
      </c>
      <c r="I18">
        <v>40</v>
      </c>
      <c r="J18" s="45">
        <f t="shared" ref="J18:O18" si="24">B39/B$20</f>
        <v>0.64145112813783178</v>
      </c>
      <c r="K18" s="45">
        <f t="shared" si="24"/>
        <v>0.69560818578983674</v>
      </c>
      <c r="L18" s="45">
        <f t="shared" si="24"/>
        <v>0.58421052631578951</v>
      </c>
      <c r="M18" s="45">
        <f t="shared" si="24"/>
        <v>1</v>
      </c>
      <c r="N18" s="45">
        <f t="shared" si="24"/>
        <v>0.99751477329209703</v>
      </c>
      <c r="O18" s="45">
        <f t="shared" si="24"/>
        <v>1</v>
      </c>
      <c r="Q18">
        <v>40</v>
      </c>
      <c r="R18" s="46">
        <f t="shared" si="2"/>
        <v>0.53881894763577876</v>
      </c>
      <c r="S18" s="46">
        <f t="shared" si="3"/>
        <v>9.6217669220674762E-2</v>
      </c>
      <c r="T18" s="46">
        <f t="shared" si="4"/>
        <v>0.26433111060013798</v>
      </c>
      <c r="U18" s="46">
        <f t="shared" si="5"/>
        <v>7.6516900436882043E-2</v>
      </c>
      <c r="V18" s="46">
        <f t="shared" si="6"/>
        <v>4.673684210526316E-2</v>
      </c>
      <c r="W18" s="46">
        <f t="shared" si="7"/>
        <v>1.7526315789473688E-2</v>
      </c>
      <c r="X18" s="46">
        <f t="shared" si="8"/>
        <v>0.61</v>
      </c>
      <c r="Y18" s="46">
        <f t="shared" si="9"/>
        <v>7.0000000000000007E-2</v>
      </c>
      <c r="Z18" s="46">
        <f t="shared" si="10"/>
        <v>0.27930413652178721</v>
      </c>
      <c r="AA18" s="46">
        <f t="shared" si="11"/>
        <v>7.0000000000000007E-2</v>
      </c>
    </row>
    <row r="19" spans="1:30" x14ac:dyDescent="0.25">
      <c r="A19">
        <v>50</v>
      </c>
      <c r="B19">
        <v>23623</v>
      </c>
      <c r="C19">
        <v>21745</v>
      </c>
      <c r="D19">
        <v>4369</v>
      </c>
      <c r="E19" s="44">
        <v>178968</v>
      </c>
      <c r="F19">
        <v>18104</v>
      </c>
      <c r="G19" s="44">
        <v>3286</v>
      </c>
      <c r="I19">
        <v>50</v>
      </c>
      <c r="J19" s="45">
        <f t="shared" ref="J19:O19" si="25">B40/B$20</f>
        <v>0.64170511789357831</v>
      </c>
      <c r="K19" s="45">
        <f t="shared" si="25"/>
        <v>0.69560818578983674</v>
      </c>
      <c r="L19" s="45">
        <f t="shared" si="25"/>
        <v>0.58604118993135013</v>
      </c>
      <c r="M19" s="45">
        <f t="shared" si="25"/>
        <v>1</v>
      </c>
      <c r="N19" s="45">
        <f t="shared" si="25"/>
        <v>0.99983431821947311</v>
      </c>
      <c r="O19" s="45">
        <f t="shared" si="25"/>
        <v>1</v>
      </c>
      <c r="Q19">
        <v>50</v>
      </c>
      <c r="R19" s="46">
        <f t="shared" si="2"/>
        <v>0.53903229903060579</v>
      </c>
      <c r="S19" s="46">
        <f t="shared" si="3"/>
        <v>9.625576768403675E-2</v>
      </c>
      <c r="T19" s="46">
        <f t="shared" si="4"/>
        <v>0.26433111060013798</v>
      </c>
      <c r="U19" s="46">
        <f t="shared" si="5"/>
        <v>7.6516900436882043E-2</v>
      </c>
      <c r="V19" s="46">
        <f t="shared" si="6"/>
        <v>4.6883295194508012E-2</v>
      </c>
      <c r="W19" s="46">
        <f t="shared" si="7"/>
        <v>1.7581235697940505E-2</v>
      </c>
      <c r="X19" s="46">
        <f t="shared" si="8"/>
        <v>0.61</v>
      </c>
      <c r="Y19" s="46">
        <f t="shared" si="9"/>
        <v>7.0000000000000007E-2</v>
      </c>
      <c r="Z19" s="46">
        <f t="shared" si="10"/>
        <v>0.27995360910145251</v>
      </c>
      <c r="AA19" s="46">
        <f t="shared" si="11"/>
        <v>7.0000000000000007E-2</v>
      </c>
    </row>
    <row r="20" spans="1:30" x14ac:dyDescent="0.25">
      <c r="A20">
        <v>100</v>
      </c>
      <c r="B20">
        <v>23623</v>
      </c>
      <c r="C20">
        <v>21745</v>
      </c>
      <c r="D20">
        <v>4370</v>
      </c>
      <c r="E20" s="44">
        <v>178968</v>
      </c>
      <c r="F20">
        <v>18107</v>
      </c>
      <c r="G20">
        <v>3286</v>
      </c>
      <c r="I20">
        <v>100</v>
      </c>
      <c r="J20" s="45">
        <f t="shared" ref="J20:O20" si="26">B41/B$20</f>
        <v>0.64170511789357831</v>
      </c>
      <c r="K20" s="45">
        <f t="shared" si="26"/>
        <v>0.69560818578983674</v>
      </c>
      <c r="L20" s="45">
        <f t="shared" si="26"/>
        <v>0.58627002288329522</v>
      </c>
      <c r="M20" s="45">
        <f t="shared" si="26"/>
        <v>1</v>
      </c>
      <c r="N20" s="45">
        <f t="shared" si="26"/>
        <v>1</v>
      </c>
      <c r="O20" s="45">
        <f t="shared" si="26"/>
        <v>1</v>
      </c>
      <c r="Q20">
        <v>100</v>
      </c>
      <c r="R20" s="46">
        <f t="shared" si="2"/>
        <v>0.53903229903060579</v>
      </c>
      <c r="S20" s="46">
        <f t="shared" si="3"/>
        <v>9.625576768403675E-2</v>
      </c>
      <c r="T20" s="46">
        <f t="shared" si="4"/>
        <v>0.26433111060013798</v>
      </c>
      <c r="U20" s="46">
        <f t="shared" si="5"/>
        <v>7.6516900436882043E-2</v>
      </c>
      <c r="V20" s="46">
        <f t="shared" si="6"/>
        <v>4.6901601830663615E-2</v>
      </c>
      <c r="W20" s="46">
        <f t="shared" si="7"/>
        <v>1.7588100686498857E-2</v>
      </c>
      <c r="X20" s="46">
        <f t="shared" si="8"/>
        <v>0.61</v>
      </c>
      <c r="Y20" s="46">
        <f t="shared" si="9"/>
        <v>7.0000000000000007E-2</v>
      </c>
      <c r="Z20" s="46">
        <f t="shared" si="10"/>
        <v>0.28000000000000003</v>
      </c>
      <c r="AA20" s="46">
        <f t="shared" si="11"/>
        <v>7.0000000000000007E-2</v>
      </c>
      <c r="AC20" s="46">
        <f>R20+T20+V20+X20+Z20+AA20</f>
        <v>1.8102650114614076</v>
      </c>
      <c r="AD20" s="46">
        <f>S20+U20+W20+Y20</f>
        <v>0.26036076880741765</v>
      </c>
    </row>
    <row r="21" spans="1:30" ht="30" x14ac:dyDescent="0.25">
      <c r="Q21" t="s">
        <v>85</v>
      </c>
      <c r="AC21" s="43" t="s">
        <v>83</v>
      </c>
      <c r="AD21" s="43" t="s">
        <v>84</v>
      </c>
    </row>
    <row r="22" spans="1:30" ht="45" x14ac:dyDescent="0.25">
      <c r="A22" s="43" t="s">
        <v>107</v>
      </c>
      <c r="B22">
        <v>8464</v>
      </c>
      <c r="C22">
        <v>6619</v>
      </c>
      <c r="D22">
        <v>1808</v>
      </c>
      <c r="E22" s="44">
        <v>0</v>
      </c>
      <c r="F22">
        <v>0</v>
      </c>
      <c r="G22">
        <v>0</v>
      </c>
      <c r="Q22">
        <v>1</v>
      </c>
      <c r="R22" s="46">
        <f>R4</f>
        <v>-0.30096770096939424</v>
      </c>
      <c r="S22" s="46">
        <f t="shared" ref="S22:AA22" si="27">S4</f>
        <v>-5.3744232315963252E-2</v>
      </c>
      <c r="T22" s="46">
        <f t="shared" si="27"/>
        <v>-0.11566888939986204</v>
      </c>
      <c r="U22" s="46">
        <f t="shared" si="27"/>
        <v>-3.3483099563117957E-2</v>
      </c>
      <c r="V22" s="46">
        <f t="shared" si="27"/>
        <v>-3.3098398169336386E-2</v>
      </c>
      <c r="W22" s="46">
        <f t="shared" si="27"/>
        <v>-1.2411899313501144E-2</v>
      </c>
      <c r="X22" s="46">
        <f t="shared" si="27"/>
        <v>0</v>
      </c>
      <c r="Y22" s="46">
        <f t="shared" si="27"/>
        <v>0</v>
      </c>
      <c r="Z22" s="46">
        <f t="shared" si="27"/>
        <v>0</v>
      </c>
      <c r="AA22" s="46">
        <f t="shared" si="27"/>
        <v>0</v>
      </c>
      <c r="AC22" s="46">
        <f>R22+T22+V22+X22+Z22+AA22</f>
        <v>-0.44973498853859267</v>
      </c>
      <c r="AD22" s="46">
        <f>S22+U22+W22+Y22</f>
        <v>-9.9639231192582361E-2</v>
      </c>
    </row>
    <row r="23" spans="1:30" x14ac:dyDescent="0.25">
      <c r="Q23">
        <v>2</v>
      </c>
      <c r="R23" s="46">
        <f t="shared" ref="R23:AA23" si="28">R5</f>
        <v>-0.30096770096939424</v>
      </c>
      <c r="S23" s="46">
        <f t="shared" si="28"/>
        <v>-5.3744232315963252E-2</v>
      </c>
      <c r="T23" s="46">
        <f t="shared" si="28"/>
        <v>-0.11566888939986204</v>
      </c>
      <c r="U23" s="46">
        <f t="shared" si="28"/>
        <v>-3.3483099563117957E-2</v>
      </c>
      <c r="V23" s="46">
        <f t="shared" si="28"/>
        <v>-3.3098398169336386E-2</v>
      </c>
      <c r="W23" s="46">
        <f t="shared" si="28"/>
        <v>-1.2411899313501144E-2</v>
      </c>
      <c r="X23" s="46">
        <f t="shared" si="28"/>
        <v>0</v>
      </c>
      <c r="Y23" s="46">
        <f t="shared" si="28"/>
        <v>0</v>
      </c>
      <c r="Z23" s="46">
        <f t="shared" si="28"/>
        <v>0</v>
      </c>
      <c r="AA23" s="46">
        <f t="shared" si="28"/>
        <v>0</v>
      </c>
      <c r="AC23" s="46">
        <f t="shared" ref="AC23:AC86" si="29">R23+T23+V23+X23+Z23+AA23</f>
        <v>-0.44973498853859267</v>
      </c>
      <c r="AD23" s="46">
        <f t="shared" ref="AD23:AD86" si="30">S23+U23+W23+Y23</f>
        <v>-9.9639231192582361E-2</v>
      </c>
    </row>
    <row r="24" spans="1:30" x14ac:dyDescent="0.25">
      <c r="A24" t="s">
        <v>65</v>
      </c>
      <c r="Q24">
        <v>3</v>
      </c>
      <c r="R24" s="46">
        <f t="shared" ref="R24:AA24" si="31">R6</f>
        <v>-0.30096770096939424</v>
      </c>
      <c r="S24" s="46">
        <f t="shared" si="31"/>
        <v>-5.3744232315963252E-2</v>
      </c>
      <c r="T24" s="46">
        <f t="shared" si="31"/>
        <v>-0.11566888939986204</v>
      </c>
      <c r="U24" s="46">
        <f t="shared" si="31"/>
        <v>-3.3483099563117957E-2</v>
      </c>
      <c r="V24" s="46">
        <f t="shared" si="31"/>
        <v>-3.3098398169336386E-2</v>
      </c>
      <c r="W24" s="46">
        <f t="shared" si="31"/>
        <v>-1.2411899313501144E-2</v>
      </c>
      <c r="X24" s="46">
        <f t="shared" si="31"/>
        <v>0</v>
      </c>
      <c r="Y24" s="46">
        <f t="shared" si="31"/>
        <v>0</v>
      </c>
      <c r="Z24" s="46">
        <f t="shared" si="31"/>
        <v>0</v>
      </c>
      <c r="AA24" s="46">
        <f t="shared" si="31"/>
        <v>4.254108338405356E-2</v>
      </c>
      <c r="AC24" s="46">
        <f t="shared" si="29"/>
        <v>-0.40719390515453913</v>
      </c>
      <c r="AD24" s="46">
        <f t="shared" si="30"/>
        <v>-9.9639231192582361E-2</v>
      </c>
    </row>
    <row r="25" spans="1:30" x14ac:dyDescent="0.25">
      <c r="A25">
        <v>1</v>
      </c>
      <c r="B25">
        <f>B4-B$22</f>
        <v>-8464</v>
      </c>
      <c r="C25">
        <f t="shared" ref="C25:G25" si="32">C4-C$22</f>
        <v>-6619</v>
      </c>
      <c r="D25">
        <f t="shared" si="32"/>
        <v>-1808</v>
      </c>
      <c r="E25">
        <f t="shared" si="32"/>
        <v>0</v>
      </c>
      <c r="F25">
        <f t="shared" si="32"/>
        <v>0</v>
      </c>
      <c r="G25">
        <f t="shared" si="32"/>
        <v>0</v>
      </c>
      <c r="Q25">
        <v>4</v>
      </c>
      <c r="R25" s="46">
        <f t="shared" ref="R25:AA25" si="33">R7</f>
        <v>-0.30096770096939424</v>
      </c>
      <c r="S25" s="46">
        <f t="shared" si="33"/>
        <v>-5.3744232315963252E-2</v>
      </c>
      <c r="T25" s="46">
        <f t="shared" si="33"/>
        <v>-0.11566888939986204</v>
      </c>
      <c r="U25" s="46">
        <f t="shared" si="33"/>
        <v>-3.3483099563117957E-2</v>
      </c>
      <c r="V25" s="46">
        <f t="shared" si="33"/>
        <v>-3.3098398169336386E-2</v>
      </c>
      <c r="W25" s="46">
        <f t="shared" si="33"/>
        <v>-1.2411899313501144E-2</v>
      </c>
      <c r="X25" s="46">
        <f t="shared" si="33"/>
        <v>0</v>
      </c>
      <c r="Y25" s="46">
        <f t="shared" si="33"/>
        <v>0</v>
      </c>
      <c r="Z25" s="46">
        <f t="shared" si="33"/>
        <v>0</v>
      </c>
      <c r="AA25" s="46">
        <f t="shared" si="33"/>
        <v>4.7824102251978098E-2</v>
      </c>
      <c r="AC25" s="46">
        <f t="shared" si="29"/>
        <v>-0.40191088628661459</v>
      </c>
      <c r="AD25" s="46">
        <f t="shared" si="30"/>
        <v>-9.9639231192582361E-2</v>
      </c>
    </row>
    <row r="26" spans="1:30" x14ac:dyDescent="0.25">
      <c r="A26">
        <v>2</v>
      </c>
      <c r="B26">
        <f t="shared" ref="B26:G26" si="34">B5-B$22</f>
        <v>-8464</v>
      </c>
      <c r="C26">
        <f t="shared" si="34"/>
        <v>-6619</v>
      </c>
      <c r="D26">
        <f t="shared" si="34"/>
        <v>-1808</v>
      </c>
      <c r="E26">
        <f t="shared" si="34"/>
        <v>0</v>
      </c>
      <c r="F26">
        <f t="shared" si="34"/>
        <v>0</v>
      </c>
      <c r="G26">
        <f t="shared" si="34"/>
        <v>0</v>
      </c>
      <c r="Q26">
        <v>5</v>
      </c>
      <c r="R26" s="46">
        <f t="shared" ref="R26:AA26" si="35">R8</f>
        <v>-0.30096770096939424</v>
      </c>
      <c r="S26" s="46">
        <f t="shared" si="35"/>
        <v>-5.3744232315963252E-2</v>
      </c>
      <c r="T26" s="46">
        <f t="shared" si="35"/>
        <v>-0.11566888939986204</v>
      </c>
      <c r="U26" s="46">
        <f t="shared" si="35"/>
        <v>-3.3483099563117957E-2</v>
      </c>
      <c r="V26" s="46">
        <f t="shared" si="35"/>
        <v>-3.3098398169336386E-2</v>
      </c>
      <c r="W26" s="46">
        <f t="shared" si="35"/>
        <v>-1.2411899313501144E-2</v>
      </c>
      <c r="X26" s="46">
        <f t="shared" si="35"/>
        <v>4.1855527245094094E-3</v>
      </c>
      <c r="Y26" s="46">
        <f t="shared" si="35"/>
        <v>4.8030932904206345E-4</v>
      </c>
      <c r="Z26" s="46">
        <f t="shared" si="35"/>
        <v>0</v>
      </c>
      <c r="AA26" s="46">
        <f t="shared" si="35"/>
        <v>5.2510651247717595E-2</v>
      </c>
      <c r="AC26" s="46">
        <f t="shared" si="29"/>
        <v>-0.39303878456636565</v>
      </c>
      <c r="AD26" s="46">
        <f t="shared" si="30"/>
        <v>-9.9158921863540292E-2</v>
      </c>
    </row>
    <row r="27" spans="1:30" x14ac:dyDescent="0.25">
      <c r="A27">
        <v>3</v>
      </c>
      <c r="B27">
        <f t="shared" ref="B27:G27" si="36">B6-B$22</f>
        <v>-8464</v>
      </c>
      <c r="C27">
        <f t="shared" si="36"/>
        <v>-6619</v>
      </c>
      <c r="D27">
        <f t="shared" si="36"/>
        <v>-1808</v>
      </c>
      <c r="E27">
        <f t="shared" si="36"/>
        <v>0</v>
      </c>
      <c r="F27">
        <f t="shared" si="36"/>
        <v>0</v>
      </c>
      <c r="G27">
        <f t="shared" si="36"/>
        <v>1997</v>
      </c>
      <c r="Q27">
        <v>6</v>
      </c>
      <c r="R27" s="46">
        <f t="shared" ref="R27:AA27" si="37">R9</f>
        <v>-0.30096770096939424</v>
      </c>
      <c r="S27" s="46">
        <f t="shared" si="37"/>
        <v>-5.3744232315963252E-2</v>
      </c>
      <c r="T27" s="46">
        <f t="shared" si="37"/>
        <v>-9.1885031041618756E-2</v>
      </c>
      <c r="U27" s="46">
        <f t="shared" si="37"/>
        <v>-2.6598298459415956E-2</v>
      </c>
      <c r="V27" s="46">
        <f t="shared" si="37"/>
        <v>-3.300686498855835E-2</v>
      </c>
      <c r="W27" s="46">
        <f t="shared" si="37"/>
        <v>-1.2377574370709382E-2</v>
      </c>
      <c r="X27" s="46">
        <f t="shared" si="37"/>
        <v>0</v>
      </c>
      <c r="Y27" s="46">
        <f t="shared" si="37"/>
        <v>0</v>
      </c>
      <c r="Z27" s="46">
        <f t="shared" si="37"/>
        <v>5.0411443088308394E-3</v>
      </c>
      <c r="AA27" s="46">
        <f t="shared" si="37"/>
        <v>5.6472915398660992E-2</v>
      </c>
      <c r="AC27" s="46">
        <f t="shared" si="29"/>
        <v>-0.36434553729207952</v>
      </c>
      <c r="AD27" s="46">
        <f t="shared" si="30"/>
        <v>-9.2720105146088583E-2</v>
      </c>
    </row>
    <row r="28" spans="1:30" x14ac:dyDescent="0.25">
      <c r="A28">
        <v>4</v>
      </c>
      <c r="B28">
        <f t="shared" ref="B28:G28" si="38">B7-B$22</f>
        <v>-8464</v>
      </c>
      <c r="C28">
        <f t="shared" si="38"/>
        <v>-6619</v>
      </c>
      <c r="D28">
        <f t="shared" si="38"/>
        <v>-1808</v>
      </c>
      <c r="E28">
        <f t="shared" si="38"/>
        <v>0</v>
      </c>
      <c r="F28">
        <f t="shared" si="38"/>
        <v>0</v>
      </c>
      <c r="G28">
        <f t="shared" si="38"/>
        <v>2245</v>
      </c>
      <c r="Q28">
        <v>7</v>
      </c>
      <c r="R28" s="46">
        <f t="shared" ref="R28:AA28" si="39">R10</f>
        <v>-0.25776404351691151</v>
      </c>
      <c r="S28" s="46">
        <f t="shared" si="39"/>
        <v>-4.6029293485162763E-2</v>
      </c>
      <c r="T28" s="46">
        <f t="shared" si="39"/>
        <v>-9.1885031041618756E-2</v>
      </c>
      <c r="U28" s="46">
        <f t="shared" si="39"/>
        <v>-2.6598298459415956E-2</v>
      </c>
      <c r="V28" s="46">
        <f t="shared" si="39"/>
        <v>-3.300686498855835E-2</v>
      </c>
      <c r="W28" s="46">
        <f t="shared" si="39"/>
        <v>-1.2377574370709382E-2</v>
      </c>
      <c r="X28" s="46">
        <f t="shared" si="39"/>
        <v>1.1360299047874479E-2</v>
      </c>
      <c r="Y28" s="46">
        <f t="shared" si="39"/>
        <v>1.3036408743462519E-3</v>
      </c>
      <c r="Z28" s="46">
        <f t="shared" si="39"/>
        <v>5.0411443088308394E-3</v>
      </c>
      <c r="AA28" s="46">
        <f t="shared" si="39"/>
        <v>5.9732197200243461E-2</v>
      </c>
      <c r="AC28" s="46">
        <f t="shared" si="29"/>
        <v>-0.30652229899013983</v>
      </c>
      <c r="AD28" s="46">
        <f t="shared" si="30"/>
        <v>-8.3701525440941837E-2</v>
      </c>
    </row>
    <row r="29" spans="1:30" x14ac:dyDescent="0.25">
      <c r="A29">
        <v>5</v>
      </c>
      <c r="B29">
        <f t="shared" ref="B29:G29" si="40">B8-B$22</f>
        <v>-8464</v>
      </c>
      <c r="C29">
        <f t="shared" si="40"/>
        <v>-6619</v>
      </c>
      <c r="D29">
        <f t="shared" si="40"/>
        <v>-1808</v>
      </c>
      <c r="E29">
        <f t="shared" si="40"/>
        <v>1228</v>
      </c>
      <c r="F29">
        <f t="shared" si="40"/>
        <v>0</v>
      </c>
      <c r="G29">
        <f t="shared" si="40"/>
        <v>2465</v>
      </c>
      <c r="Q29">
        <v>8</v>
      </c>
      <c r="R29" s="46">
        <f t="shared" ref="R29:AA29" si="41">R11</f>
        <v>-0.25776404351691151</v>
      </c>
      <c r="S29" s="46">
        <f t="shared" si="41"/>
        <v>-4.6029293485162763E-2</v>
      </c>
      <c r="T29" s="46">
        <f t="shared" si="41"/>
        <v>-9.1885031041618756E-2</v>
      </c>
      <c r="U29" s="46">
        <f t="shared" si="41"/>
        <v>-2.6598298459415956E-2</v>
      </c>
      <c r="V29" s="46">
        <f t="shared" si="41"/>
        <v>-3.300686498855835E-2</v>
      </c>
      <c r="W29" s="46">
        <f t="shared" si="41"/>
        <v>-1.2377574370709382E-2</v>
      </c>
      <c r="X29" s="46">
        <f t="shared" si="41"/>
        <v>0</v>
      </c>
      <c r="Y29" s="46">
        <f t="shared" si="41"/>
        <v>0</v>
      </c>
      <c r="Z29" s="46">
        <f t="shared" si="41"/>
        <v>5.0411443088308394E-3</v>
      </c>
      <c r="AA29" s="46">
        <f t="shared" si="41"/>
        <v>6.2096774193548393E-2</v>
      </c>
      <c r="AC29" s="46">
        <f t="shared" si="29"/>
        <v>-0.31551802104470938</v>
      </c>
      <c r="AD29" s="46">
        <f t="shared" si="30"/>
        <v>-8.5005166315288094E-2</v>
      </c>
    </row>
    <row r="30" spans="1:30" x14ac:dyDescent="0.25">
      <c r="A30">
        <v>6</v>
      </c>
      <c r="B30">
        <f t="shared" ref="B30:G30" si="42">B9-B$22</f>
        <v>-8464</v>
      </c>
      <c r="C30">
        <f t="shared" si="42"/>
        <v>-5258</v>
      </c>
      <c r="D30">
        <f t="shared" si="42"/>
        <v>-1803</v>
      </c>
      <c r="E30">
        <f t="shared" si="42"/>
        <v>0</v>
      </c>
      <c r="F30">
        <f t="shared" si="42"/>
        <v>326</v>
      </c>
      <c r="G30">
        <f t="shared" si="42"/>
        <v>2651</v>
      </c>
      <c r="Q30">
        <v>9</v>
      </c>
      <c r="R30" s="46">
        <f t="shared" ref="R30:AA30" si="43">R12</f>
        <v>-0.25776404351691151</v>
      </c>
      <c r="S30" s="46">
        <f t="shared" si="43"/>
        <v>-4.6029293485162763E-2</v>
      </c>
      <c r="T30" s="46">
        <f t="shared" si="43"/>
        <v>-5.8419866636008282E-2</v>
      </c>
      <c r="U30" s="46">
        <f t="shared" si="43"/>
        <v>-1.6911014026212923E-2</v>
      </c>
      <c r="V30" s="46">
        <f t="shared" si="43"/>
        <v>-3.2842105263157895E-2</v>
      </c>
      <c r="W30" s="46">
        <f t="shared" si="43"/>
        <v>-1.2315789473684212E-2</v>
      </c>
      <c r="X30" s="46">
        <f t="shared" si="43"/>
        <v>3.0403200572169328E-2</v>
      </c>
      <c r="Y30" s="46">
        <f t="shared" si="43"/>
        <v>3.4888918689374641E-3</v>
      </c>
      <c r="Z30" s="46">
        <f t="shared" si="43"/>
        <v>1.2138951786601869E-2</v>
      </c>
      <c r="AA30" s="46">
        <f t="shared" si="43"/>
        <v>6.4290931223371886E-2</v>
      </c>
      <c r="AC30" s="46">
        <f t="shared" si="29"/>
        <v>-0.24219293183393464</v>
      </c>
      <c r="AD30" s="46">
        <f t="shared" si="30"/>
        <v>-7.1767205116122446E-2</v>
      </c>
    </row>
    <row r="31" spans="1:30" x14ac:dyDescent="0.25">
      <c r="A31">
        <v>7</v>
      </c>
      <c r="B31">
        <f t="shared" ref="B31:G31" si="44">B10-B$22</f>
        <v>-7249</v>
      </c>
      <c r="C31">
        <f t="shared" si="44"/>
        <v>-5258</v>
      </c>
      <c r="D31">
        <f t="shared" si="44"/>
        <v>-1803</v>
      </c>
      <c r="E31">
        <f t="shared" si="44"/>
        <v>3333</v>
      </c>
      <c r="F31">
        <f t="shared" si="44"/>
        <v>326</v>
      </c>
      <c r="G31">
        <f t="shared" si="44"/>
        <v>2804</v>
      </c>
      <c r="Q31">
        <v>10</v>
      </c>
      <c r="R31" s="46">
        <f t="shared" ref="R31:AA31" si="45">R13</f>
        <v>-0.25776404351691151</v>
      </c>
      <c r="S31" s="46">
        <f t="shared" si="45"/>
        <v>-4.6029293485162763E-2</v>
      </c>
      <c r="T31" s="46">
        <f t="shared" si="45"/>
        <v>-5.8419866636008282E-2</v>
      </c>
      <c r="U31" s="46">
        <f t="shared" si="45"/>
        <v>-1.6911014026212923E-2</v>
      </c>
      <c r="V31" s="46">
        <f t="shared" si="45"/>
        <v>-3.2842105263157895E-2</v>
      </c>
      <c r="W31" s="46">
        <f t="shared" si="45"/>
        <v>-1.2315789473684212E-2</v>
      </c>
      <c r="X31" s="46">
        <f t="shared" si="45"/>
        <v>7.8349593223369526E-2</v>
      </c>
      <c r="Y31" s="46">
        <f t="shared" si="45"/>
        <v>8.9909369272719152E-3</v>
      </c>
      <c r="Z31" s="46">
        <f t="shared" si="45"/>
        <v>1.2138951786601869E-2</v>
      </c>
      <c r="AA31" s="46">
        <f t="shared" si="45"/>
        <v>6.5803408399269639E-2</v>
      </c>
      <c r="AC31" s="46">
        <f t="shared" si="29"/>
        <v>-0.19273406200683668</v>
      </c>
      <c r="AD31" s="46">
        <f t="shared" si="30"/>
        <v>-6.6265160057787986E-2</v>
      </c>
    </row>
    <row r="32" spans="1:30" x14ac:dyDescent="0.25">
      <c r="A32">
        <v>8</v>
      </c>
      <c r="B32">
        <f t="shared" ref="B32:G32" si="46">B11-B$22</f>
        <v>-7249</v>
      </c>
      <c r="C32">
        <f t="shared" si="46"/>
        <v>-5258</v>
      </c>
      <c r="D32">
        <f t="shared" si="46"/>
        <v>-1803</v>
      </c>
      <c r="E32">
        <f t="shared" si="46"/>
        <v>0</v>
      </c>
      <c r="F32">
        <f t="shared" si="46"/>
        <v>326</v>
      </c>
      <c r="G32">
        <f t="shared" si="46"/>
        <v>2915</v>
      </c>
      <c r="Q32">
        <v>11</v>
      </c>
      <c r="R32" s="46">
        <f>R$13+((($Q32-$Q$31)/($Q$14-$Q$13))*(R$14-R$13))</f>
        <v>-0.17597934216653263</v>
      </c>
      <c r="S32" s="46">
        <f t="shared" ref="S32:AA35" si="47">S$13+((($Q32-$Q$31)/($Q$14-$Q$13))*(S$14-S$13))</f>
        <v>-3.1424882529737963E-2</v>
      </c>
      <c r="T32" s="46">
        <f t="shared" si="47"/>
        <v>-2.4566750977236151E-2</v>
      </c>
      <c r="U32" s="46">
        <f t="shared" si="47"/>
        <v>-7.1114279144630938E-3</v>
      </c>
      <c r="V32" s="46">
        <f t="shared" si="47"/>
        <v>-3.2596796338672768E-2</v>
      </c>
      <c r="W32" s="46">
        <f t="shared" si="47"/>
        <v>-1.222379862700229E-2</v>
      </c>
      <c r="X32" s="46">
        <f t="shared" si="47"/>
        <v>0.15353070940056324</v>
      </c>
      <c r="Y32" s="46">
        <f t="shared" si="47"/>
        <v>1.7618278127933488E-2</v>
      </c>
      <c r="Z32" s="46">
        <f t="shared" si="47"/>
        <v>2.1676920527972612E-2</v>
      </c>
      <c r="AA32" s="46">
        <f t="shared" si="47"/>
        <v>6.647656725502131E-2</v>
      </c>
      <c r="AC32" s="46">
        <f t="shared" si="29"/>
        <v>8.541307701115608E-3</v>
      </c>
      <c r="AD32" s="46">
        <f t="shared" si="30"/>
        <v>-3.3141830943269862E-2</v>
      </c>
    </row>
    <row r="33" spans="1:30" x14ac:dyDescent="0.25">
      <c r="A33">
        <v>9</v>
      </c>
      <c r="B33">
        <f t="shared" ref="B33:G33" si="48">B12-B$22</f>
        <v>-7249</v>
      </c>
      <c r="C33">
        <f t="shared" si="48"/>
        <v>-3343</v>
      </c>
      <c r="D33">
        <f t="shared" si="48"/>
        <v>-1794</v>
      </c>
      <c r="E33">
        <f t="shared" si="48"/>
        <v>8920</v>
      </c>
      <c r="F33">
        <f t="shared" si="48"/>
        <v>785</v>
      </c>
      <c r="G33">
        <f t="shared" si="48"/>
        <v>3018</v>
      </c>
      <c r="Q33">
        <v>12</v>
      </c>
      <c r="R33" s="46">
        <f t="shared" ref="R33:R35" si="49">R$13+((($Q33-$Q$31)/($Q$14-$Q$13))*(R$14-R$13))</f>
        <v>-9.4194640816153752E-2</v>
      </c>
      <c r="S33" s="46">
        <f t="shared" si="47"/>
        <v>-1.6820471574313163E-2</v>
      </c>
      <c r="T33" s="46">
        <f t="shared" si="47"/>
        <v>9.2863646815359788E-3</v>
      </c>
      <c r="U33" s="46">
        <f t="shared" si="47"/>
        <v>2.6881581972867351E-3</v>
      </c>
      <c r="V33" s="46">
        <f t="shared" si="47"/>
        <v>-3.2351487414187641E-2</v>
      </c>
      <c r="W33" s="46">
        <f t="shared" si="47"/>
        <v>-1.2131807780320367E-2</v>
      </c>
      <c r="X33" s="46">
        <f t="shared" si="47"/>
        <v>0.22871182557775693</v>
      </c>
      <c r="Y33" s="46">
        <f t="shared" si="47"/>
        <v>2.6245619328595059E-2</v>
      </c>
      <c r="Z33" s="46">
        <f t="shared" si="47"/>
        <v>3.1214889269343356E-2</v>
      </c>
      <c r="AA33" s="46">
        <f t="shared" si="47"/>
        <v>6.7149726110772981E-2</v>
      </c>
      <c r="AC33" s="46">
        <f t="shared" si="29"/>
        <v>0.20981667740906784</v>
      </c>
      <c r="AD33" s="46">
        <f t="shared" si="30"/>
        <v>-1.8501828751738003E-5</v>
      </c>
    </row>
    <row r="34" spans="1:30" x14ac:dyDescent="0.25">
      <c r="A34">
        <v>10</v>
      </c>
      <c r="B34">
        <f t="shared" ref="B34:G34" si="50">B13-B$22</f>
        <v>-7249</v>
      </c>
      <c r="C34">
        <f t="shared" si="50"/>
        <v>-3343</v>
      </c>
      <c r="D34">
        <f t="shared" si="50"/>
        <v>-1794</v>
      </c>
      <c r="E34">
        <f t="shared" si="50"/>
        <v>22987</v>
      </c>
      <c r="F34">
        <f t="shared" si="50"/>
        <v>785</v>
      </c>
      <c r="G34">
        <f t="shared" si="50"/>
        <v>3089</v>
      </c>
      <c r="Q34">
        <v>13</v>
      </c>
      <c r="R34" s="46">
        <f t="shared" si="49"/>
        <v>-1.24099394657749E-2</v>
      </c>
      <c r="S34" s="46">
        <f t="shared" si="47"/>
        <v>-2.21606061888837E-3</v>
      </c>
      <c r="T34" s="46">
        <f t="shared" si="47"/>
        <v>4.3139480340308116E-2</v>
      </c>
      <c r="U34" s="46">
        <f t="shared" si="47"/>
        <v>1.2487744309036559E-2</v>
      </c>
      <c r="V34" s="46">
        <f t="shared" si="47"/>
        <v>-3.2106178489702521E-2</v>
      </c>
      <c r="W34" s="46">
        <f t="shared" si="47"/>
        <v>-1.2039816933638446E-2</v>
      </c>
      <c r="X34" s="46">
        <f t="shared" si="47"/>
        <v>0.30389294175495057</v>
      </c>
      <c r="Y34" s="46">
        <f t="shared" si="47"/>
        <v>3.4872960529256626E-2</v>
      </c>
      <c r="Z34" s="46">
        <f t="shared" si="47"/>
        <v>4.0752858010714092E-2</v>
      </c>
      <c r="AA34" s="46">
        <f t="shared" si="47"/>
        <v>6.7822884966524666E-2</v>
      </c>
      <c r="AC34" s="46">
        <f t="shared" si="29"/>
        <v>0.41109204711702002</v>
      </c>
      <c r="AD34" s="46">
        <f t="shared" si="30"/>
        <v>3.3104827285766372E-2</v>
      </c>
    </row>
    <row r="35" spans="1:30" x14ac:dyDescent="0.25">
      <c r="A35">
        <v>15</v>
      </c>
      <c r="B35">
        <f t="shared" ref="B35:G35" si="51">B14-B$22</f>
        <v>4251</v>
      </c>
      <c r="C35">
        <f t="shared" si="51"/>
        <v>6343</v>
      </c>
      <c r="D35">
        <f t="shared" si="51"/>
        <v>-1727</v>
      </c>
      <c r="E35">
        <f t="shared" si="51"/>
        <v>133274</v>
      </c>
      <c r="F35">
        <f t="shared" si="51"/>
        <v>3869</v>
      </c>
      <c r="G35">
        <f t="shared" si="51"/>
        <v>3247</v>
      </c>
      <c r="Q35">
        <v>14</v>
      </c>
      <c r="R35" s="46">
        <f t="shared" si="49"/>
        <v>6.9374761884604008E-2</v>
      </c>
      <c r="S35" s="46">
        <f t="shared" si="47"/>
        <v>1.2388350336536437E-2</v>
      </c>
      <c r="T35" s="46">
        <f t="shared" si="47"/>
        <v>7.6992595999080232E-2</v>
      </c>
      <c r="U35" s="46">
        <f t="shared" si="47"/>
        <v>2.2287330420786393E-2</v>
      </c>
      <c r="V35" s="46">
        <f t="shared" si="47"/>
        <v>-3.1860869565217394E-2</v>
      </c>
      <c r="W35" s="46">
        <f t="shared" si="47"/>
        <v>-1.1947826086956524E-2</v>
      </c>
      <c r="X35" s="46">
        <f t="shared" si="47"/>
        <v>0.37907405793214433</v>
      </c>
      <c r="Y35" s="46">
        <f t="shared" si="47"/>
        <v>4.3500301729918207E-2</v>
      </c>
      <c r="Z35" s="46">
        <f t="shared" si="47"/>
        <v>5.0290826752084843E-2</v>
      </c>
      <c r="AA35" s="46">
        <f t="shared" si="47"/>
        <v>6.8496043822276337E-2</v>
      </c>
      <c r="AC35" s="46">
        <f t="shared" si="29"/>
        <v>0.61236741682497242</v>
      </c>
      <c r="AD35" s="46">
        <f t="shared" si="30"/>
        <v>6.622815640028451E-2</v>
      </c>
    </row>
    <row r="36" spans="1:30" x14ac:dyDescent="0.25">
      <c r="A36">
        <v>20</v>
      </c>
      <c r="B36">
        <f t="shared" ref="B36:G36" si="52">B15-B$22</f>
        <v>9763</v>
      </c>
      <c r="C36">
        <f t="shared" si="52"/>
        <v>14984</v>
      </c>
      <c r="D36">
        <f t="shared" si="52"/>
        <v>987</v>
      </c>
      <c r="E36">
        <f t="shared" si="52"/>
        <v>175709</v>
      </c>
      <c r="F36">
        <f t="shared" si="52"/>
        <v>13890</v>
      </c>
      <c r="G36">
        <f t="shared" si="52"/>
        <v>3279</v>
      </c>
      <c r="Q36">
        <v>15</v>
      </c>
      <c r="R36" s="46">
        <f>R14</f>
        <v>0.15115946323498289</v>
      </c>
      <c r="S36" s="46">
        <f t="shared" ref="S36:AA36" si="53">S14</f>
        <v>2.6992761291961227E-2</v>
      </c>
      <c r="T36" s="46">
        <f t="shared" si="53"/>
        <v>0.11084571165785237</v>
      </c>
      <c r="U36" s="46">
        <f t="shared" si="53"/>
        <v>3.2086916532536217E-2</v>
      </c>
      <c r="V36" s="46">
        <f t="shared" si="53"/>
        <v>-3.1615560640732267E-2</v>
      </c>
      <c r="W36" s="46">
        <f t="shared" si="53"/>
        <v>-1.1855835240274601E-2</v>
      </c>
      <c r="X36" s="46">
        <f t="shared" si="53"/>
        <v>0.45425517410933797</v>
      </c>
      <c r="Y36" s="46">
        <f t="shared" si="53"/>
        <v>5.2127642930579775E-2</v>
      </c>
      <c r="Z36" s="46">
        <f t="shared" si="53"/>
        <v>5.9828795493455579E-2</v>
      </c>
      <c r="AA36" s="46">
        <f t="shared" si="53"/>
        <v>6.9169202678028008E-2</v>
      </c>
      <c r="AC36" s="46">
        <f t="shared" si="29"/>
        <v>0.81364278653292454</v>
      </c>
      <c r="AD36" s="46">
        <f t="shared" si="30"/>
        <v>9.9351485514802607E-2</v>
      </c>
    </row>
    <row r="37" spans="1:30" x14ac:dyDescent="0.25">
      <c r="A37">
        <v>25</v>
      </c>
      <c r="B37">
        <f t="shared" ref="B37:G37" si="54">B16-B$22</f>
        <v>13318</v>
      </c>
      <c r="C37">
        <f t="shared" si="54"/>
        <v>15109</v>
      </c>
      <c r="D37">
        <f t="shared" si="54"/>
        <v>2400</v>
      </c>
      <c r="E37">
        <f t="shared" si="54"/>
        <v>178556</v>
      </c>
      <c r="F37">
        <f t="shared" si="54"/>
        <v>16723</v>
      </c>
      <c r="G37">
        <f t="shared" si="54"/>
        <v>3285</v>
      </c>
      <c r="Q37">
        <v>16</v>
      </c>
      <c r="R37" s="46">
        <f>R$14+((($Q37-$Q$36)/($Q$15-$Q$14))*(R$15-R$14))</f>
        <v>0.19035922617787754</v>
      </c>
      <c r="S37" s="46">
        <f t="shared" ref="S37:AA40" si="55">S$14+((($Q37-$Q$36)/($Q$15-$Q$14))*(S$15-S$14))</f>
        <v>3.3992718960335268E-2</v>
      </c>
      <c r="T37" s="46">
        <f t="shared" si="55"/>
        <v>0.14104649344676937</v>
      </c>
      <c r="U37" s="46">
        <f t="shared" si="55"/>
        <v>4.0829248103012188E-2</v>
      </c>
      <c r="V37" s="46">
        <f t="shared" si="55"/>
        <v>-2.1678718535469106E-2</v>
      </c>
      <c r="W37" s="46">
        <f t="shared" si="55"/>
        <v>-8.1295194508009157E-3</v>
      </c>
      <c r="X37" s="46">
        <f t="shared" si="55"/>
        <v>0.4831825242501453</v>
      </c>
      <c r="Y37" s="46">
        <f t="shared" si="55"/>
        <v>5.5447174913951104E-2</v>
      </c>
      <c r="Z37" s="46">
        <f t="shared" si="55"/>
        <v>9.0821008449770813E-2</v>
      </c>
      <c r="AA37" s="46">
        <f t="shared" si="55"/>
        <v>6.9305538648813156E-2</v>
      </c>
      <c r="AC37" s="46">
        <f t="shared" si="29"/>
        <v>0.95303607243790711</v>
      </c>
      <c r="AD37" s="46">
        <f t="shared" si="30"/>
        <v>0.12213962252649765</v>
      </c>
    </row>
    <row r="38" spans="1:30" x14ac:dyDescent="0.25">
      <c r="A38">
        <v>30</v>
      </c>
      <c r="B38">
        <f t="shared" ref="B38:G38" si="56">B17-B$22</f>
        <v>14683</v>
      </c>
      <c r="C38">
        <f t="shared" si="56"/>
        <v>15124</v>
      </c>
      <c r="D38">
        <f t="shared" si="56"/>
        <v>2508</v>
      </c>
      <c r="E38">
        <f t="shared" si="56"/>
        <v>178950</v>
      </c>
      <c r="F38">
        <f t="shared" si="56"/>
        <v>17732</v>
      </c>
      <c r="G38">
        <f t="shared" si="56"/>
        <v>3286</v>
      </c>
      <c r="Q38">
        <v>17</v>
      </c>
      <c r="R38" s="46">
        <f t="shared" ref="R38:R40" si="57">R$14+((($Q38-$Q$36)/($Q$15-$Q$14))*(R$15-R$14))</f>
        <v>0.22955898912077216</v>
      </c>
      <c r="S38" s="46">
        <f t="shared" si="55"/>
        <v>4.0992676628709313E-2</v>
      </c>
      <c r="T38" s="46">
        <f t="shared" si="55"/>
        <v>0.17124727523568636</v>
      </c>
      <c r="U38" s="46">
        <f t="shared" si="55"/>
        <v>4.9571579673488159E-2</v>
      </c>
      <c r="V38" s="46">
        <f t="shared" si="55"/>
        <v>-1.1741876430205949E-2</v>
      </c>
      <c r="W38" s="46">
        <f t="shared" si="55"/>
        <v>-4.4032036613272313E-3</v>
      </c>
      <c r="X38" s="46">
        <f t="shared" si="55"/>
        <v>0.51210987439095257</v>
      </c>
      <c r="Y38" s="46">
        <f t="shared" si="55"/>
        <v>5.8766706897322434E-2</v>
      </c>
      <c r="Z38" s="46">
        <f t="shared" si="55"/>
        <v>0.12181322140608605</v>
      </c>
      <c r="AA38" s="46">
        <f t="shared" si="55"/>
        <v>6.9441874619598304E-2</v>
      </c>
      <c r="AC38" s="46">
        <f t="shared" si="29"/>
        <v>1.0924293583428895</v>
      </c>
      <c r="AD38" s="46">
        <f t="shared" si="30"/>
        <v>0.14492775953819267</v>
      </c>
    </row>
    <row r="39" spans="1:30" x14ac:dyDescent="0.25">
      <c r="A39">
        <v>40</v>
      </c>
      <c r="B39">
        <f t="shared" ref="B39:G39" si="58">B18-B$22</f>
        <v>15153</v>
      </c>
      <c r="C39">
        <f t="shared" si="58"/>
        <v>15126</v>
      </c>
      <c r="D39">
        <f t="shared" si="58"/>
        <v>2553</v>
      </c>
      <c r="E39">
        <f t="shared" si="58"/>
        <v>178968</v>
      </c>
      <c r="F39">
        <f t="shared" si="58"/>
        <v>18062</v>
      </c>
      <c r="G39">
        <f t="shared" si="58"/>
        <v>3286</v>
      </c>
      <c r="Q39">
        <v>18</v>
      </c>
      <c r="R39" s="46">
        <f t="shared" si="57"/>
        <v>0.26875875206366678</v>
      </c>
      <c r="S39" s="46">
        <f t="shared" si="55"/>
        <v>4.799263429708335E-2</v>
      </c>
      <c r="T39" s="46">
        <f t="shared" si="55"/>
        <v>0.20144805702460333</v>
      </c>
      <c r="U39" s="46">
        <f t="shared" si="55"/>
        <v>5.8313911243964137E-2</v>
      </c>
      <c r="V39" s="46">
        <f t="shared" si="55"/>
        <v>-1.8050343249427954E-3</v>
      </c>
      <c r="W39" s="46">
        <f t="shared" si="55"/>
        <v>-6.7688787185354697E-4</v>
      </c>
      <c r="X39" s="46">
        <f t="shared" si="55"/>
        <v>0.54103722453175984</v>
      </c>
      <c r="Y39" s="46">
        <f t="shared" si="55"/>
        <v>6.2086238880693756E-2</v>
      </c>
      <c r="Z39" s="46">
        <f t="shared" si="55"/>
        <v>0.15280543436240129</v>
      </c>
      <c r="AA39" s="46">
        <f t="shared" si="55"/>
        <v>6.9578210590383452E-2</v>
      </c>
      <c r="AC39" s="46">
        <f t="shared" si="29"/>
        <v>1.2318226442478719</v>
      </c>
      <c r="AD39" s="46">
        <f t="shared" si="30"/>
        <v>0.16771589654988769</v>
      </c>
    </row>
    <row r="40" spans="1:30" x14ac:dyDescent="0.25">
      <c r="A40">
        <v>50</v>
      </c>
      <c r="B40">
        <f t="shared" ref="B40:G40" si="59">B19-B$22</f>
        <v>15159</v>
      </c>
      <c r="C40">
        <f t="shared" si="59"/>
        <v>15126</v>
      </c>
      <c r="D40">
        <f t="shared" si="59"/>
        <v>2561</v>
      </c>
      <c r="E40">
        <f t="shared" si="59"/>
        <v>178968</v>
      </c>
      <c r="F40">
        <f t="shared" si="59"/>
        <v>18104</v>
      </c>
      <c r="G40">
        <f t="shared" si="59"/>
        <v>3286</v>
      </c>
      <c r="Q40">
        <v>19</v>
      </c>
      <c r="R40" s="46">
        <f t="shared" si="57"/>
        <v>0.30795851500656146</v>
      </c>
      <c r="S40" s="46">
        <f t="shared" si="55"/>
        <v>5.4992591965457388E-2</v>
      </c>
      <c r="T40" s="46">
        <f t="shared" si="55"/>
        <v>0.23164883881352033</v>
      </c>
      <c r="U40" s="46">
        <f t="shared" si="55"/>
        <v>6.7056242814440115E-2</v>
      </c>
      <c r="V40" s="46">
        <f t="shared" si="55"/>
        <v>8.1318077803203687E-3</v>
      </c>
      <c r="W40" s="46">
        <f t="shared" si="55"/>
        <v>3.0494279176201382E-3</v>
      </c>
      <c r="X40" s="46">
        <f t="shared" si="55"/>
        <v>0.56996457467256723</v>
      </c>
      <c r="Y40" s="46">
        <f t="shared" si="55"/>
        <v>6.5405770864065085E-2</v>
      </c>
      <c r="Z40" s="46">
        <f t="shared" si="55"/>
        <v>0.18379764731871653</v>
      </c>
      <c r="AA40" s="46">
        <f t="shared" si="55"/>
        <v>6.97145465611686E-2</v>
      </c>
      <c r="AC40" s="46">
        <f t="shared" si="29"/>
        <v>1.3712159301528546</v>
      </c>
      <c r="AD40" s="46">
        <f t="shared" si="30"/>
        <v>0.19050403356158274</v>
      </c>
    </row>
    <row r="41" spans="1:30" x14ac:dyDescent="0.25">
      <c r="A41">
        <v>100</v>
      </c>
      <c r="B41">
        <f t="shared" ref="B41:G41" si="60">B20-B$22</f>
        <v>15159</v>
      </c>
      <c r="C41">
        <f t="shared" si="60"/>
        <v>15126</v>
      </c>
      <c r="D41">
        <f t="shared" si="60"/>
        <v>2562</v>
      </c>
      <c r="E41">
        <f t="shared" si="60"/>
        <v>178968</v>
      </c>
      <c r="F41">
        <f t="shared" si="60"/>
        <v>18107</v>
      </c>
      <c r="G41">
        <f t="shared" si="60"/>
        <v>3286</v>
      </c>
      <c r="Q41">
        <v>20</v>
      </c>
      <c r="R41" s="46">
        <f>R15</f>
        <v>0.34715827794945608</v>
      </c>
      <c r="S41" s="46">
        <f t="shared" ref="S41:AA41" si="61">S15</f>
        <v>6.1992549633831433E-2</v>
      </c>
      <c r="T41" s="46">
        <f t="shared" si="61"/>
        <v>0.26184962060243733</v>
      </c>
      <c r="U41" s="46">
        <f t="shared" si="61"/>
        <v>7.5798574384916079E-2</v>
      </c>
      <c r="V41" s="46">
        <f t="shared" si="61"/>
        <v>1.8068649885583522E-2</v>
      </c>
      <c r="W41" s="46">
        <f t="shared" si="61"/>
        <v>6.7757437070938217E-3</v>
      </c>
      <c r="X41" s="46">
        <f t="shared" si="61"/>
        <v>0.5988919248133745</v>
      </c>
      <c r="Y41" s="46">
        <f t="shared" si="61"/>
        <v>6.8725302847436415E-2</v>
      </c>
      <c r="Z41" s="46">
        <f t="shared" si="61"/>
        <v>0.21478986027503177</v>
      </c>
      <c r="AA41" s="46">
        <f t="shared" si="61"/>
        <v>6.9850882531953748E-2</v>
      </c>
      <c r="AC41" s="46">
        <f t="shared" si="29"/>
        <v>1.5106092160578368</v>
      </c>
      <c r="AD41" s="46">
        <f t="shared" si="30"/>
        <v>0.21329217057327776</v>
      </c>
    </row>
    <row r="42" spans="1:30" x14ac:dyDescent="0.25">
      <c r="Q42">
        <v>21</v>
      </c>
      <c r="R42" s="46">
        <f>R$15+((($Q42-$Q$41)/($Q$16-$Q$15))*(R$16-R$15))</f>
        <v>0.37244041823646451</v>
      </c>
      <c r="S42" s="46">
        <f t="shared" ref="S42:AA45" si="62">S$15+((($Q42-$Q$41)/($Q$16-$Q$15))*(S$16-S$15))</f>
        <v>6.6507217542225799E-2</v>
      </c>
      <c r="T42" s="46">
        <f t="shared" si="62"/>
        <v>0.26228650264428605</v>
      </c>
      <c r="U42" s="46">
        <f t="shared" si="62"/>
        <v>7.5925040239135433E-2</v>
      </c>
      <c r="V42" s="46">
        <f t="shared" si="62"/>
        <v>2.3242105263157894E-2</v>
      </c>
      <c r="W42" s="46">
        <f t="shared" si="62"/>
        <v>8.7157894736842115E-3</v>
      </c>
      <c r="X42" s="46">
        <f t="shared" si="62"/>
        <v>0.60083268517276833</v>
      </c>
      <c r="Y42" s="46">
        <f t="shared" si="62"/>
        <v>6.8948013052612764E-2</v>
      </c>
      <c r="Z42" s="46">
        <f t="shared" si="62"/>
        <v>0.22355155464737397</v>
      </c>
      <c r="AA42" s="46">
        <f t="shared" si="62"/>
        <v>6.9876445526475969E-2</v>
      </c>
      <c r="AC42" s="46">
        <f t="shared" si="29"/>
        <v>1.5522297114905266</v>
      </c>
      <c r="AD42" s="46">
        <f t="shared" si="30"/>
        <v>0.22009606030765821</v>
      </c>
    </row>
    <row r="43" spans="1:30" x14ac:dyDescent="0.25">
      <c r="Q43">
        <v>22</v>
      </c>
      <c r="R43" s="46">
        <f t="shared" ref="R43:R45" si="63">R$15+((($Q43-$Q$41)/($Q$16-$Q$15))*(R$16-R$15))</f>
        <v>0.39772255852347294</v>
      </c>
      <c r="S43" s="46">
        <f t="shared" si="62"/>
        <v>7.1021885450620159E-2</v>
      </c>
      <c r="T43" s="46">
        <f t="shared" si="62"/>
        <v>0.26272338468613476</v>
      </c>
      <c r="U43" s="46">
        <f t="shared" si="62"/>
        <v>7.6051506093354801E-2</v>
      </c>
      <c r="V43" s="46">
        <f t="shared" si="62"/>
        <v>2.8415560640732265E-2</v>
      </c>
      <c r="W43" s="46">
        <f t="shared" si="62"/>
        <v>1.0655835240274599E-2</v>
      </c>
      <c r="X43" s="46">
        <f t="shared" si="62"/>
        <v>0.60277344553216217</v>
      </c>
      <c r="Y43" s="46">
        <f t="shared" si="62"/>
        <v>6.9170723257789113E-2</v>
      </c>
      <c r="Z43" s="46">
        <f t="shared" si="62"/>
        <v>0.23231324901971614</v>
      </c>
      <c r="AA43" s="46">
        <f t="shared" si="62"/>
        <v>6.9902008520998177E-2</v>
      </c>
      <c r="AC43" s="46">
        <f t="shared" si="29"/>
        <v>1.5938502069232166</v>
      </c>
      <c r="AD43" s="46">
        <f t="shared" si="30"/>
        <v>0.22689995004203869</v>
      </c>
    </row>
    <row r="44" spans="1:30" x14ac:dyDescent="0.25">
      <c r="Q44">
        <v>23</v>
      </c>
      <c r="R44" s="46">
        <f t="shared" si="63"/>
        <v>0.42300469881048142</v>
      </c>
      <c r="S44" s="46">
        <f t="shared" si="62"/>
        <v>7.5536553359014519E-2</v>
      </c>
      <c r="T44" s="46">
        <f t="shared" si="62"/>
        <v>0.26316026672798343</v>
      </c>
      <c r="U44" s="46">
        <f t="shared" si="62"/>
        <v>7.6177971947574155E-2</v>
      </c>
      <c r="V44" s="46">
        <f t="shared" si="62"/>
        <v>3.3589016018306633E-2</v>
      </c>
      <c r="W44" s="46">
        <f t="shared" si="62"/>
        <v>1.2595881006864987E-2</v>
      </c>
      <c r="X44" s="46">
        <f t="shared" si="62"/>
        <v>0.60471420589155611</v>
      </c>
      <c r="Y44" s="46">
        <f t="shared" si="62"/>
        <v>6.9393433462965448E-2</v>
      </c>
      <c r="Z44" s="46">
        <f t="shared" si="62"/>
        <v>0.24107494339205834</v>
      </c>
      <c r="AA44" s="46">
        <f t="shared" si="62"/>
        <v>6.9927571515520398E-2</v>
      </c>
      <c r="AC44" s="46">
        <f t="shared" si="29"/>
        <v>1.6354707023559061</v>
      </c>
      <c r="AD44" s="46">
        <f t="shared" si="30"/>
        <v>0.23370383977641912</v>
      </c>
    </row>
    <row r="45" spans="1:30" x14ac:dyDescent="0.25">
      <c r="Q45">
        <v>24</v>
      </c>
      <c r="R45" s="46">
        <f t="shared" si="63"/>
        <v>0.44828683909748984</v>
      </c>
      <c r="S45" s="46">
        <f t="shared" si="62"/>
        <v>8.0051221267408892E-2</v>
      </c>
      <c r="T45" s="46">
        <f t="shared" si="62"/>
        <v>0.26359714876983215</v>
      </c>
      <c r="U45" s="46">
        <f t="shared" si="62"/>
        <v>7.6304437801793523E-2</v>
      </c>
      <c r="V45" s="46">
        <f t="shared" si="62"/>
        <v>3.8762471395881008E-2</v>
      </c>
      <c r="W45" s="46">
        <f t="shared" si="62"/>
        <v>1.4535926773455377E-2</v>
      </c>
      <c r="X45" s="46">
        <f t="shared" si="62"/>
        <v>0.60665496625094995</v>
      </c>
      <c r="Y45" s="46">
        <f t="shared" si="62"/>
        <v>6.9616143668141797E-2</v>
      </c>
      <c r="Z45" s="46">
        <f t="shared" si="62"/>
        <v>0.24983663776440052</v>
      </c>
      <c r="AA45" s="46">
        <f t="shared" si="62"/>
        <v>6.9953134510042606E-2</v>
      </c>
      <c r="AC45" s="46">
        <f t="shared" si="29"/>
        <v>1.6770911977885961</v>
      </c>
      <c r="AD45" s="46">
        <f t="shared" si="30"/>
        <v>0.24050772951079957</v>
      </c>
    </row>
    <row r="46" spans="1:30" x14ac:dyDescent="0.25">
      <c r="Q46">
        <v>25</v>
      </c>
      <c r="R46" s="46">
        <f>R16</f>
        <v>0.47356897938449827</v>
      </c>
      <c r="S46" s="46">
        <f t="shared" ref="S46:AA46" si="64">S16</f>
        <v>8.4565889175803252E-2</v>
      </c>
      <c r="T46" s="46">
        <f t="shared" si="64"/>
        <v>0.26403403081168086</v>
      </c>
      <c r="U46" s="46">
        <f t="shared" si="64"/>
        <v>7.6430903656012877E-2</v>
      </c>
      <c r="V46" s="46">
        <f t="shared" si="64"/>
        <v>4.3935926773455376E-2</v>
      </c>
      <c r="W46" s="46">
        <f t="shared" si="64"/>
        <v>1.6475972540045767E-2</v>
      </c>
      <c r="X46" s="46">
        <f t="shared" si="64"/>
        <v>0.60859572661034378</v>
      </c>
      <c r="Y46" s="46">
        <f t="shared" si="64"/>
        <v>6.9838853873318146E-2</v>
      </c>
      <c r="Z46" s="46">
        <f t="shared" si="64"/>
        <v>0.25859833213674271</v>
      </c>
      <c r="AA46" s="46">
        <f t="shared" si="64"/>
        <v>6.9978697504564827E-2</v>
      </c>
      <c r="AC46" s="46">
        <f t="shared" si="29"/>
        <v>1.7187116932212858</v>
      </c>
      <c r="AD46" s="46">
        <f t="shared" si="30"/>
        <v>0.24731161924518003</v>
      </c>
    </row>
    <row r="47" spans="1:30" x14ac:dyDescent="0.25">
      <c r="Q47">
        <v>26</v>
      </c>
      <c r="R47" s="46">
        <f>R$16+((($Q47-$Q$46)/($Q$17-$Q$16))*(R$17-R$16))</f>
        <v>0.4832764678491302</v>
      </c>
      <c r="S47" s="46">
        <f t="shared" ref="S47:AA50" si="65">S$16+((($Q47-$Q$46)/($Q$17-$Q$16))*(S$17-S$16))</f>
        <v>8.629936925877324E-2</v>
      </c>
      <c r="T47" s="46">
        <f t="shared" si="65"/>
        <v>0.26408645665670272</v>
      </c>
      <c r="U47" s="46">
        <f t="shared" si="65"/>
        <v>7.6446079558519203E-2</v>
      </c>
      <c r="V47" s="46">
        <f t="shared" si="65"/>
        <v>4.4331350114416475E-2</v>
      </c>
      <c r="W47" s="46">
        <f t="shared" si="65"/>
        <v>1.6624256292906179E-2</v>
      </c>
      <c r="X47" s="46">
        <f t="shared" si="65"/>
        <v>0.60886431093826832</v>
      </c>
      <c r="Y47" s="46">
        <f t="shared" si="65"/>
        <v>6.9869675025702932E-2</v>
      </c>
      <c r="Z47" s="46">
        <f t="shared" si="65"/>
        <v>0.26171889324570607</v>
      </c>
      <c r="AA47" s="46">
        <f t="shared" si="65"/>
        <v>6.9982958003651868E-2</v>
      </c>
      <c r="AC47" s="46">
        <f t="shared" si="29"/>
        <v>1.7322604368078758</v>
      </c>
      <c r="AD47" s="46">
        <f t="shared" si="30"/>
        <v>0.24923938013590155</v>
      </c>
    </row>
    <row r="48" spans="1:30" x14ac:dyDescent="0.25">
      <c r="Q48">
        <v>27</v>
      </c>
      <c r="R48" s="46">
        <f t="shared" ref="R48:R50" si="66">R$16+((($Q48-$Q$46)/($Q$17-$Q$16))*(R$17-R$16))</f>
        <v>0.49298395631376213</v>
      </c>
      <c r="S48" s="46">
        <f t="shared" si="65"/>
        <v>8.8032849341743227E-2</v>
      </c>
      <c r="T48" s="46">
        <f t="shared" si="65"/>
        <v>0.26413888250172457</v>
      </c>
      <c r="U48" s="46">
        <f t="shared" si="65"/>
        <v>7.6461255461025529E-2</v>
      </c>
      <c r="V48" s="46">
        <f t="shared" si="65"/>
        <v>4.4726773455377573E-2</v>
      </c>
      <c r="W48" s="46">
        <f t="shared" si="65"/>
        <v>1.6772540045766591E-2</v>
      </c>
      <c r="X48" s="46">
        <f t="shared" si="65"/>
        <v>0.60913289526619285</v>
      </c>
      <c r="Y48" s="46">
        <f t="shared" si="65"/>
        <v>6.9900496178087718E-2</v>
      </c>
      <c r="Z48" s="46">
        <f t="shared" si="65"/>
        <v>0.26483945435466949</v>
      </c>
      <c r="AA48" s="46">
        <f t="shared" si="65"/>
        <v>6.9987218502738896E-2</v>
      </c>
      <c r="AC48" s="46">
        <f t="shared" si="29"/>
        <v>1.7458091803944653</v>
      </c>
      <c r="AD48" s="46">
        <f t="shared" si="30"/>
        <v>0.25116714102662308</v>
      </c>
    </row>
    <row r="49" spans="17:30" x14ac:dyDescent="0.25">
      <c r="Q49">
        <v>28</v>
      </c>
      <c r="R49" s="46">
        <f t="shared" si="66"/>
        <v>0.502691444778394</v>
      </c>
      <c r="S49" s="46">
        <f t="shared" si="65"/>
        <v>8.9766329424713201E-2</v>
      </c>
      <c r="T49" s="46">
        <f t="shared" si="65"/>
        <v>0.26419130834674637</v>
      </c>
      <c r="U49" s="46">
        <f t="shared" si="65"/>
        <v>7.6476431363531841E-2</v>
      </c>
      <c r="V49" s="46">
        <f t="shared" si="65"/>
        <v>4.5122196796338672E-2</v>
      </c>
      <c r="W49" s="46">
        <f t="shared" si="65"/>
        <v>1.6920823798627003E-2</v>
      </c>
      <c r="X49" s="46">
        <f t="shared" si="65"/>
        <v>0.60940147959411739</v>
      </c>
      <c r="Y49" s="46">
        <f t="shared" si="65"/>
        <v>6.9931317330472489E-2</v>
      </c>
      <c r="Z49" s="46">
        <f t="shared" si="65"/>
        <v>0.26796001546363285</v>
      </c>
      <c r="AA49" s="46">
        <f t="shared" si="65"/>
        <v>6.9991479001825938E-2</v>
      </c>
      <c r="AC49" s="46">
        <f t="shared" si="29"/>
        <v>1.7593579239810551</v>
      </c>
      <c r="AD49" s="46">
        <f t="shared" si="30"/>
        <v>0.25309490191734452</v>
      </c>
    </row>
    <row r="50" spans="17:30" x14ac:dyDescent="0.25">
      <c r="Q50">
        <v>29</v>
      </c>
      <c r="R50" s="46">
        <f t="shared" si="66"/>
        <v>0.51239893324302599</v>
      </c>
      <c r="S50" s="46">
        <f t="shared" si="65"/>
        <v>9.1499809507683189E-2</v>
      </c>
      <c r="T50" s="46">
        <f t="shared" si="65"/>
        <v>0.26424373419176822</v>
      </c>
      <c r="U50" s="46">
        <f t="shared" si="65"/>
        <v>7.6491607266038167E-2</v>
      </c>
      <c r="V50" s="46">
        <f t="shared" si="65"/>
        <v>4.551762013729977E-2</v>
      </c>
      <c r="W50" s="46">
        <f t="shared" si="65"/>
        <v>1.7069107551487415E-2</v>
      </c>
      <c r="X50" s="46">
        <f t="shared" si="65"/>
        <v>0.60967006392204193</v>
      </c>
      <c r="Y50" s="46">
        <f t="shared" si="65"/>
        <v>6.9962138482857275E-2</v>
      </c>
      <c r="Z50" s="46">
        <f t="shared" si="65"/>
        <v>0.27108057657259627</v>
      </c>
      <c r="AA50" s="46">
        <f t="shared" si="65"/>
        <v>6.9995739500912965E-2</v>
      </c>
      <c r="AC50" s="46">
        <f t="shared" si="29"/>
        <v>1.772906667567645</v>
      </c>
      <c r="AD50" s="46">
        <f t="shared" si="30"/>
        <v>0.25502266280806607</v>
      </c>
    </row>
    <row r="51" spans="17:30" x14ac:dyDescent="0.25">
      <c r="Q51">
        <v>30</v>
      </c>
      <c r="R51" s="46">
        <f>R17</f>
        <v>0.52210642170765786</v>
      </c>
      <c r="S51" s="46">
        <f t="shared" ref="S51:AA51" si="67">S17</f>
        <v>9.3233289590653176E-2</v>
      </c>
      <c r="T51" s="46">
        <f t="shared" si="67"/>
        <v>0.26429616003679007</v>
      </c>
      <c r="U51" s="46">
        <f t="shared" si="67"/>
        <v>7.6506783168544493E-2</v>
      </c>
      <c r="V51" s="46">
        <f t="shared" si="67"/>
        <v>4.5913043478260869E-2</v>
      </c>
      <c r="W51" s="46">
        <f t="shared" si="67"/>
        <v>1.7217391304347827E-2</v>
      </c>
      <c r="X51" s="46">
        <f t="shared" si="67"/>
        <v>0.60993864824996646</v>
      </c>
      <c r="Y51" s="46">
        <f t="shared" si="67"/>
        <v>6.9992959635242061E-2</v>
      </c>
      <c r="Z51" s="46">
        <f t="shared" si="67"/>
        <v>0.27420113768155963</v>
      </c>
      <c r="AA51" s="46">
        <f t="shared" si="67"/>
        <v>7.0000000000000007E-2</v>
      </c>
      <c r="AC51" s="46">
        <f t="shared" si="29"/>
        <v>1.786455411154235</v>
      </c>
      <c r="AD51" s="46">
        <f t="shared" si="30"/>
        <v>0.25695042369878757</v>
      </c>
    </row>
    <row r="52" spans="17:30" x14ac:dyDescent="0.25">
      <c r="Q52">
        <v>31</v>
      </c>
      <c r="R52" s="46">
        <f>R$17+((($Q52-$Q$51)/($Q$18-$Q$17))*(R$18-R$17))</f>
        <v>0.52377767430046995</v>
      </c>
      <c r="S52" s="46">
        <f t="shared" ref="S52:AA60" si="68">S$17+((($Q52-$Q$51)/($Q$18-$Q$17))*(S$18-S$17))</f>
        <v>9.3531727553655339E-2</v>
      </c>
      <c r="T52" s="46">
        <f t="shared" si="68"/>
        <v>0.26429965509312486</v>
      </c>
      <c r="U52" s="46">
        <f t="shared" si="68"/>
        <v>7.6507794895378248E-2</v>
      </c>
      <c r="V52" s="46">
        <f t="shared" si="68"/>
        <v>4.59954233409611E-2</v>
      </c>
      <c r="W52" s="46">
        <f t="shared" si="68"/>
        <v>1.7248283752860413E-2</v>
      </c>
      <c r="X52" s="46">
        <f t="shared" si="68"/>
        <v>0.60994478342496983</v>
      </c>
      <c r="Y52" s="46">
        <f t="shared" si="68"/>
        <v>6.999366367171786E-2</v>
      </c>
      <c r="Z52" s="46">
        <f t="shared" si="68"/>
        <v>0.27471143756558236</v>
      </c>
      <c r="AA52" s="46">
        <f t="shared" si="68"/>
        <v>7.0000000000000007E-2</v>
      </c>
      <c r="AC52" s="46">
        <f t="shared" si="29"/>
        <v>1.7887289737251082</v>
      </c>
      <c r="AD52" s="46">
        <f t="shared" si="30"/>
        <v>0.25728146987361189</v>
      </c>
    </row>
    <row r="53" spans="17:30" x14ac:dyDescent="0.25">
      <c r="Q53">
        <v>32</v>
      </c>
      <c r="R53" s="46">
        <f t="shared" ref="R53:R60" si="69">R$17+((($Q53-$Q$51)/($Q$18-$Q$17))*(R$18-R$17))</f>
        <v>0.52544892689328204</v>
      </c>
      <c r="S53" s="46">
        <f t="shared" si="68"/>
        <v>9.3830165516657488E-2</v>
      </c>
      <c r="T53" s="46">
        <f t="shared" si="68"/>
        <v>0.26430315014945965</v>
      </c>
      <c r="U53" s="46">
        <f t="shared" si="68"/>
        <v>7.6508806622212003E-2</v>
      </c>
      <c r="V53" s="46">
        <f t="shared" si="68"/>
        <v>4.6077803203661324E-2</v>
      </c>
      <c r="W53" s="46">
        <f t="shared" si="68"/>
        <v>1.7279176201372998E-2</v>
      </c>
      <c r="X53" s="46">
        <f t="shared" si="68"/>
        <v>0.60995091859997319</v>
      </c>
      <c r="Y53" s="46">
        <f t="shared" si="68"/>
        <v>6.9994367708193644E-2</v>
      </c>
      <c r="Z53" s="46">
        <f t="shared" si="68"/>
        <v>0.27522173744960515</v>
      </c>
      <c r="AA53" s="46">
        <f t="shared" si="68"/>
        <v>7.0000000000000007E-2</v>
      </c>
      <c r="AC53" s="46">
        <f t="shared" si="29"/>
        <v>1.7910025362959814</v>
      </c>
      <c r="AD53" s="46">
        <f t="shared" si="30"/>
        <v>0.25761251604843616</v>
      </c>
    </row>
    <row r="54" spans="17:30" x14ac:dyDescent="0.25">
      <c r="Q54">
        <v>33</v>
      </c>
      <c r="R54" s="46">
        <f t="shared" si="69"/>
        <v>0.52712017948609413</v>
      </c>
      <c r="S54" s="46">
        <f t="shared" si="68"/>
        <v>9.412860347965965E-2</v>
      </c>
      <c r="T54" s="46">
        <f t="shared" si="68"/>
        <v>0.26430664520579444</v>
      </c>
      <c r="U54" s="46">
        <f t="shared" si="68"/>
        <v>7.6509818349045758E-2</v>
      </c>
      <c r="V54" s="46">
        <f t="shared" si="68"/>
        <v>4.6160183066361556E-2</v>
      </c>
      <c r="W54" s="46">
        <f t="shared" si="68"/>
        <v>1.7310068649885584E-2</v>
      </c>
      <c r="X54" s="46">
        <f t="shared" si="68"/>
        <v>0.60995705377497655</v>
      </c>
      <c r="Y54" s="46">
        <f t="shared" si="68"/>
        <v>6.9995071744669443E-2</v>
      </c>
      <c r="Z54" s="46">
        <f t="shared" si="68"/>
        <v>0.27573203733362789</v>
      </c>
      <c r="AA54" s="46">
        <f t="shared" si="68"/>
        <v>7.0000000000000007E-2</v>
      </c>
      <c r="AC54" s="46">
        <f t="shared" si="29"/>
        <v>1.7932760988668546</v>
      </c>
      <c r="AD54" s="46">
        <f t="shared" si="30"/>
        <v>0.25794356222326043</v>
      </c>
    </row>
    <row r="55" spans="17:30" x14ac:dyDescent="0.25">
      <c r="Q55">
        <v>34</v>
      </c>
      <c r="R55" s="46">
        <f t="shared" si="69"/>
        <v>0.52879143207890622</v>
      </c>
      <c r="S55" s="46">
        <f t="shared" si="68"/>
        <v>9.4427041442661813E-2</v>
      </c>
      <c r="T55" s="46">
        <f t="shared" si="68"/>
        <v>0.26431014026212923</v>
      </c>
      <c r="U55" s="46">
        <f t="shared" si="68"/>
        <v>7.6510830075879513E-2</v>
      </c>
      <c r="V55" s="46">
        <f t="shared" si="68"/>
        <v>4.6242562929061787E-2</v>
      </c>
      <c r="W55" s="46">
        <f t="shared" si="68"/>
        <v>1.734096109839817E-2</v>
      </c>
      <c r="X55" s="46">
        <f t="shared" si="68"/>
        <v>0.60996318894997992</v>
      </c>
      <c r="Y55" s="46">
        <f t="shared" si="68"/>
        <v>6.9995775781145242E-2</v>
      </c>
      <c r="Z55" s="46">
        <f t="shared" si="68"/>
        <v>0.27624233721765068</v>
      </c>
      <c r="AA55" s="46">
        <f t="shared" si="68"/>
        <v>7.0000000000000007E-2</v>
      </c>
      <c r="AC55" s="46">
        <f t="shared" si="29"/>
        <v>1.7955496614377278</v>
      </c>
      <c r="AD55" s="46">
        <f t="shared" si="30"/>
        <v>0.25827460839808475</v>
      </c>
    </row>
    <row r="56" spans="17:30" x14ac:dyDescent="0.25">
      <c r="Q56">
        <v>35</v>
      </c>
      <c r="R56" s="46">
        <f t="shared" si="69"/>
        <v>0.53046268467171831</v>
      </c>
      <c r="S56" s="46">
        <f t="shared" si="68"/>
        <v>9.4725479405663976E-2</v>
      </c>
      <c r="T56" s="46">
        <f t="shared" si="68"/>
        <v>0.26431363531846402</v>
      </c>
      <c r="U56" s="46">
        <f t="shared" si="68"/>
        <v>7.6511841802713268E-2</v>
      </c>
      <c r="V56" s="46">
        <f t="shared" si="68"/>
        <v>4.6324942791762011E-2</v>
      </c>
      <c r="W56" s="46">
        <f t="shared" si="68"/>
        <v>1.7371853546910759E-2</v>
      </c>
      <c r="X56" s="46">
        <f t="shared" si="68"/>
        <v>0.60996932412498328</v>
      </c>
      <c r="Y56" s="46">
        <f t="shared" si="68"/>
        <v>6.9996479817621027E-2</v>
      </c>
      <c r="Z56" s="46">
        <f t="shared" si="68"/>
        <v>0.27675263710167342</v>
      </c>
      <c r="AA56" s="46">
        <f t="shared" si="68"/>
        <v>7.0000000000000007E-2</v>
      </c>
      <c r="AC56" s="46">
        <f t="shared" si="29"/>
        <v>1.797823224008601</v>
      </c>
      <c r="AD56" s="46">
        <f t="shared" si="30"/>
        <v>0.25860565457290907</v>
      </c>
    </row>
    <row r="57" spans="17:30" x14ac:dyDescent="0.25">
      <c r="Q57">
        <v>36</v>
      </c>
      <c r="R57" s="46">
        <f t="shared" si="69"/>
        <v>0.5321339372645304</v>
      </c>
      <c r="S57" s="46">
        <f t="shared" si="68"/>
        <v>9.5023917368666125E-2</v>
      </c>
      <c r="T57" s="46">
        <f t="shared" si="68"/>
        <v>0.26431713037479881</v>
      </c>
      <c r="U57" s="46">
        <f t="shared" si="68"/>
        <v>7.6512853529547023E-2</v>
      </c>
      <c r="V57" s="46">
        <f t="shared" si="68"/>
        <v>4.6407322654462242E-2</v>
      </c>
      <c r="W57" s="46">
        <f t="shared" si="68"/>
        <v>1.7402745995423345E-2</v>
      </c>
      <c r="X57" s="46">
        <f t="shared" si="68"/>
        <v>0.60997545929998653</v>
      </c>
      <c r="Y57" s="46">
        <f t="shared" si="68"/>
        <v>6.9997183854096826E-2</v>
      </c>
      <c r="Z57" s="46">
        <f t="shared" si="68"/>
        <v>0.27726293698569615</v>
      </c>
      <c r="AA57" s="46">
        <f t="shared" si="68"/>
        <v>7.0000000000000007E-2</v>
      </c>
      <c r="AC57" s="46">
        <f t="shared" si="29"/>
        <v>1.8000967865794741</v>
      </c>
      <c r="AD57" s="46">
        <f t="shared" si="30"/>
        <v>0.25893670074773334</v>
      </c>
    </row>
    <row r="58" spans="17:30" x14ac:dyDescent="0.25">
      <c r="Q58">
        <v>37</v>
      </c>
      <c r="R58" s="46">
        <f t="shared" si="69"/>
        <v>0.53380518985734249</v>
      </c>
      <c r="S58" s="46">
        <f t="shared" si="68"/>
        <v>9.5322355331668288E-2</v>
      </c>
      <c r="T58" s="46">
        <f t="shared" si="68"/>
        <v>0.2643206254311336</v>
      </c>
      <c r="U58" s="46">
        <f t="shared" si="68"/>
        <v>7.6513865256380778E-2</v>
      </c>
      <c r="V58" s="46">
        <f t="shared" si="68"/>
        <v>4.6489702517162473E-2</v>
      </c>
      <c r="W58" s="46">
        <f t="shared" si="68"/>
        <v>1.7433638443935931E-2</v>
      </c>
      <c r="X58" s="46">
        <f t="shared" si="68"/>
        <v>0.6099815944749899</v>
      </c>
      <c r="Y58" s="46">
        <f t="shared" si="68"/>
        <v>6.9997887890572624E-2</v>
      </c>
      <c r="Z58" s="46">
        <f t="shared" si="68"/>
        <v>0.27777323686971894</v>
      </c>
      <c r="AA58" s="46">
        <f t="shared" si="68"/>
        <v>7.0000000000000007E-2</v>
      </c>
      <c r="AC58" s="46">
        <f t="shared" si="29"/>
        <v>1.8023703491503476</v>
      </c>
      <c r="AD58" s="46">
        <f t="shared" si="30"/>
        <v>0.25926774692255761</v>
      </c>
    </row>
    <row r="59" spans="17:30" x14ac:dyDescent="0.25">
      <c r="Q59">
        <v>38</v>
      </c>
      <c r="R59" s="46">
        <f t="shared" si="69"/>
        <v>0.53547644245015458</v>
      </c>
      <c r="S59" s="46">
        <f t="shared" si="68"/>
        <v>9.562079329467045E-2</v>
      </c>
      <c r="T59" s="46">
        <f t="shared" si="68"/>
        <v>0.26432412048746839</v>
      </c>
      <c r="U59" s="46">
        <f t="shared" si="68"/>
        <v>7.6514876983214533E-2</v>
      </c>
      <c r="V59" s="46">
        <f t="shared" si="68"/>
        <v>4.6572082379862705E-2</v>
      </c>
      <c r="W59" s="46">
        <f t="shared" si="68"/>
        <v>1.7464530892448517E-2</v>
      </c>
      <c r="X59" s="46">
        <f t="shared" si="68"/>
        <v>0.60998772964999326</v>
      </c>
      <c r="Y59" s="46">
        <f t="shared" si="68"/>
        <v>6.9998591927048423E-2</v>
      </c>
      <c r="Z59" s="46">
        <f t="shared" si="68"/>
        <v>0.27828353675374168</v>
      </c>
      <c r="AA59" s="46">
        <f t="shared" si="68"/>
        <v>7.0000000000000007E-2</v>
      </c>
      <c r="AC59" s="46">
        <f t="shared" si="29"/>
        <v>1.8046439117212207</v>
      </c>
      <c r="AD59" s="46">
        <f t="shared" si="30"/>
        <v>0.25959879309738193</v>
      </c>
    </row>
    <row r="60" spans="17:30" x14ac:dyDescent="0.25">
      <c r="Q60">
        <v>39</v>
      </c>
      <c r="R60" s="46">
        <f t="shared" si="69"/>
        <v>0.53714769504296667</v>
      </c>
      <c r="S60" s="46">
        <f t="shared" si="68"/>
        <v>9.5919231257672599E-2</v>
      </c>
      <c r="T60" s="46">
        <f t="shared" si="68"/>
        <v>0.26432761554380318</v>
      </c>
      <c r="U60" s="46">
        <f t="shared" si="68"/>
        <v>7.6515888710048288E-2</v>
      </c>
      <c r="V60" s="46">
        <f t="shared" si="68"/>
        <v>4.6654462242562929E-2</v>
      </c>
      <c r="W60" s="46">
        <f t="shared" si="68"/>
        <v>1.7495423340961103E-2</v>
      </c>
      <c r="X60" s="46">
        <f t="shared" si="68"/>
        <v>0.60999386482499662</v>
      </c>
      <c r="Y60" s="46">
        <f t="shared" si="68"/>
        <v>6.9999295963524208E-2</v>
      </c>
      <c r="Z60" s="46">
        <f t="shared" si="68"/>
        <v>0.27879383663776447</v>
      </c>
      <c r="AA60" s="46">
        <f t="shared" si="68"/>
        <v>7.0000000000000007E-2</v>
      </c>
      <c r="AC60" s="46">
        <f t="shared" si="29"/>
        <v>1.8069174742920939</v>
      </c>
      <c r="AD60" s="46">
        <f t="shared" si="30"/>
        <v>0.2599298392722062</v>
      </c>
    </row>
    <row r="61" spans="17:30" x14ac:dyDescent="0.25">
      <c r="Q61">
        <v>40</v>
      </c>
      <c r="R61" s="46">
        <f>R18</f>
        <v>0.53881894763577876</v>
      </c>
      <c r="S61" s="46">
        <f t="shared" ref="S61:AA61" si="70">S18</f>
        <v>9.6217669220674762E-2</v>
      </c>
      <c r="T61" s="46">
        <f t="shared" si="70"/>
        <v>0.26433111060013798</v>
      </c>
      <c r="U61" s="46">
        <f t="shared" si="70"/>
        <v>7.6516900436882043E-2</v>
      </c>
      <c r="V61" s="46">
        <f t="shared" si="70"/>
        <v>4.673684210526316E-2</v>
      </c>
      <c r="W61" s="46">
        <f t="shared" si="70"/>
        <v>1.7526315789473688E-2</v>
      </c>
      <c r="X61" s="46">
        <f t="shared" si="70"/>
        <v>0.61</v>
      </c>
      <c r="Y61" s="46">
        <f t="shared" si="70"/>
        <v>7.0000000000000007E-2</v>
      </c>
      <c r="Z61" s="46">
        <f t="shared" si="70"/>
        <v>0.27930413652178721</v>
      </c>
      <c r="AA61" s="46">
        <f t="shared" si="70"/>
        <v>7.0000000000000007E-2</v>
      </c>
      <c r="AC61" s="46">
        <f t="shared" si="29"/>
        <v>1.8091910368629671</v>
      </c>
      <c r="AD61" s="46">
        <f t="shared" si="30"/>
        <v>0.26026088544703052</v>
      </c>
    </row>
    <row r="62" spans="17:30" x14ac:dyDescent="0.25">
      <c r="Q62">
        <v>41</v>
      </c>
      <c r="R62" s="46">
        <f>R$18+((($Q62-$Q$61)/($Q$19-$Q$18))*(R$19-R$18))</f>
        <v>0.53884028277526141</v>
      </c>
      <c r="S62" s="46">
        <f t="shared" ref="S62:AA70" si="71">S$18+((($Q62-$Q$61)/($Q$19-$Q$18))*(S$19-S$18))</f>
        <v>9.6221479067010965E-2</v>
      </c>
      <c r="T62" s="46">
        <f t="shared" si="71"/>
        <v>0.26433111060013798</v>
      </c>
      <c r="U62" s="46">
        <f t="shared" si="71"/>
        <v>7.6516900436882043E-2</v>
      </c>
      <c r="V62" s="46">
        <f t="shared" si="71"/>
        <v>4.6751487414187644E-2</v>
      </c>
      <c r="W62" s="46">
        <f t="shared" si="71"/>
        <v>1.7531807780320371E-2</v>
      </c>
      <c r="X62" s="46">
        <f t="shared" si="71"/>
        <v>0.61</v>
      </c>
      <c r="Y62" s="46">
        <f t="shared" si="71"/>
        <v>7.0000000000000007E-2</v>
      </c>
      <c r="Z62" s="46">
        <f t="shared" si="71"/>
        <v>0.27936908377975372</v>
      </c>
      <c r="AA62" s="46">
        <f t="shared" si="71"/>
        <v>7.0000000000000007E-2</v>
      </c>
      <c r="AC62" s="46">
        <f t="shared" si="29"/>
        <v>1.809291964569341</v>
      </c>
      <c r="AD62" s="46">
        <f t="shared" si="30"/>
        <v>0.26027018728421336</v>
      </c>
    </row>
    <row r="63" spans="17:30" x14ac:dyDescent="0.25">
      <c r="Q63">
        <v>42</v>
      </c>
      <c r="R63" s="46">
        <f t="shared" ref="R63:R70" si="72">R$18+((($Q63-$Q$61)/($Q$19-$Q$18))*(R$19-R$18))</f>
        <v>0.53886161791474418</v>
      </c>
      <c r="S63" s="46">
        <f t="shared" si="71"/>
        <v>9.6225288913347154E-2</v>
      </c>
      <c r="T63" s="46">
        <f t="shared" si="71"/>
        <v>0.26433111060013798</v>
      </c>
      <c r="U63" s="46">
        <f t="shared" si="71"/>
        <v>7.6516900436882043E-2</v>
      </c>
      <c r="V63" s="46">
        <f t="shared" si="71"/>
        <v>4.6766132723112128E-2</v>
      </c>
      <c r="W63" s="46">
        <f t="shared" si="71"/>
        <v>1.7537299771167053E-2</v>
      </c>
      <c r="X63" s="46">
        <f t="shared" si="71"/>
        <v>0.61</v>
      </c>
      <c r="Y63" s="46">
        <f t="shared" si="71"/>
        <v>7.0000000000000007E-2</v>
      </c>
      <c r="Z63" s="46">
        <f t="shared" si="71"/>
        <v>0.27943403103772024</v>
      </c>
      <c r="AA63" s="46">
        <f t="shared" si="71"/>
        <v>7.0000000000000007E-2</v>
      </c>
      <c r="AC63" s="46">
        <f t="shared" si="29"/>
        <v>1.8093928922757143</v>
      </c>
      <c r="AD63" s="46">
        <f t="shared" si="30"/>
        <v>0.26027948912139626</v>
      </c>
    </row>
    <row r="64" spans="17:30" x14ac:dyDescent="0.25">
      <c r="Q64">
        <v>43</v>
      </c>
      <c r="R64" s="46">
        <f t="shared" si="72"/>
        <v>0.53888295305422684</v>
      </c>
      <c r="S64" s="46">
        <f t="shared" si="71"/>
        <v>9.6229098759683357E-2</v>
      </c>
      <c r="T64" s="46">
        <f t="shared" si="71"/>
        <v>0.26433111060013798</v>
      </c>
      <c r="U64" s="46">
        <f t="shared" si="71"/>
        <v>7.6516900436882043E-2</v>
      </c>
      <c r="V64" s="46">
        <f t="shared" si="71"/>
        <v>4.6780778032036618E-2</v>
      </c>
      <c r="W64" s="46">
        <f t="shared" si="71"/>
        <v>1.7542791762013732E-2</v>
      </c>
      <c r="X64" s="46">
        <f t="shared" si="71"/>
        <v>0.61</v>
      </c>
      <c r="Y64" s="46">
        <f t="shared" si="71"/>
        <v>7.0000000000000007E-2</v>
      </c>
      <c r="Z64" s="46">
        <f t="shared" si="71"/>
        <v>0.27949897829568682</v>
      </c>
      <c r="AA64" s="46">
        <f t="shared" si="71"/>
        <v>7.0000000000000007E-2</v>
      </c>
      <c r="AC64" s="46">
        <f t="shared" si="29"/>
        <v>1.8094938199820885</v>
      </c>
      <c r="AD64" s="46">
        <f t="shared" si="30"/>
        <v>0.26028879095857915</v>
      </c>
    </row>
    <row r="65" spans="17:30" x14ac:dyDescent="0.25">
      <c r="Q65">
        <v>44</v>
      </c>
      <c r="R65" s="46">
        <f t="shared" si="72"/>
        <v>0.53890428819370961</v>
      </c>
      <c r="S65" s="46">
        <f t="shared" si="71"/>
        <v>9.623290860601956E-2</v>
      </c>
      <c r="T65" s="46">
        <f t="shared" si="71"/>
        <v>0.26433111060013798</v>
      </c>
      <c r="U65" s="46">
        <f t="shared" si="71"/>
        <v>7.6516900436882043E-2</v>
      </c>
      <c r="V65" s="46">
        <f t="shared" si="71"/>
        <v>4.6795423340961102E-2</v>
      </c>
      <c r="W65" s="46">
        <f t="shared" si="71"/>
        <v>1.7548283752860414E-2</v>
      </c>
      <c r="X65" s="46">
        <f t="shared" si="71"/>
        <v>0.61</v>
      </c>
      <c r="Y65" s="46">
        <f t="shared" si="71"/>
        <v>7.0000000000000007E-2</v>
      </c>
      <c r="Z65" s="46">
        <f t="shared" si="71"/>
        <v>0.27956392555365334</v>
      </c>
      <c r="AA65" s="46">
        <f t="shared" si="71"/>
        <v>7.0000000000000007E-2</v>
      </c>
      <c r="AC65" s="46">
        <f t="shared" si="29"/>
        <v>1.8095947476884622</v>
      </c>
      <c r="AD65" s="46">
        <f t="shared" si="30"/>
        <v>0.26029809279576199</v>
      </c>
    </row>
    <row r="66" spans="17:30" x14ac:dyDescent="0.25">
      <c r="Q66">
        <v>45</v>
      </c>
      <c r="R66" s="46">
        <f t="shared" si="72"/>
        <v>0.53892562333319227</v>
      </c>
      <c r="S66" s="46">
        <f t="shared" si="71"/>
        <v>9.6236718452355763E-2</v>
      </c>
      <c r="T66" s="46">
        <f t="shared" si="71"/>
        <v>0.26433111060013798</v>
      </c>
      <c r="U66" s="46">
        <f t="shared" si="71"/>
        <v>7.6516900436882043E-2</v>
      </c>
      <c r="V66" s="46">
        <f t="shared" si="71"/>
        <v>4.6810068649885586E-2</v>
      </c>
      <c r="W66" s="46">
        <f t="shared" si="71"/>
        <v>1.7553775743707097E-2</v>
      </c>
      <c r="X66" s="46">
        <f t="shared" si="71"/>
        <v>0.61</v>
      </c>
      <c r="Y66" s="46">
        <f t="shared" si="71"/>
        <v>7.0000000000000007E-2</v>
      </c>
      <c r="Z66" s="46">
        <f t="shared" si="71"/>
        <v>0.27962887281161986</v>
      </c>
      <c r="AA66" s="46">
        <f t="shared" si="71"/>
        <v>7.0000000000000007E-2</v>
      </c>
      <c r="AC66" s="46">
        <f t="shared" si="29"/>
        <v>1.8096956753948357</v>
      </c>
      <c r="AD66" s="46">
        <f t="shared" si="30"/>
        <v>0.26030739463294489</v>
      </c>
    </row>
    <row r="67" spans="17:30" x14ac:dyDescent="0.25">
      <c r="Q67">
        <v>46</v>
      </c>
      <c r="R67" s="46">
        <f t="shared" si="72"/>
        <v>0.53894695847267493</v>
      </c>
      <c r="S67" s="46">
        <f t="shared" si="71"/>
        <v>9.6240528298691952E-2</v>
      </c>
      <c r="T67" s="46">
        <f t="shared" si="71"/>
        <v>0.26433111060013798</v>
      </c>
      <c r="U67" s="46">
        <f t="shared" si="71"/>
        <v>7.6516900436882043E-2</v>
      </c>
      <c r="V67" s="46">
        <f t="shared" si="71"/>
        <v>4.682471395881007E-2</v>
      </c>
      <c r="W67" s="46">
        <f t="shared" si="71"/>
        <v>1.7559267734553779E-2</v>
      </c>
      <c r="X67" s="46">
        <f t="shared" si="71"/>
        <v>0.61</v>
      </c>
      <c r="Y67" s="46">
        <f t="shared" si="71"/>
        <v>7.0000000000000007E-2</v>
      </c>
      <c r="Z67" s="46">
        <f t="shared" si="71"/>
        <v>0.27969382006958637</v>
      </c>
      <c r="AA67" s="46">
        <f t="shared" si="71"/>
        <v>7.0000000000000007E-2</v>
      </c>
      <c r="AC67" s="46">
        <f t="shared" si="29"/>
        <v>1.8097966031012096</v>
      </c>
      <c r="AD67" s="46">
        <f t="shared" si="30"/>
        <v>0.26031669647012778</v>
      </c>
    </row>
    <row r="68" spans="17:30" x14ac:dyDescent="0.25">
      <c r="Q68">
        <v>47</v>
      </c>
      <c r="R68" s="46">
        <f t="shared" si="72"/>
        <v>0.5389682936121577</v>
      </c>
      <c r="S68" s="46">
        <f t="shared" si="71"/>
        <v>9.6244338145028155E-2</v>
      </c>
      <c r="T68" s="46">
        <f t="shared" si="71"/>
        <v>0.26433111060013798</v>
      </c>
      <c r="U68" s="46">
        <f t="shared" si="71"/>
        <v>7.6516900436882043E-2</v>
      </c>
      <c r="V68" s="46">
        <f t="shared" si="71"/>
        <v>4.6839359267734554E-2</v>
      </c>
      <c r="W68" s="46">
        <f t="shared" si="71"/>
        <v>1.7564759725400461E-2</v>
      </c>
      <c r="X68" s="46">
        <f t="shared" si="71"/>
        <v>0.61</v>
      </c>
      <c r="Y68" s="46">
        <f t="shared" si="71"/>
        <v>7.0000000000000007E-2</v>
      </c>
      <c r="Z68" s="46">
        <f t="shared" si="71"/>
        <v>0.27975876732755289</v>
      </c>
      <c r="AA68" s="46">
        <f t="shared" si="71"/>
        <v>7.0000000000000007E-2</v>
      </c>
      <c r="AC68" s="46">
        <f t="shared" si="29"/>
        <v>1.8098975308075829</v>
      </c>
      <c r="AD68" s="46">
        <f t="shared" si="30"/>
        <v>0.26032599830731068</v>
      </c>
    </row>
    <row r="69" spans="17:30" x14ac:dyDescent="0.25">
      <c r="Q69">
        <v>48</v>
      </c>
      <c r="R69" s="46">
        <f t="shared" si="72"/>
        <v>0.53898962875164036</v>
      </c>
      <c r="S69" s="46">
        <f t="shared" si="71"/>
        <v>9.6248147991364358E-2</v>
      </c>
      <c r="T69" s="46">
        <f t="shared" si="71"/>
        <v>0.26433111060013798</v>
      </c>
      <c r="U69" s="46">
        <f t="shared" si="71"/>
        <v>7.6516900436882043E-2</v>
      </c>
      <c r="V69" s="46">
        <f t="shared" si="71"/>
        <v>4.6854004576659045E-2</v>
      </c>
      <c r="W69" s="46">
        <f t="shared" si="71"/>
        <v>1.757025171624714E-2</v>
      </c>
      <c r="X69" s="46">
        <f t="shared" si="71"/>
        <v>0.61</v>
      </c>
      <c r="Y69" s="46">
        <f t="shared" si="71"/>
        <v>7.0000000000000007E-2</v>
      </c>
      <c r="Z69" s="46">
        <f t="shared" si="71"/>
        <v>0.27982371458551947</v>
      </c>
      <c r="AA69" s="46">
        <f t="shared" si="71"/>
        <v>7.0000000000000007E-2</v>
      </c>
      <c r="AC69" s="46">
        <f t="shared" si="29"/>
        <v>1.809998458513957</v>
      </c>
      <c r="AD69" s="46">
        <f t="shared" si="30"/>
        <v>0.26033530014449358</v>
      </c>
    </row>
    <row r="70" spans="17:30" x14ac:dyDescent="0.25">
      <c r="Q70">
        <v>49</v>
      </c>
      <c r="R70" s="46">
        <f t="shared" si="72"/>
        <v>0.53901096389112313</v>
      </c>
      <c r="S70" s="46">
        <f t="shared" si="71"/>
        <v>9.6251957837700547E-2</v>
      </c>
      <c r="T70" s="46">
        <f t="shared" si="71"/>
        <v>0.26433111060013798</v>
      </c>
      <c r="U70" s="46">
        <f t="shared" si="71"/>
        <v>7.6516900436882043E-2</v>
      </c>
      <c r="V70" s="46">
        <f t="shared" si="71"/>
        <v>4.6868649885583528E-2</v>
      </c>
      <c r="W70" s="46">
        <f t="shared" si="71"/>
        <v>1.7575743707093822E-2</v>
      </c>
      <c r="X70" s="46">
        <f t="shared" si="71"/>
        <v>0.61</v>
      </c>
      <c r="Y70" s="46">
        <f t="shared" si="71"/>
        <v>7.0000000000000007E-2</v>
      </c>
      <c r="Z70" s="46">
        <f t="shared" si="71"/>
        <v>0.27988866184348599</v>
      </c>
      <c r="AA70" s="46">
        <f t="shared" si="71"/>
        <v>7.0000000000000007E-2</v>
      </c>
      <c r="AC70" s="46">
        <f t="shared" si="29"/>
        <v>1.8100993862203307</v>
      </c>
      <c r="AD70" s="46">
        <f t="shared" si="30"/>
        <v>0.26034460198167642</v>
      </c>
    </row>
    <row r="71" spans="17:30" x14ac:dyDescent="0.25">
      <c r="Q71">
        <v>50</v>
      </c>
      <c r="R71" s="46">
        <f>R19</f>
        <v>0.53903229903060579</v>
      </c>
      <c r="S71" s="46">
        <f t="shared" ref="S71:AA71" si="73">S19</f>
        <v>9.625576768403675E-2</v>
      </c>
      <c r="T71" s="46">
        <f t="shared" si="73"/>
        <v>0.26433111060013798</v>
      </c>
      <c r="U71" s="46">
        <f t="shared" si="73"/>
        <v>7.6516900436882043E-2</v>
      </c>
      <c r="V71" s="46">
        <f t="shared" si="73"/>
        <v>4.6883295194508012E-2</v>
      </c>
      <c r="W71" s="46">
        <f t="shared" si="73"/>
        <v>1.7581235697940505E-2</v>
      </c>
      <c r="X71" s="46">
        <f t="shared" si="73"/>
        <v>0.61</v>
      </c>
      <c r="Y71" s="46">
        <f t="shared" si="73"/>
        <v>7.0000000000000007E-2</v>
      </c>
      <c r="Z71" s="46">
        <f t="shared" si="73"/>
        <v>0.27995360910145251</v>
      </c>
      <c r="AA71" s="46">
        <f t="shared" si="73"/>
        <v>7.0000000000000007E-2</v>
      </c>
      <c r="AC71" s="46">
        <f t="shared" si="29"/>
        <v>1.8102003139267042</v>
      </c>
      <c r="AD71" s="46">
        <f t="shared" si="30"/>
        <v>0.26035390381885931</v>
      </c>
    </row>
    <row r="72" spans="17:30" x14ac:dyDescent="0.25">
      <c r="Q72">
        <v>51</v>
      </c>
      <c r="R72" s="46">
        <f>R$19+((($Q72-$Q$71)/($Q$20-$Q$19))*(R$20-R$19))</f>
        <v>0.53903229903060579</v>
      </c>
      <c r="S72" s="46">
        <f t="shared" ref="S72:AA87" si="74">S$19+((($Q72-$Q$71)/($Q$20-$Q$19))*(S$20-S$19))</f>
        <v>9.625576768403675E-2</v>
      </c>
      <c r="T72" s="46">
        <f t="shared" si="74"/>
        <v>0.26433111060013798</v>
      </c>
      <c r="U72" s="46">
        <f t="shared" si="74"/>
        <v>7.6516900436882043E-2</v>
      </c>
      <c r="V72" s="46">
        <f t="shared" si="74"/>
        <v>4.6883661327231124E-2</v>
      </c>
      <c r="W72" s="46">
        <f t="shared" si="74"/>
        <v>1.7581372997711672E-2</v>
      </c>
      <c r="X72" s="46">
        <f t="shared" si="74"/>
        <v>0.61</v>
      </c>
      <c r="Y72" s="46">
        <f t="shared" si="74"/>
        <v>7.0000000000000007E-2</v>
      </c>
      <c r="Z72" s="46">
        <f t="shared" si="74"/>
        <v>0.27995453691942346</v>
      </c>
      <c r="AA72" s="46">
        <f t="shared" si="74"/>
        <v>7.0000000000000007E-2</v>
      </c>
      <c r="AC72" s="46">
        <f t="shared" si="29"/>
        <v>1.8102016078773984</v>
      </c>
      <c r="AD72" s="46">
        <f t="shared" si="30"/>
        <v>0.26035404111863047</v>
      </c>
    </row>
    <row r="73" spans="17:30" x14ac:dyDescent="0.25">
      <c r="Q73">
        <v>52</v>
      </c>
      <c r="R73" s="46">
        <f t="shared" ref="R73:AA88" si="75">R$19+((($Q73-$Q$71)/($Q$20-$Q$19))*(R$20-R$19))</f>
        <v>0.53903229903060579</v>
      </c>
      <c r="S73" s="46">
        <f t="shared" si="74"/>
        <v>9.625576768403675E-2</v>
      </c>
      <c r="T73" s="46">
        <f t="shared" si="74"/>
        <v>0.26433111060013798</v>
      </c>
      <c r="U73" s="46">
        <f t="shared" si="74"/>
        <v>7.6516900436882043E-2</v>
      </c>
      <c r="V73" s="46">
        <f t="shared" si="74"/>
        <v>4.6884027459954236E-2</v>
      </c>
      <c r="W73" s="46">
        <f t="shared" si="74"/>
        <v>1.7581510297482839E-2</v>
      </c>
      <c r="X73" s="46">
        <f t="shared" si="74"/>
        <v>0.61</v>
      </c>
      <c r="Y73" s="46">
        <f t="shared" si="74"/>
        <v>7.0000000000000007E-2</v>
      </c>
      <c r="Z73" s="46">
        <f t="shared" si="74"/>
        <v>0.27995546473739441</v>
      </c>
      <c r="AA73" s="46">
        <f t="shared" si="74"/>
        <v>7.0000000000000007E-2</v>
      </c>
      <c r="AC73" s="46">
        <f t="shared" si="29"/>
        <v>1.8102029018280927</v>
      </c>
      <c r="AD73" s="46">
        <f t="shared" si="30"/>
        <v>0.26035417841840164</v>
      </c>
    </row>
    <row r="74" spans="17:30" x14ac:dyDescent="0.25">
      <c r="Q74">
        <v>53</v>
      </c>
      <c r="R74" s="46">
        <f t="shared" si="75"/>
        <v>0.53903229903060579</v>
      </c>
      <c r="S74" s="46">
        <f t="shared" si="74"/>
        <v>9.625576768403675E-2</v>
      </c>
      <c r="T74" s="46">
        <f t="shared" si="74"/>
        <v>0.26433111060013798</v>
      </c>
      <c r="U74" s="46">
        <f t="shared" si="74"/>
        <v>7.6516900436882043E-2</v>
      </c>
      <c r="V74" s="46">
        <f t="shared" si="74"/>
        <v>4.6884393592677348E-2</v>
      </c>
      <c r="W74" s="46">
        <f t="shared" si="74"/>
        <v>1.7581647597254006E-2</v>
      </c>
      <c r="X74" s="46">
        <f t="shared" si="74"/>
        <v>0.61</v>
      </c>
      <c r="Y74" s="46">
        <f t="shared" si="74"/>
        <v>7.0000000000000007E-2</v>
      </c>
      <c r="Z74" s="46">
        <f t="shared" si="74"/>
        <v>0.27995639255536536</v>
      </c>
      <c r="AA74" s="46">
        <f t="shared" si="74"/>
        <v>7.0000000000000007E-2</v>
      </c>
      <c r="AC74" s="46">
        <f t="shared" si="29"/>
        <v>1.8102041957787867</v>
      </c>
      <c r="AD74" s="46">
        <f t="shared" si="30"/>
        <v>0.2603543157181728</v>
      </c>
    </row>
    <row r="75" spans="17:30" x14ac:dyDescent="0.25">
      <c r="Q75">
        <v>54</v>
      </c>
      <c r="R75" s="46">
        <f t="shared" si="75"/>
        <v>0.53903229903060579</v>
      </c>
      <c r="S75" s="46">
        <f t="shared" si="74"/>
        <v>9.625576768403675E-2</v>
      </c>
      <c r="T75" s="46">
        <f t="shared" si="74"/>
        <v>0.26433111060013798</v>
      </c>
      <c r="U75" s="46">
        <f t="shared" si="74"/>
        <v>7.6516900436882043E-2</v>
      </c>
      <c r="V75" s="46">
        <f t="shared" si="74"/>
        <v>4.688475972540046E-2</v>
      </c>
      <c r="W75" s="46">
        <f t="shared" si="74"/>
        <v>1.7581784897025172E-2</v>
      </c>
      <c r="X75" s="46">
        <f t="shared" si="74"/>
        <v>0.61</v>
      </c>
      <c r="Y75" s="46">
        <f t="shared" si="74"/>
        <v>7.0000000000000007E-2</v>
      </c>
      <c r="Z75" s="46">
        <f t="shared" si="74"/>
        <v>0.27995732037333632</v>
      </c>
      <c r="AA75" s="46">
        <f t="shared" si="74"/>
        <v>7.0000000000000007E-2</v>
      </c>
      <c r="AC75" s="46">
        <f t="shared" si="29"/>
        <v>1.8102054897294806</v>
      </c>
      <c r="AD75" s="46">
        <f t="shared" si="30"/>
        <v>0.26035445301794397</v>
      </c>
    </row>
    <row r="76" spans="17:30" x14ac:dyDescent="0.25">
      <c r="Q76">
        <v>55</v>
      </c>
      <c r="R76" s="46">
        <f t="shared" si="75"/>
        <v>0.53903229903060579</v>
      </c>
      <c r="S76" s="46">
        <f t="shared" si="74"/>
        <v>9.625576768403675E-2</v>
      </c>
      <c r="T76" s="46">
        <f t="shared" si="74"/>
        <v>0.26433111060013798</v>
      </c>
      <c r="U76" s="46">
        <f t="shared" si="74"/>
        <v>7.6516900436882043E-2</v>
      </c>
      <c r="V76" s="46">
        <f t="shared" si="74"/>
        <v>4.6885125858123572E-2</v>
      </c>
      <c r="W76" s="46">
        <f t="shared" si="74"/>
        <v>1.7581922196796339E-2</v>
      </c>
      <c r="X76" s="46">
        <f t="shared" si="74"/>
        <v>0.61</v>
      </c>
      <c r="Y76" s="46">
        <f t="shared" si="74"/>
        <v>7.0000000000000007E-2</v>
      </c>
      <c r="Z76" s="46">
        <f t="shared" si="74"/>
        <v>0.27995824819130727</v>
      </c>
      <c r="AA76" s="46">
        <f t="shared" si="74"/>
        <v>7.0000000000000007E-2</v>
      </c>
      <c r="AC76" s="46">
        <f t="shared" si="29"/>
        <v>1.8102067836801747</v>
      </c>
      <c r="AD76" s="46">
        <f t="shared" si="30"/>
        <v>0.26035459031771513</v>
      </c>
    </row>
    <row r="77" spans="17:30" x14ac:dyDescent="0.25">
      <c r="Q77">
        <v>56</v>
      </c>
      <c r="R77" s="46">
        <f t="shared" si="75"/>
        <v>0.53903229903060579</v>
      </c>
      <c r="S77" s="46">
        <f t="shared" si="74"/>
        <v>9.625576768403675E-2</v>
      </c>
      <c r="T77" s="46">
        <f t="shared" si="74"/>
        <v>0.26433111060013798</v>
      </c>
      <c r="U77" s="46">
        <f t="shared" si="74"/>
        <v>7.6516900436882043E-2</v>
      </c>
      <c r="V77" s="46">
        <f t="shared" si="74"/>
        <v>4.6885491990846684E-2</v>
      </c>
      <c r="W77" s="46">
        <f t="shared" si="74"/>
        <v>1.7582059496567506E-2</v>
      </c>
      <c r="X77" s="46">
        <f t="shared" si="74"/>
        <v>0.61</v>
      </c>
      <c r="Y77" s="46">
        <f t="shared" si="74"/>
        <v>7.0000000000000007E-2</v>
      </c>
      <c r="Z77" s="46">
        <f t="shared" si="74"/>
        <v>0.27995917600927822</v>
      </c>
      <c r="AA77" s="46">
        <f t="shared" si="74"/>
        <v>7.0000000000000007E-2</v>
      </c>
      <c r="AC77" s="46">
        <f t="shared" si="29"/>
        <v>1.8102080776308689</v>
      </c>
      <c r="AD77" s="46">
        <f t="shared" si="30"/>
        <v>0.26035472761748629</v>
      </c>
    </row>
    <row r="78" spans="17:30" x14ac:dyDescent="0.25">
      <c r="Q78">
        <v>57</v>
      </c>
      <c r="R78" s="46">
        <f t="shared" si="75"/>
        <v>0.53903229903060579</v>
      </c>
      <c r="S78" s="46">
        <f t="shared" si="74"/>
        <v>9.625576768403675E-2</v>
      </c>
      <c r="T78" s="46">
        <f t="shared" si="74"/>
        <v>0.26433111060013798</v>
      </c>
      <c r="U78" s="46">
        <f t="shared" si="74"/>
        <v>7.6516900436882043E-2</v>
      </c>
      <c r="V78" s="46">
        <f t="shared" si="74"/>
        <v>4.6885858123569796E-2</v>
      </c>
      <c r="W78" s="46">
        <f t="shared" si="74"/>
        <v>1.7582196796338673E-2</v>
      </c>
      <c r="X78" s="46">
        <f t="shared" si="74"/>
        <v>0.61</v>
      </c>
      <c r="Y78" s="46">
        <f t="shared" si="74"/>
        <v>7.0000000000000007E-2</v>
      </c>
      <c r="Z78" s="46">
        <f t="shared" si="74"/>
        <v>0.27996010382724917</v>
      </c>
      <c r="AA78" s="46">
        <f t="shared" si="74"/>
        <v>7.0000000000000007E-2</v>
      </c>
      <c r="AC78" s="46">
        <f t="shared" si="29"/>
        <v>1.8102093715815628</v>
      </c>
      <c r="AD78" s="46">
        <f t="shared" si="30"/>
        <v>0.26035486491725746</v>
      </c>
    </row>
    <row r="79" spans="17:30" x14ac:dyDescent="0.25">
      <c r="Q79">
        <v>58</v>
      </c>
      <c r="R79" s="46">
        <f t="shared" si="75"/>
        <v>0.53903229903060579</v>
      </c>
      <c r="S79" s="46">
        <f t="shared" si="74"/>
        <v>9.625576768403675E-2</v>
      </c>
      <c r="T79" s="46">
        <f t="shared" si="74"/>
        <v>0.26433111060013798</v>
      </c>
      <c r="U79" s="46">
        <f t="shared" si="74"/>
        <v>7.6516900436882043E-2</v>
      </c>
      <c r="V79" s="46">
        <f t="shared" si="74"/>
        <v>4.6886224256292908E-2</v>
      </c>
      <c r="W79" s="46">
        <f t="shared" si="74"/>
        <v>1.758233409610984E-2</v>
      </c>
      <c r="X79" s="46">
        <f t="shared" si="74"/>
        <v>0.61</v>
      </c>
      <c r="Y79" s="46">
        <f t="shared" si="74"/>
        <v>7.0000000000000007E-2</v>
      </c>
      <c r="Z79" s="46">
        <f t="shared" si="74"/>
        <v>0.27996103164522013</v>
      </c>
      <c r="AA79" s="46">
        <f t="shared" si="74"/>
        <v>7.0000000000000007E-2</v>
      </c>
      <c r="AC79" s="46">
        <f t="shared" si="29"/>
        <v>1.810210665532257</v>
      </c>
      <c r="AD79" s="46">
        <f t="shared" si="30"/>
        <v>0.26035500221702867</v>
      </c>
    </row>
    <row r="80" spans="17:30" x14ac:dyDescent="0.25">
      <c r="Q80">
        <v>59</v>
      </c>
      <c r="R80" s="46">
        <f t="shared" si="75"/>
        <v>0.53903229903060579</v>
      </c>
      <c r="S80" s="46">
        <f t="shared" si="74"/>
        <v>9.625576768403675E-2</v>
      </c>
      <c r="T80" s="46">
        <f t="shared" si="74"/>
        <v>0.26433111060013798</v>
      </c>
      <c r="U80" s="46">
        <f t="shared" si="74"/>
        <v>7.6516900436882043E-2</v>
      </c>
      <c r="V80" s="46">
        <f t="shared" si="74"/>
        <v>4.688659038901602E-2</v>
      </c>
      <c r="W80" s="46">
        <f t="shared" si="74"/>
        <v>1.7582471395881007E-2</v>
      </c>
      <c r="X80" s="46">
        <f t="shared" si="74"/>
        <v>0.61</v>
      </c>
      <c r="Y80" s="46">
        <f t="shared" si="74"/>
        <v>7.0000000000000007E-2</v>
      </c>
      <c r="Z80" s="46">
        <f t="shared" si="74"/>
        <v>0.27996195946319108</v>
      </c>
      <c r="AA80" s="46">
        <f t="shared" si="74"/>
        <v>7.0000000000000007E-2</v>
      </c>
      <c r="AC80" s="46">
        <f t="shared" si="29"/>
        <v>1.8102119594829509</v>
      </c>
      <c r="AD80" s="46">
        <f t="shared" si="30"/>
        <v>0.26035513951679978</v>
      </c>
    </row>
    <row r="81" spans="17:30" x14ac:dyDescent="0.25">
      <c r="Q81">
        <v>60</v>
      </c>
      <c r="R81" s="46">
        <f t="shared" si="75"/>
        <v>0.53903229903060579</v>
      </c>
      <c r="S81" s="46">
        <f t="shared" si="74"/>
        <v>9.625576768403675E-2</v>
      </c>
      <c r="T81" s="46">
        <f t="shared" si="74"/>
        <v>0.26433111060013798</v>
      </c>
      <c r="U81" s="46">
        <f t="shared" si="74"/>
        <v>7.6516900436882043E-2</v>
      </c>
      <c r="V81" s="46">
        <f t="shared" si="74"/>
        <v>4.6886956521739132E-2</v>
      </c>
      <c r="W81" s="46">
        <f t="shared" si="74"/>
        <v>1.7582608695652174E-2</v>
      </c>
      <c r="X81" s="46">
        <f t="shared" si="74"/>
        <v>0.61</v>
      </c>
      <c r="Y81" s="46">
        <f t="shared" si="74"/>
        <v>7.0000000000000007E-2</v>
      </c>
      <c r="Z81" s="46">
        <f t="shared" si="74"/>
        <v>0.27996288728116203</v>
      </c>
      <c r="AA81" s="46">
        <f t="shared" si="74"/>
        <v>7.0000000000000007E-2</v>
      </c>
      <c r="AC81" s="46">
        <f t="shared" si="29"/>
        <v>1.810213253433645</v>
      </c>
      <c r="AD81" s="46">
        <f t="shared" si="30"/>
        <v>0.260355276816571</v>
      </c>
    </row>
    <row r="82" spans="17:30" x14ac:dyDescent="0.25">
      <c r="Q82">
        <v>61</v>
      </c>
      <c r="R82" s="46">
        <f t="shared" si="75"/>
        <v>0.53903229903060579</v>
      </c>
      <c r="S82" s="46">
        <f t="shared" si="74"/>
        <v>9.625576768403675E-2</v>
      </c>
      <c r="T82" s="46">
        <f t="shared" si="74"/>
        <v>0.26433111060013798</v>
      </c>
      <c r="U82" s="46">
        <f t="shared" si="74"/>
        <v>7.6516900436882043E-2</v>
      </c>
      <c r="V82" s="46">
        <f t="shared" si="74"/>
        <v>4.6887322654462243E-2</v>
      </c>
      <c r="W82" s="46">
        <f t="shared" si="74"/>
        <v>1.7582745995423341E-2</v>
      </c>
      <c r="X82" s="46">
        <f t="shared" si="74"/>
        <v>0.61</v>
      </c>
      <c r="Y82" s="46">
        <f t="shared" si="74"/>
        <v>7.0000000000000007E-2</v>
      </c>
      <c r="Z82" s="46">
        <f t="shared" si="74"/>
        <v>0.27996381509913298</v>
      </c>
      <c r="AA82" s="46">
        <f t="shared" si="74"/>
        <v>7.0000000000000007E-2</v>
      </c>
      <c r="AC82" s="46">
        <f t="shared" si="29"/>
        <v>1.8102145473843392</v>
      </c>
      <c r="AD82" s="46">
        <f t="shared" si="30"/>
        <v>0.26035541411634211</v>
      </c>
    </row>
    <row r="83" spans="17:30" x14ac:dyDescent="0.25">
      <c r="Q83">
        <v>62</v>
      </c>
      <c r="R83" s="46">
        <f t="shared" si="75"/>
        <v>0.53903229903060579</v>
      </c>
      <c r="S83" s="46">
        <f t="shared" si="74"/>
        <v>9.625576768403675E-2</v>
      </c>
      <c r="T83" s="46">
        <f t="shared" si="74"/>
        <v>0.26433111060013798</v>
      </c>
      <c r="U83" s="46">
        <f t="shared" si="74"/>
        <v>7.6516900436882043E-2</v>
      </c>
      <c r="V83" s="46">
        <f t="shared" si="74"/>
        <v>4.6887688787185355E-2</v>
      </c>
      <c r="W83" s="46">
        <f t="shared" si="74"/>
        <v>1.7582883295194508E-2</v>
      </c>
      <c r="X83" s="46">
        <f t="shared" si="74"/>
        <v>0.61</v>
      </c>
      <c r="Y83" s="46">
        <f t="shared" si="74"/>
        <v>7.0000000000000007E-2</v>
      </c>
      <c r="Z83" s="46">
        <f t="shared" si="74"/>
        <v>0.27996474291710394</v>
      </c>
      <c r="AA83" s="46">
        <f t="shared" si="74"/>
        <v>7.0000000000000007E-2</v>
      </c>
      <c r="AC83" s="46">
        <f t="shared" si="29"/>
        <v>1.8102158413350333</v>
      </c>
      <c r="AD83" s="46">
        <f t="shared" si="30"/>
        <v>0.26035555141611333</v>
      </c>
    </row>
    <row r="84" spans="17:30" x14ac:dyDescent="0.25">
      <c r="Q84">
        <v>63</v>
      </c>
      <c r="R84" s="46">
        <f t="shared" si="75"/>
        <v>0.53903229903060579</v>
      </c>
      <c r="S84" s="46">
        <f t="shared" si="74"/>
        <v>9.625576768403675E-2</v>
      </c>
      <c r="T84" s="46">
        <f t="shared" si="74"/>
        <v>0.26433111060013798</v>
      </c>
      <c r="U84" s="46">
        <f t="shared" si="74"/>
        <v>7.6516900436882043E-2</v>
      </c>
      <c r="V84" s="46">
        <f t="shared" si="74"/>
        <v>4.6888054919908467E-2</v>
      </c>
      <c r="W84" s="46">
        <f t="shared" si="74"/>
        <v>1.7583020594965675E-2</v>
      </c>
      <c r="X84" s="46">
        <f t="shared" si="74"/>
        <v>0.61</v>
      </c>
      <c r="Y84" s="46">
        <f t="shared" si="74"/>
        <v>7.0000000000000007E-2</v>
      </c>
      <c r="Z84" s="46">
        <f t="shared" si="74"/>
        <v>0.27996567073507483</v>
      </c>
      <c r="AA84" s="46">
        <f t="shared" si="74"/>
        <v>7.0000000000000007E-2</v>
      </c>
      <c r="AC84" s="46">
        <f t="shared" si="29"/>
        <v>1.810217135285727</v>
      </c>
      <c r="AD84" s="46">
        <f t="shared" si="30"/>
        <v>0.26035568871588444</v>
      </c>
    </row>
    <row r="85" spans="17:30" x14ac:dyDescent="0.25">
      <c r="Q85">
        <v>64</v>
      </c>
      <c r="R85" s="46">
        <f t="shared" si="75"/>
        <v>0.53903229903060579</v>
      </c>
      <c r="S85" s="46">
        <f t="shared" si="74"/>
        <v>9.625576768403675E-2</v>
      </c>
      <c r="T85" s="46">
        <f t="shared" si="74"/>
        <v>0.26433111060013798</v>
      </c>
      <c r="U85" s="46">
        <f t="shared" si="74"/>
        <v>7.6516900436882043E-2</v>
      </c>
      <c r="V85" s="46">
        <f t="shared" si="74"/>
        <v>4.6888421052631579E-2</v>
      </c>
      <c r="W85" s="46">
        <f t="shared" si="74"/>
        <v>1.7583157894736842E-2</v>
      </c>
      <c r="X85" s="46">
        <f t="shared" si="74"/>
        <v>0.61</v>
      </c>
      <c r="Y85" s="46">
        <f t="shared" si="74"/>
        <v>7.0000000000000007E-2</v>
      </c>
      <c r="Z85" s="46">
        <f t="shared" si="74"/>
        <v>0.27996659855304579</v>
      </c>
      <c r="AA85" s="46">
        <f t="shared" si="74"/>
        <v>7.0000000000000007E-2</v>
      </c>
      <c r="AC85" s="46">
        <f t="shared" si="29"/>
        <v>1.8102184292364212</v>
      </c>
      <c r="AD85" s="46">
        <f t="shared" si="30"/>
        <v>0.26035582601565566</v>
      </c>
    </row>
    <row r="86" spans="17:30" x14ac:dyDescent="0.25">
      <c r="Q86">
        <v>65</v>
      </c>
      <c r="R86" s="46">
        <f t="shared" si="75"/>
        <v>0.53903229903060579</v>
      </c>
      <c r="S86" s="46">
        <f t="shared" si="74"/>
        <v>9.625576768403675E-2</v>
      </c>
      <c r="T86" s="46">
        <f t="shared" si="74"/>
        <v>0.26433111060013798</v>
      </c>
      <c r="U86" s="46">
        <f t="shared" si="74"/>
        <v>7.6516900436882043E-2</v>
      </c>
      <c r="V86" s="46">
        <f t="shared" si="74"/>
        <v>4.6888787185354691E-2</v>
      </c>
      <c r="W86" s="46">
        <f t="shared" si="74"/>
        <v>1.7583295194508009E-2</v>
      </c>
      <c r="X86" s="46">
        <f t="shared" si="74"/>
        <v>0.61</v>
      </c>
      <c r="Y86" s="46">
        <f t="shared" si="74"/>
        <v>7.0000000000000007E-2</v>
      </c>
      <c r="Z86" s="46">
        <f t="shared" si="74"/>
        <v>0.27996752637101674</v>
      </c>
      <c r="AA86" s="46">
        <f t="shared" si="74"/>
        <v>7.0000000000000007E-2</v>
      </c>
      <c r="AC86" s="46">
        <f t="shared" si="29"/>
        <v>1.8102197231871153</v>
      </c>
      <c r="AD86" s="46">
        <f t="shared" si="30"/>
        <v>0.26035596331542682</v>
      </c>
    </row>
    <row r="87" spans="17:30" x14ac:dyDescent="0.25">
      <c r="Q87">
        <v>66</v>
      </c>
      <c r="R87" s="46">
        <f t="shared" si="75"/>
        <v>0.53903229903060579</v>
      </c>
      <c r="S87" s="46">
        <f t="shared" si="74"/>
        <v>9.625576768403675E-2</v>
      </c>
      <c r="T87" s="46">
        <f t="shared" si="74"/>
        <v>0.26433111060013798</v>
      </c>
      <c r="U87" s="46">
        <f t="shared" si="74"/>
        <v>7.6516900436882043E-2</v>
      </c>
      <c r="V87" s="46">
        <f t="shared" si="74"/>
        <v>4.6889153318077803E-2</v>
      </c>
      <c r="W87" s="46">
        <f t="shared" si="74"/>
        <v>1.7583432494279176E-2</v>
      </c>
      <c r="X87" s="46">
        <f t="shared" si="74"/>
        <v>0.61</v>
      </c>
      <c r="Y87" s="46">
        <f t="shared" si="74"/>
        <v>7.0000000000000007E-2</v>
      </c>
      <c r="Z87" s="46">
        <f t="shared" si="74"/>
        <v>0.27996845418898769</v>
      </c>
      <c r="AA87" s="46">
        <f t="shared" si="74"/>
        <v>7.0000000000000007E-2</v>
      </c>
      <c r="AC87" s="46">
        <f t="shared" ref="AC87:AC121" si="76">R87+T87+V87+X87+Z87+AA87</f>
        <v>1.8102210171378093</v>
      </c>
      <c r="AD87" s="46">
        <f t="shared" ref="AD87:AD121" si="77">S87+U87+W87+Y87</f>
        <v>0.26035610061519798</v>
      </c>
    </row>
    <row r="88" spans="17:30" x14ac:dyDescent="0.25">
      <c r="Q88">
        <v>67</v>
      </c>
      <c r="R88" s="46">
        <f t="shared" si="75"/>
        <v>0.53903229903060579</v>
      </c>
      <c r="S88" s="46">
        <f t="shared" si="75"/>
        <v>9.625576768403675E-2</v>
      </c>
      <c r="T88" s="46">
        <f t="shared" si="75"/>
        <v>0.26433111060013798</v>
      </c>
      <c r="U88" s="46">
        <f t="shared" si="75"/>
        <v>7.6516900436882043E-2</v>
      </c>
      <c r="V88" s="46">
        <f t="shared" si="75"/>
        <v>4.6889519450800915E-2</v>
      </c>
      <c r="W88" s="46">
        <f t="shared" si="75"/>
        <v>1.7583569794050343E-2</v>
      </c>
      <c r="X88" s="46">
        <f t="shared" si="75"/>
        <v>0.61</v>
      </c>
      <c r="Y88" s="46">
        <f t="shared" si="75"/>
        <v>7.0000000000000007E-2</v>
      </c>
      <c r="Z88" s="46">
        <f t="shared" si="75"/>
        <v>0.27996938200695864</v>
      </c>
      <c r="AA88" s="46">
        <f t="shared" si="75"/>
        <v>7.0000000000000007E-2</v>
      </c>
      <c r="AC88" s="46">
        <f t="shared" si="76"/>
        <v>1.8102223110885034</v>
      </c>
      <c r="AD88" s="46">
        <f t="shared" si="77"/>
        <v>0.26035623791496915</v>
      </c>
    </row>
    <row r="89" spans="17:30" x14ac:dyDescent="0.25">
      <c r="Q89">
        <v>68</v>
      </c>
      <c r="R89" s="46">
        <f t="shared" ref="R89:AA104" si="78">R$19+((($Q89-$Q$71)/($Q$20-$Q$19))*(R$20-R$19))</f>
        <v>0.53903229903060579</v>
      </c>
      <c r="S89" s="46">
        <f t="shared" si="78"/>
        <v>9.625576768403675E-2</v>
      </c>
      <c r="T89" s="46">
        <f t="shared" si="78"/>
        <v>0.26433111060013798</v>
      </c>
      <c r="U89" s="46">
        <f t="shared" si="78"/>
        <v>7.6516900436882043E-2</v>
      </c>
      <c r="V89" s="46">
        <f t="shared" si="78"/>
        <v>4.6889885583524027E-2</v>
      </c>
      <c r="W89" s="46">
        <f t="shared" si="78"/>
        <v>1.758370709382151E-2</v>
      </c>
      <c r="X89" s="46">
        <f t="shared" si="78"/>
        <v>0.61</v>
      </c>
      <c r="Y89" s="46">
        <f t="shared" si="78"/>
        <v>7.0000000000000007E-2</v>
      </c>
      <c r="Z89" s="46">
        <f t="shared" si="78"/>
        <v>0.2799703098249296</v>
      </c>
      <c r="AA89" s="46">
        <f t="shared" si="78"/>
        <v>7.0000000000000007E-2</v>
      </c>
      <c r="AC89" s="46">
        <f t="shared" si="76"/>
        <v>1.8102236050391975</v>
      </c>
      <c r="AD89" s="46">
        <f t="shared" si="77"/>
        <v>0.26035637521474031</v>
      </c>
    </row>
    <row r="90" spans="17:30" x14ac:dyDescent="0.25">
      <c r="Q90">
        <v>69</v>
      </c>
      <c r="R90" s="46">
        <f t="shared" si="78"/>
        <v>0.53903229903060579</v>
      </c>
      <c r="S90" s="46">
        <f t="shared" si="78"/>
        <v>9.625576768403675E-2</v>
      </c>
      <c r="T90" s="46">
        <f t="shared" si="78"/>
        <v>0.26433111060013798</v>
      </c>
      <c r="U90" s="46">
        <f t="shared" si="78"/>
        <v>7.6516900436882043E-2</v>
      </c>
      <c r="V90" s="46">
        <f t="shared" si="78"/>
        <v>4.6890251716247139E-2</v>
      </c>
      <c r="W90" s="46">
        <f t="shared" si="78"/>
        <v>1.7583844393592677E-2</v>
      </c>
      <c r="X90" s="46">
        <f t="shared" si="78"/>
        <v>0.61</v>
      </c>
      <c r="Y90" s="46">
        <f t="shared" si="78"/>
        <v>7.0000000000000007E-2</v>
      </c>
      <c r="Z90" s="46">
        <f t="shared" si="78"/>
        <v>0.27997123764290055</v>
      </c>
      <c r="AA90" s="46">
        <f t="shared" si="78"/>
        <v>7.0000000000000007E-2</v>
      </c>
      <c r="AC90" s="46">
        <f t="shared" si="76"/>
        <v>1.8102248989898915</v>
      </c>
      <c r="AD90" s="46">
        <f t="shared" si="77"/>
        <v>0.26035651251451147</v>
      </c>
    </row>
    <row r="91" spans="17:30" x14ac:dyDescent="0.25">
      <c r="Q91">
        <v>70</v>
      </c>
      <c r="R91" s="46">
        <f t="shared" si="78"/>
        <v>0.53903229903060579</v>
      </c>
      <c r="S91" s="46">
        <f t="shared" si="78"/>
        <v>9.625576768403675E-2</v>
      </c>
      <c r="T91" s="46">
        <f t="shared" si="78"/>
        <v>0.26433111060013798</v>
      </c>
      <c r="U91" s="46">
        <f t="shared" si="78"/>
        <v>7.6516900436882043E-2</v>
      </c>
      <c r="V91" s="46">
        <f t="shared" si="78"/>
        <v>4.6890617848970251E-2</v>
      </c>
      <c r="W91" s="46">
        <f t="shared" si="78"/>
        <v>1.7583981693363844E-2</v>
      </c>
      <c r="X91" s="46">
        <f t="shared" si="78"/>
        <v>0.61</v>
      </c>
      <c r="Y91" s="46">
        <f t="shared" si="78"/>
        <v>7.0000000000000007E-2</v>
      </c>
      <c r="Z91" s="46">
        <f t="shared" si="78"/>
        <v>0.2799721654608715</v>
      </c>
      <c r="AA91" s="46">
        <f t="shared" si="78"/>
        <v>7.0000000000000007E-2</v>
      </c>
      <c r="AC91" s="46">
        <f t="shared" si="76"/>
        <v>1.8102261929405856</v>
      </c>
      <c r="AD91" s="46">
        <f t="shared" si="77"/>
        <v>0.26035664981428264</v>
      </c>
    </row>
    <row r="92" spans="17:30" x14ac:dyDescent="0.25">
      <c r="Q92">
        <v>71</v>
      </c>
      <c r="R92" s="46">
        <f t="shared" si="78"/>
        <v>0.53903229903060579</v>
      </c>
      <c r="S92" s="46">
        <f t="shared" si="78"/>
        <v>9.625576768403675E-2</v>
      </c>
      <c r="T92" s="46">
        <f t="shared" si="78"/>
        <v>0.26433111060013798</v>
      </c>
      <c r="U92" s="46">
        <f t="shared" si="78"/>
        <v>7.6516900436882043E-2</v>
      </c>
      <c r="V92" s="46">
        <f t="shared" si="78"/>
        <v>4.6890983981693363E-2</v>
      </c>
      <c r="W92" s="46">
        <f t="shared" si="78"/>
        <v>1.7584118993135011E-2</v>
      </c>
      <c r="X92" s="46">
        <f t="shared" si="78"/>
        <v>0.61</v>
      </c>
      <c r="Y92" s="46">
        <f t="shared" si="78"/>
        <v>7.0000000000000007E-2</v>
      </c>
      <c r="Z92" s="46">
        <f t="shared" si="78"/>
        <v>0.27997309327884246</v>
      </c>
      <c r="AA92" s="46">
        <f t="shared" si="78"/>
        <v>7.0000000000000007E-2</v>
      </c>
      <c r="AC92" s="46">
        <f t="shared" si="76"/>
        <v>1.8102274868912798</v>
      </c>
      <c r="AD92" s="46">
        <f t="shared" si="77"/>
        <v>0.2603567871140538</v>
      </c>
    </row>
    <row r="93" spans="17:30" x14ac:dyDescent="0.25">
      <c r="Q93">
        <v>72</v>
      </c>
      <c r="R93" s="46">
        <f t="shared" si="78"/>
        <v>0.53903229903060579</v>
      </c>
      <c r="S93" s="46">
        <f t="shared" si="78"/>
        <v>9.625576768403675E-2</v>
      </c>
      <c r="T93" s="46">
        <f t="shared" si="78"/>
        <v>0.26433111060013798</v>
      </c>
      <c r="U93" s="46">
        <f t="shared" si="78"/>
        <v>7.6516900436882043E-2</v>
      </c>
      <c r="V93" s="46">
        <f t="shared" si="78"/>
        <v>4.6891350114416475E-2</v>
      </c>
      <c r="W93" s="46">
        <f t="shared" si="78"/>
        <v>1.7584256292906178E-2</v>
      </c>
      <c r="X93" s="46">
        <f t="shared" si="78"/>
        <v>0.61</v>
      </c>
      <c r="Y93" s="46">
        <f t="shared" si="78"/>
        <v>7.0000000000000007E-2</v>
      </c>
      <c r="Z93" s="46">
        <f t="shared" si="78"/>
        <v>0.27997402109681341</v>
      </c>
      <c r="AA93" s="46">
        <f t="shared" si="78"/>
        <v>7.0000000000000007E-2</v>
      </c>
      <c r="AC93" s="46">
        <f t="shared" si="76"/>
        <v>1.8102287808419737</v>
      </c>
      <c r="AD93" s="46">
        <f t="shared" si="77"/>
        <v>0.26035692441382496</v>
      </c>
    </row>
    <row r="94" spans="17:30" x14ac:dyDescent="0.25">
      <c r="Q94">
        <v>73</v>
      </c>
      <c r="R94" s="46">
        <f t="shared" si="78"/>
        <v>0.53903229903060579</v>
      </c>
      <c r="S94" s="46">
        <f t="shared" si="78"/>
        <v>9.625576768403675E-2</v>
      </c>
      <c r="T94" s="46">
        <f t="shared" si="78"/>
        <v>0.26433111060013798</v>
      </c>
      <c r="U94" s="46">
        <f t="shared" si="78"/>
        <v>7.6516900436882043E-2</v>
      </c>
      <c r="V94" s="46">
        <f t="shared" si="78"/>
        <v>4.6891716247139587E-2</v>
      </c>
      <c r="W94" s="46">
        <f t="shared" si="78"/>
        <v>1.7584393592677345E-2</v>
      </c>
      <c r="X94" s="46">
        <f t="shared" si="78"/>
        <v>0.61</v>
      </c>
      <c r="Y94" s="46">
        <f t="shared" si="78"/>
        <v>7.0000000000000007E-2</v>
      </c>
      <c r="Z94" s="46">
        <f t="shared" si="78"/>
        <v>0.27997494891478436</v>
      </c>
      <c r="AA94" s="46">
        <f t="shared" si="78"/>
        <v>7.0000000000000007E-2</v>
      </c>
      <c r="AC94" s="46">
        <f t="shared" si="76"/>
        <v>1.8102300747926676</v>
      </c>
      <c r="AD94" s="46">
        <f t="shared" si="77"/>
        <v>0.26035706171359618</v>
      </c>
    </row>
    <row r="95" spans="17:30" x14ac:dyDescent="0.25">
      <c r="Q95">
        <v>74</v>
      </c>
      <c r="R95" s="46">
        <f t="shared" si="78"/>
        <v>0.53903229903060579</v>
      </c>
      <c r="S95" s="46">
        <f t="shared" si="78"/>
        <v>9.625576768403675E-2</v>
      </c>
      <c r="T95" s="46">
        <f t="shared" si="78"/>
        <v>0.26433111060013798</v>
      </c>
      <c r="U95" s="46">
        <f t="shared" si="78"/>
        <v>7.6516900436882043E-2</v>
      </c>
      <c r="V95" s="46">
        <f t="shared" si="78"/>
        <v>4.6892082379862698E-2</v>
      </c>
      <c r="W95" s="46">
        <f t="shared" si="78"/>
        <v>1.7584530892448512E-2</v>
      </c>
      <c r="X95" s="46">
        <f t="shared" si="78"/>
        <v>0.61</v>
      </c>
      <c r="Y95" s="46">
        <f t="shared" si="78"/>
        <v>7.0000000000000007E-2</v>
      </c>
      <c r="Z95" s="46">
        <f t="shared" si="78"/>
        <v>0.27997587673275531</v>
      </c>
      <c r="AA95" s="46">
        <f t="shared" si="78"/>
        <v>7.0000000000000007E-2</v>
      </c>
      <c r="AC95" s="46">
        <f t="shared" si="76"/>
        <v>1.810231368743362</v>
      </c>
      <c r="AD95" s="46">
        <f t="shared" si="77"/>
        <v>0.26035719901336729</v>
      </c>
    </row>
    <row r="96" spans="17:30" x14ac:dyDescent="0.25">
      <c r="Q96">
        <v>75</v>
      </c>
      <c r="R96" s="46">
        <f t="shared" si="78"/>
        <v>0.53903229903060579</v>
      </c>
      <c r="S96" s="46">
        <f t="shared" si="78"/>
        <v>9.625576768403675E-2</v>
      </c>
      <c r="T96" s="46">
        <f t="shared" si="78"/>
        <v>0.26433111060013798</v>
      </c>
      <c r="U96" s="46">
        <f t="shared" si="78"/>
        <v>7.6516900436882043E-2</v>
      </c>
      <c r="V96" s="46">
        <f t="shared" si="78"/>
        <v>4.689244851258581E-2</v>
      </c>
      <c r="W96" s="46">
        <f t="shared" si="78"/>
        <v>1.7584668192219682E-2</v>
      </c>
      <c r="X96" s="46">
        <f t="shared" si="78"/>
        <v>0.61</v>
      </c>
      <c r="Y96" s="46">
        <f t="shared" si="78"/>
        <v>7.0000000000000007E-2</v>
      </c>
      <c r="Z96" s="46">
        <f t="shared" si="78"/>
        <v>0.27997680455072627</v>
      </c>
      <c r="AA96" s="46">
        <f t="shared" si="78"/>
        <v>7.0000000000000007E-2</v>
      </c>
      <c r="AC96" s="46">
        <f t="shared" si="76"/>
        <v>1.8102326626940559</v>
      </c>
      <c r="AD96" s="46">
        <f t="shared" si="77"/>
        <v>0.26035733631313851</v>
      </c>
    </row>
    <row r="97" spans="17:30" x14ac:dyDescent="0.25">
      <c r="Q97">
        <v>76</v>
      </c>
      <c r="R97" s="46">
        <f t="shared" si="78"/>
        <v>0.53903229903060579</v>
      </c>
      <c r="S97" s="46">
        <f t="shared" si="78"/>
        <v>9.625576768403675E-2</v>
      </c>
      <c r="T97" s="46">
        <f t="shared" si="78"/>
        <v>0.26433111060013798</v>
      </c>
      <c r="U97" s="46">
        <f t="shared" si="78"/>
        <v>7.6516900436882043E-2</v>
      </c>
      <c r="V97" s="46">
        <f t="shared" si="78"/>
        <v>4.6892814645308929E-2</v>
      </c>
      <c r="W97" s="46">
        <f t="shared" si="78"/>
        <v>1.7584805491990849E-2</v>
      </c>
      <c r="X97" s="46">
        <f t="shared" si="78"/>
        <v>0.61</v>
      </c>
      <c r="Y97" s="46">
        <f t="shared" si="78"/>
        <v>7.0000000000000007E-2</v>
      </c>
      <c r="Z97" s="46">
        <f t="shared" si="78"/>
        <v>0.27997773236869722</v>
      </c>
      <c r="AA97" s="46">
        <f t="shared" si="78"/>
        <v>7.0000000000000007E-2</v>
      </c>
      <c r="AC97" s="46">
        <f t="shared" si="76"/>
        <v>1.8102339566447498</v>
      </c>
      <c r="AD97" s="46">
        <f t="shared" si="77"/>
        <v>0.26035747361290962</v>
      </c>
    </row>
    <row r="98" spans="17:30" x14ac:dyDescent="0.25">
      <c r="Q98">
        <v>77</v>
      </c>
      <c r="R98" s="46">
        <f t="shared" si="78"/>
        <v>0.53903229903060579</v>
      </c>
      <c r="S98" s="46">
        <f t="shared" si="78"/>
        <v>9.625576768403675E-2</v>
      </c>
      <c r="T98" s="46">
        <f t="shared" si="78"/>
        <v>0.26433111060013798</v>
      </c>
      <c r="U98" s="46">
        <f t="shared" si="78"/>
        <v>7.6516900436882043E-2</v>
      </c>
      <c r="V98" s="46">
        <f t="shared" si="78"/>
        <v>4.6893180778032041E-2</v>
      </c>
      <c r="W98" s="46">
        <f t="shared" si="78"/>
        <v>1.7584942791762016E-2</v>
      </c>
      <c r="X98" s="46">
        <f t="shared" si="78"/>
        <v>0.61</v>
      </c>
      <c r="Y98" s="46">
        <f t="shared" si="78"/>
        <v>7.0000000000000007E-2</v>
      </c>
      <c r="Z98" s="46">
        <f t="shared" si="78"/>
        <v>0.27997866018666817</v>
      </c>
      <c r="AA98" s="46">
        <f t="shared" si="78"/>
        <v>7.0000000000000007E-2</v>
      </c>
      <c r="AC98" s="46">
        <f t="shared" si="76"/>
        <v>1.8102352505954442</v>
      </c>
      <c r="AD98" s="46">
        <f t="shared" si="77"/>
        <v>0.26035761091268084</v>
      </c>
    </row>
    <row r="99" spans="17:30" x14ac:dyDescent="0.25">
      <c r="Q99">
        <v>78</v>
      </c>
      <c r="R99" s="46">
        <f t="shared" si="78"/>
        <v>0.53903229903060579</v>
      </c>
      <c r="S99" s="46">
        <f t="shared" si="78"/>
        <v>9.625576768403675E-2</v>
      </c>
      <c r="T99" s="46">
        <f t="shared" si="78"/>
        <v>0.26433111060013798</v>
      </c>
      <c r="U99" s="46">
        <f t="shared" si="78"/>
        <v>7.6516900436882043E-2</v>
      </c>
      <c r="V99" s="46">
        <f t="shared" si="78"/>
        <v>4.6893546910755153E-2</v>
      </c>
      <c r="W99" s="46">
        <f t="shared" si="78"/>
        <v>1.7585080091533183E-2</v>
      </c>
      <c r="X99" s="46">
        <f t="shared" si="78"/>
        <v>0.61</v>
      </c>
      <c r="Y99" s="46">
        <f t="shared" si="78"/>
        <v>7.0000000000000007E-2</v>
      </c>
      <c r="Z99" s="46">
        <f t="shared" si="78"/>
        <v>0.27997958800463912</v>
      </c>
      <c r="AA99" s="46">
        <f t="shared" si="78"/>
        <v>7.0000000000000007E-2</v>
      </c>
      <c r="AC99" s="46">
        <f t="shared" si="76"/>
        <v>1.8102365445461384</v>
      </c>
      <c r="AD99" s="46">
        <f t="shared" si="77"/>
        <v>0.26035774821245194</v>
      </c>
    </row>
    <row r="100" spans="17:30" x14ac:dyDescent="0.25">
      <c r="Q100">
        <v>79</v>
      </c>
      <c r="R100" s="46">
        <f t="shared" si="78"/>
        <v>0.53903229903060579</v>
      </c>
      <c r="S100" s="46">
        <f t="shared" si="78"/>
        <v>9.625576768403675E-2</v>
      </c>
      <c r="T100" s="46">
        <f t="shared" si="78"/>
        <v>0.26433111060013798</v>
      </c>
      <c r="U100" s="46">
        <f t="shared" si="78"/>
        <v>7.6516900436882043E-2</v>
      </c>
      <c r="V100" s="46">
        <f t="shared" si="78"/>
        <v>4.6893913043478265E-2</v>
      </c>
      <c r="W100" s="46">
        <f t="shared" si="78"/>
        <v>1.758521739130435E-2</v>
      </c>
      <c r="X100" s="46">
        <f t="shared" si="78"/>
        <v>0.61</v>
      </c>
      <c r="Y100" s="46">
        <f t="shared" si="78"/>
        <v>7.0000000000000007E-2</v>
      </c>
      <c r="Z100" s="46">
        <f t="shared" si="78"/>
        <v>0.27998051582261008</v>
      </c>
      <c r="AA100" s="46">
        <f t="shared" si="78"/>
        <v>7.0000000000000007E-2</v>
      </c>
      <c r="AC100" s="46">
        <f t="shared" si="76"/>
        <v>1.8102378384968321</v>
      </c>
      <c r="AD100" s="46">
        <f t="shared" si="77"/>
        <v>0.26035788551222316</v>
      </c>
    </row>
    <row r="101" spans="17:30" x14ac:dyDescent="0.25">
      <c r="Q101">
        <v>80</v>
      </c>
      <c r="R101" s="46">
        <f t="shared" si="78"/>
        <v>0.53903229903060579</v>
      </c>
      <c r="S101" s="46">
        <f t="shared" si="78"/>
        <v>9.625576768403675E-2</v>
      </c>
      <c r="T101" s="46">
        <f t="shared" si="78"/>
        <v>0.26433111060013798</v>
      </c>
      <c r="U101" s="46">
        <f t="shared" si="78"/>
        <v>7.6516900436882043E-2</v>
      </c>
      <c r="V101" s="46">
        <f t="shared" si="78"/>
        <v>4.6894279176201377E-2</v>
      </c>
      <c r="W101" s="46">
        <f t="shared" si="78"/>
        <v>1.7585354691075517E-2</v>
      </c>
      <c r="X101" s="46">
        <f t="shared" si="78"/>
        <v>0.61</v>
      </c>
      <c r="Y101" s="46">
        <f t="shared" si="78"/>
        <v>7.0000000000000007E-2</v>
      </c>
      <c r="Z101" s="46">
        <f t="shared" si="78"/>
        <v>0.27998144364058103</v>
      </c>
      <c r="AA101" s="46">
        <f t="shared" si="78"/>
        <v>7.0000000000000007E-2</v>
      </c>
      <c r="AC101" s="46">
        <f t="shared" si="76"/>
        <v>1.8102391324475262</v>
      </c>
      <c r="AD101" s="46">
        <f t="shared" si="77"/>
        <v>0.26035802281199433</v>
      </c>
    </row>
    <row r="102" spans="17:30" x14ac:dyDescent="0.25">
      <c r="Q102">
        <v>81</v>
      </c>
      <c r="R102" s="46">
        <f t="shared" si="78"/>
        <v>0.53903229903060579</v>
      </c>
      <c r="S102" s="46">
        <f t="shared" si="78"/>
        <v>9.625576768403675E-2</v>
      </c>
      <c r="T102" s="46">
        <f t="shared" si="78"/>
        <v>0.26433111060013798</v>
      </c>
      <c r="U102" s="46">
        <f t="shared" si="78"/>
        <v>7.6516900436882043E-2</v>
      </c>
      <c r="V102" s="46">
        <f t="shared" si="78"/>
        <v>4.6894645308924489E-2</v>
      </c>
      <c r="W102" s="46">
        <f t="shared" si="78"/>
        <v>1.7585491990846684E-2</v>
      </c>
      <c r="X102" s="46">
        <f t="shared" si="78"/>
        <v>0.61</v>
      </c>
      <c r="Y102" s="46">
        <f t="shared" si="78"/>
        <v>7.0000000000000007E-2</v>
      </c>
      <c r="Z102" s="46">
        <f t="shared" si="78"/>
        <v>0.27998237145855198</v>
      </c>
      <c r="AA102" s="46">
        <f t="shared" si="78"/>
        <v>7.0000000000000007E-2</v>
      </c>
      <c r="AC102" s="46">
        <f t="shared" si="76"/>
        <v>1.8102404263982204</v>
      </c>
      <c r="AD102" s="46">
        <f t="shared" si="77"/>
        <v>0.26035816011176549</v>
      </c>
    </row>
    <row r="103" spans="17:30" x14ac:dyDescent="0.25">
      <c r="Q103">
        <v>82</v>
      </c>
      <c r="R103" s="46">
        <f t="shared" si="78"/>
        <v>0.53903229903060579</v>
      </c>
      <c r="S103" s="46">
        <f t="shared" si="78"/>
        <v>9.625576768403675E-2</v>
      </c>
      <c r="T103" s="46">
        <f t="shared" si="78"/>
        <v>0.26433111060013798</v>
      </c>
      <c r="U103" s="46">
        <f t="shared" si="78"/>
        <v>7.6516900436882043E-2</v>
      </c>
      <c r="V103" s="46">
        <f t="shared" si="78"/>
        <v>4.6895011441647601E-2</v>
      </c>
      <c r="W103" s="46">
        <f t="shared" si="78"/>
        <v>1.7585629290617851E-2</v>
      </c>
      <c r="X103" s="46">
        <f t="shared" si="78"/>
        <v>0.61</v>
      </c>
      <c r="Y103" s="46">
        <f t="shared" si="78"/>
        <v>7.0000000000000007E-2</v>
      </c>
      <c r="Z103" s="46">
        <f t="shared" si="78"/>
        <v>0.27998329927652293</v>
      </c>
      <c r="AA103" s="46">
        <f t="shared" si="78"/>
        <v>7.0000000000000007E-2</v>
      </c>
      <c r="AC103" s="46">
        <f t="shared" si="76"/>
        <v>1.8102417203489145</v>
      </c>
      <c r="AD103" s="46">
        <f t="shared" si="77"/>
        <v>0.26035829741153665</v>
      </c>
    </row>
    <row r="104" spans="17:30" x14ac:dyDescent="0.25">
      <c r="Q104">
        <v>83</v>
      </c>
      <c r="R104" s="46">
        <f t="shared" si="78"/>
        <v>0.53903229903060579</v>
      </c>
      <c r="S104" s="46">
        <f t="shared" si="78"/>
        <v>9.625576768403675E-2</v>
      </c>
      <c r="T104" s="46">
        <f t="shared" si="78"/>
        <v>0.26433111060013798</v>
      </c>
      <c r="U104" s="46">
        <f t="shared" si="78"/>
        <v>7.6516900436882043E-2</v>
      </c>
      <c r="V104" s="46">
        <f t="shared" si="78"/>
        <v>4.6895377574370713E-2</v>
      </c>
      <c r="W104" s="46">
        <f t="shared" si="78"/>
        <v>1.7585766590389018E-2</v>
      </c>
      <c r="X104" s="46">
        <f t="shared" si="78"/>
        <v>0.61</v>
      </c>
      <c r="Y104" s="46">
        <f t="shared" si="78"/>
        <v>7.0000000000000007E-2</v>
      </c>
      <c r="Z104" s="46">
        <f t="shared" si="78"/>
        <v>0.27998422709449389</v>
      </c>
      <c r="AA104" s="46">
        <f t="shared" si="78"/>
        <v>7.0000000000000007E-2</v>
      </c>
      <c r="AC104" s="46">
        <f t="shared" si="76"/>
        <v>1.8102430142996084</v>
      </c>
      <c r="AD104" s="46">
        <f t="shared" si="77"/>
        <v>0.26035843471130782</v>
      </c>
    </row>
    <row r="105" spans="17:30" x14ac:dyDescent="0.25">
      <c r="Q105">
        <v>84</v>
      </c>
      <c r="R105" s="46">
        <f t="shared" ref="R105:AA120" si="79">R$19+((($Q105-$Q$71)/($Q$20-$Q$19))*(R$20-R$19))</f>
        <v>0.53903229903060579</v>
      </c>
      <c r="S105" s="46">
        <f t="shared" si="79"/>
        <v>9.625576768403675E-2</v>
      </c>
      <c r="T105" s="46">
        <f t="shared" si="79"/>
        <v>0.26433111060013798</v>
      </c>
      <c r="U105" s="46">
        <f t="shared" si="79"/>
        <v>7.6516900436882043E-2</v>
      </c>
      <c r="V105" s="46">
        <f t="shared" si="79"/>
        <v>4.6895743707093825E-2</v>
      </c>
      <c r="W105" s="46">
        <f t="shared" si="79"/>
        <v>1.7585903890160185E-2</v>
      </c>
      <c r="X105" s="46">
        <f t="shared" si="79"/>
        <v>0.61</v>
      </c>
      <c r="Y105" s="46">
        <f t="shared" si="79"/>
        <v>7.0000000000000007E-2</v>
      </c>
      <c r="Z105" s="46">
        <f t="shared" si="79"/>
        <v>0.27998515491246484</v>
      </c>
      <c r="AA105" s="46">
        <f t="shared" si="79"/>
        <v>7.0000000000000007E-2</v>
      </c>
      <c r="AC105" s="46">
        <f t="shared" si="76"/>
        <v>1.8102443082503026</v>
      </c>
      <c r="AD105" s="46">
        <f t="shared" si="77"/>
        <v>0.26035857201107898</v>
      </c>
    </row>
    <row r="106" spans="17:30" x14ac:dyDescent="0.25">
      <c r="Q106">
        <v>85</v>
      </c>
      <c r="R106" s="46">
        <f t="shared" si="79"/>
        <v>0.53903229903060579</v>
      </c>
      <c r="S106" s="46">
        <f t="shared" si="79"/>
        <v>9.625576768403675E-2</v>
      </c>
      <c r="T106" s="46">
        <f t="shared" si="79"/>
        <v>0.26433111060013798</v>
      </c>
      <c r="U106" s="46">
        <f t="shared" si="79"/>
        <v>7.6516900436882043E-2</v>
      </c>
      <c r="V106" s="46">
        <f t="shared" si="79"/>
        <v>4.6896109839816937E-2</v>
      </c>
      <c r="W106" s="46">
        <f t="shared" si="79"/>
        <v>1.7586041189931352E-2</v>
      </c>
      <c r="X106" s="46">
        <f t="shared" si="79"/>
        <v>0.61</v>
      </c>
      <c r="Y106" s="46">
        <f t="shared" si="79"/>
        <v>7.0000000000000007E-2</v>
      </c>
      <c r="Z106" s="46">
        <f t="shared" si="79"/>
        <v>0.27998608273043579</v>
      </c>
      <c r="AA106" s="46">
        <f t="shared" si="79"/>
        <v>7.0000000000000007E-2</v>
      </c>
      <c r="AC106" s="46">
        <f t="shared" si="76"/>
        <v>1.8102456022009965</v>
      </c>
      <c r="AD106" s="46">
        <f t="shared" si="77"/>
        <v>0.26035870931085014</v>
      </c>
    </row>
    <row r="107" spans="17:30" x14ac:dyDescent="0.25">
      <c r="Q107">
        <v>86</v>
      </c>
      <c r="R107" s="46">
        <f t="shared" si="79"/>
        <v>0.53903229903060579</v>
      </c>
      <c r="S107" s="46">
        <f t="shared" si="79"/>
        <v>9.625576768403675E-2</v>
      </c>
      <c r="T107" s="46">
        <f t="shared" si="79"/>
        <v>0.26433111060013798</v>
      </c>
      <c r="U107" s="46">
        <f t="shared" si="79"/>
        <v>7.6516900436882043E-2</v>
      </c>
      <c r="V107" s="46">
        <f t="shared" si="79"/>
        <v>4.6896475972540048E-2</v>
      </c>
      <c r="W107" s="46">
        <f t="shared" si="79"/>
        <v>1.7586178489702519E-2</v>
      </c>
      <c r="X107" s="46">
        <f t="shared" si="79"/>
        <v>0.61</v>
      </c>
      <c r="Y107" s="46">
        <f t="shared" si="79"/>
        <v>7.0000000000000007E-2</v>
      </c>
      <c r="Z107" s="46">
        <f t="shared" si="79"/>
        <v>0.27998701054840675</v>
      </c>
      <c r="AA107" s="46">
        <f t="shared" si="79"/>
        <v>7.0000000000000007E-2</v>
      </c>
      <c r="AC107" s="46">
        <f t="shared" si="76"/>
        <v>1.8102468961516907</v>
      </c>
      <c r="AD107" s="46">
        <f t="shared" si="77"/>
        <v>0.26035884661062131</v>
      </c>
    </row>
    <row r="108" spans="17:30" x14ac:dyDescent="0.25">
      <c r="Q108">
        <v>87</v>
      </c>
      <c r="R108" s="46">
        <f t="shared" si="79"/>
        <v>0.53903229903060579</v>
      </c>
      <c r="S108" s="46">
        <f t="shared" si="79"/>
        <v>9.625576768403675E-2</v>
      </c>
      <c r="T108" s="46">
        <f t="shared" si="79"/>
        <v>0.26433111060013798</v>
      </c>
      <c r="U108" s="46">
        <f t="shared" si="79"/>
        <v>7.6516900436882043E-2</v>
      </c>
      <c r="V108" s="46">
        <f t="shared" si="79"/>
        <v>4.689684210526316E-2</v>
      </c>
      <c r="W108" s="46">
        <f t="shared" si="79"/>
        <v>1.7586315789473686E-2</v>
      </c>
      <c r="X108" s="46">
        <f t="shared" si="79"/>
        <v>0.61</v>
      </c>
      <c r="Y108" s="46">
        <f t="shared" si="79"/>
        <v>7.0000000000000007E-2</v>
      </c>
      <c r="Z108" s="46">
        <f t="shared" si="79"/>
        <v>0.2799879383663777</v>
      </c>
      <c r="AA108" s="46">
        <f t="shared" si="79"/>
        <v>7.0000000000000007E-2</v>
      </c>
      <c r="AC108" s="46">
        <f t="shared" si="76"/>
        <v>1.8102481901023848</v>
      </c>
      <c r="AD108" s="46">
        <f t="shared" si="77"/>
        <v>0.26035898391039247</v>
      </c>
    </row>
    <row r="109" spans="17:30" x14ac:dyDescent="0.25">
      <c r="Q109">
        <v>88</v>
      </c>
      <c r="R109" s="46">
        <f t="shared" si="79"/>
        <v>0.53903229903060579</v>
      </c>
      <c r="S109" s="46">
        <f t="shared" si="79"/>
        <v>9.625576768403675E-2</v>
      </c>
      <c r="T109" s="46">
        <f t="shared" si="79"/>
        <v>0.26433111060013798</v>
      </c>
      <c r="U109" s="46">
        <f t="shared" si="79"/>
        <v>7.6516900436882043E-2</v>
      </c>
      <c r="V109" s="46">
        <f t="shared" si="79"/>
        <v>4.6897208237986272E-2</v>
      </c>
      <c r="W109" s="46">
        <f t="shared" si="79"/>
        <v>1.7586453089244853E-2</v>
      </c>
      <c r="X109" s="46">
        <f t="shared" si="79"/>
        <v>0.61</v>
      </c>
      <c r="Y109" s="46">
        <f t="shared" si="79"/>
        <v>7.0000000000000007E-2</v>
      </c>
      <c r="Z109" s="46">
        <f t="shared" si="79"/>
        <v>0.27998886618434859</v>
      </c>
      <c r="AA109" s="46">
        <f t="shared" si="79"/>
        <v>7.0000000000000007E-2</v>
      </c>
      <c r="AC109" s="46">
        <f t="shared" si="76"/>
        <v>1.8102494840530787</v>
      </c>
      <c r="AD109" s="46">
        <f t="shared" si="77"/>
        <v>0.26035912121016369</v>
      </c>
    </row>
    <row r="110" spans="17:30" x14ac:dyDescent="0.25">
      <c r="Q110">
        <v>89</v>
      </c>
      <c r="R110" s="46">
        <f t="shared" si="79"/>
        <v>0.53903229903060579</v>
      </c>
      <c r="S110" s="46">
        <f t="shared" si="79"/>
        <v>9.625576768403675E-2</v>
      </c>
      <c r="T110" s="46">
        <f t="shared" si="79"/>
        <v>0.26433111060013798</v>
      </c>
      <c r="U110" s="46">
        <f t="shared" si="79"/>
        <v>7.6516900436882043E-2</v>
      </c>
      <c r="V110" s="46">
        <f t="shared" si="79"/>
        <v>4.6897574370709384E-2</v>
      </c>
      <c r="W110" s="46">
        <f t="shared" si="79"/>
        <v>1.758659038901602E-2</v>
      </c>
      <c r="X110" s="46">
        <f t="shared" si="79"/>
        <v>0.61</v>
      </c>
      <c r="Y110" s="46">
        <f t="shared" si="79"/>
        <v>7.0000000000000007E-2</v>
      </c>
      <c r="Z110" s="46">
        <f t="shared" si="79"/>
        <v>0.27998979400231955</v>
      </c>
      <c r="AA110" s="46">
        <f t="shared" si="79"/>
        <v>7.0000000000000007E-2</v>
      </c>
      <c r="AC110" s="46">
        <f t="shared" si="76"/>
        <v>1.8102507780037727</v>
      </c>
      <c r="AD110" s="46">
        <f t="shared" si="77"/>
        <v>0.2603592585099348</v>
      </c>
    </row>
    <row r="111" spans="17:30" x14ac:dyDescent="0.25">
      <c r="Q111">
        <v>90</v>
      </c>
      <c r="R111" s="46">
        <f t="shared" si="79"/>
        <v>0.53903229903060579</v>
      </c>
      <c r="S111" s="46">
        <f t="shared" si="79"/>
        <v>9.625576768403675E-2</v>
      </c>
      <c r="T111" s="46">
        <f t="shared" si="79"/>
        <v>0.26433111060013798</v>
      </c>
      <c r="U111" s="46">
        <f t="shared" si="79"/>
        <v>7.6516900436882043E-2</v>
      </c>
      <c r="V111" s="46">
        <f t="shared" si="79"/>
        <v>4.6897940503432496E-2</v>
      </c>
      <c r="W111" s="46">
        <f t="shared" si="79"/>
        <v>1.7586727688787187E-2</v>
      </c>
      <c r="X111" s="46">
        <f t="shared" si="79"/>
        <v>0.61</v>
      </c>
      <c r="Y111" s="46">
        <f t="shared" si="79"/>
        <v>7.0000000000000007E-2</v>
      </c>
      <c r="Z111" s="46">
        <f t="shared" si="79"/>
        <v>0.2799907218202905</v>
      </c>
      <c r="AA111" s="46">
        <f t="shared" si="79"/>
        <v>7.0000000000000007E-2</v>
      </c>
      <c r="AC111" s="46">
        <f t="shared" si="76"/>
        <v>1.8102520719544668</v>
      </c>
      <c r="AD111" s="46">
        <f t="shared" si="77"/>
        <v>0.26035939580970602</v>
      </c>
    </row>
    <row r="112" spans="17:30" x14ac:dyDescent="0.25">
      <c r="Q112">
        <v>91</v>
      </c>
      <c r="R112" s="46">
        <f t="shared" si="79"/>
        <v>0.53903229903060579</v>
      </c>
      <c r="S112" s="46">
        <f t="shared" si="79"/>
        <v>9.625576768403675E-2</v>
      </c>
      <c r="T112" s="46">
        <f t="shared" si="79"/>
        <v>0.26433111060013798</v>
      </c>
      <c r="U112" s="46">
        <f t="shared" si="79"/>
        <v>7.6516900436882043E-2</v>
      </c>
      <c r="V112" s="46">
        <f t="shared" si="79"/>
        <v>4.6898306636155608E-2</v>
      </c>
      <c r="W112" s="46">
        <f t="shared" si="79"/>
        <v>1.7586864988558354E-2</v>
      </c>
      <c r="X112" s="46">
        <f t="shared" si="79"/>
        <v>0.61</v>
      </c>
      <c r="Y112" s="46">
        <f t="shared" si="79"/>
        <v>7.0000000000000007E-2</v>
      </c>
      <c r="Z112" s="46">
        <f t="shared" si="79"/>
        <v>0.27999164963826145</v>
      </c>
      <c r="AA112" s="46">
        <f t="shared" si="79"/>
        <v>7.0000000000000007E-2</v>
      </c>
      <c r="AC112" s="46">
        <f t="shared" si="76"/>
        <v>1.8102533659051609</v>
      </c>
      <c r="AD112" s="46">
        <f t="shared" si="77"/>
        <v>0.26035953310947713</v>
      </c>
    </row>
    <row r="113" spans="17:30" x14ac:dyDescent="0.25">
      <c r="Q113">
        <v>92</v>
      </c>
      <c r="R113" s="46">
        <f t="shared" si="79"/>
        <v>0.53903229903060579</v>
      </c>
      <c r="S113" s="46">
        <f t="shared" si="79"/>
        <v>9.625576768403675E-2</v>
      </c>
      <c r="T113" s="46">
        <f t="shared" si="79"/>
        <v>0.26433111060013798</v>
      </c>
      <c r="U113" s="46">
        <f t="shared" si="79"/>
        <v>7.6516900436882043E-2</v>
      </c>
      <c r="V113" s="46">
        <f t="shared" si="79"/>
        <v>4.689867276887872E-2</v>
      </c>
      <c r="W113" s="46">
        <f t="shared" si="79"/>
        <v>1.7587002288329521E-2</v>
      </c>
      <c r="X113" s="46">
        <f t="shared" si="79"/>
        <v>0.61</v>
      </c>
      <c r="Y113" s="46">
        <f t="shared" si="79"/>
        <v>7.0000000000000007E-2</v>
      </c>
      <c r="Z113" s="46">
        <f t="shared" si="79"/>
        <v>0.27999257745623241</v>
      </c>
      <c r="AA113" s="46">
        <f t="shared" si="79"/>
        <v>7.0000000000000007E-2</v>
      </c>
      <c r="AC113" s="46">
        <f t="shared" si="76"/>
        <v>1.8102546598558549</v>
      </c>
      <c r="AD113" s="46">
        <f t="shared" si="77"/>
        <v>0.26035967040924834</v>
      </c>
    </row>
    <row r="114" spans="17:30" x14ac:dyDescent="0.25">
      <c r="Q114">
        <v>93</v>
      </c>
      <c r="R114" s="46">
        <f t="shared" si="79"/>
        <v>0.53903229903060579</v>
      </c>
      <c r="S114" s="46">
        <f t="shared" si="79"/>
        <v>9.625576768403675E-2</v>
      </c>
      <c r="T114" s="46">
        <f t="shared" si="79"/>
        <v>0.26433111060013798</v>
      </c>
      <c r="U114" s="46">
        <f t="shared" si="79"/>
        <v>7.6516900436882043E-2</v>
      </c>
      <c r="V114" s="46">
        <f t="shared" si="79"/>
        <v>4.6899038901601832E-2</v>
      </c>
      <c r="W114" s="46">
        <f t="shared" si="79"/>
        <v>1.7587139588100688E-2</v>
      </c>
      <c r="X114" s="46">
        <f t="shared" si="79"/>
        <v>0.61</v>
      </c>
      <c r="Y114" s="46">
        <f t="shared" si="79"/>
        <v>7.0000000000000007E-2</v>
      </c>
      <c r="Z114" s="46">
        <f t="shared" si="79"/>
        <v>0.27999350527420336</v>
      </c>
      <c r="AA114" s="46">
        <f t="shared" si="79"/>
        <v>7.0000000000000007E-2</v>
      </c>
      <c r="AC114" s="46">
        <f t="shared" si="76"/>
        <v>1.810255953806549</v>
      </c>
      <c r="AD114" s="46">
        <f t="shared" si="77"/>
        <v>0.26035980770901945</v>
      </c>
    </row>
    <row r="115" spans="17:30" x14ac:dyDescent="0.25">
      <c r="Q115">
        <v>94</v>
      </c>
      <c r="R115" s="46">
        <f t="shared" si="79"/>
        <v>0.53903229903060579</v>
      </c>
      <c r="S115" s="46">
        <f t="shared" si="79"/>
        <v>9.625576768403675E-2</v>
      </c>
      <c r="T115" s="46">
        <f t="shared" si="79"/>
        <v>0.26433111060013798</v>
      </c>
      <c r="U115" s="46">
        <f t="shared" si="79"/>
        <v>7.6516900436882043E-2</v>
      </c>
      <c r="V115" s="46">
        <f t="shared" si="79"/>
        <v>4.6899405034324944E-2</v>
      </c>
      <c r="W115" s="46">
        <f t="shared" si="79"/>
        <v>1.7587276887871855E-2</v>
      </c>
      <c r="X115" s="46">
        <f t="shared" si="79"/>
        <v>0.61</v>
      </c>
      <c r="Y115" s="46">
        <f t="shared" si="79"/>
        <v>7.0000000000000007E-2</v>
      </c>
      <c r="Z115" s="46">
        <f t="shared" si="79"/>
        <v>0.27999443309217431</v>
      </c>
      <c r="AA115" s="46">
        <f t="shared" si="79"/>
        <v>7.0000000000000007E-2</v>
      </c>
      <c r="AC115" s="46">
        <f t="shared" si="76"/>
        <v>1.8102572477572434</v>
      </c>
      <c r="AD115" s="46">
        <f t="shared" si="77"/>
        <v>0.26035994500879067</v>
      </c>
    </row>
    <row r="116" spans="17:30" x14ac:dyDescent="0.25">
      <c r="Q116">
        <v>95</v>
      </c>
      <c r="R116" s="46">
        <f t="shared" si="79"/>
        <v>0.53903229903060579</v>
      </c>
      <c r="S116" s="46">
        <f t="shared" si="79"/>
        <v>9.625576768403675E-2</v>
      </c>
      <c r="T116" s="46">
        <f t="shared" si="79"/>
        <v>0.26433111060013798</v>
      </c>
      <c r="U116" s="46">
        <f t="shared" si="79"/>
        <v>7.6516900436882043E-2</v>
      </c>
      <c r="V116" s="46">
        <f t="shared" si="79"/>
        <v>4.6899771167048056E-2</v>
      </c>
      <c r="W116" s="46">
        <f t="shared" si="79"/>
        <v>1.7587414187643022E-2</v>
      </c>
      <c r="X116" s="46">
        <f t="shared" si="79"/>
        <v>0.61</v>
      </c>
      <c r="Y116" s="46">
        <f t="shared" si="79"/>
        <v>7.0000000000000007E-2</v>
      </c>
      <c r="Z116" s="46">
        <f t="shared" si="79"/>
        <v>0.27999536091014526</v>
      </c>
      <c r="AA116" s="46">
        <f t="shared" si="79"/>
        <v>7.0000000000000007E-2</v>
      </c>
      <c r="AC116" s="46">
        <f t="shared" si="76"/>
        <v>1.8102585417079371</v>
      </c>
      <c r="AD116" s="46">
        <f t="shared" si="77"/>
        <v>0.26036008230856184</v>
      </c>
    </row>
    <row r="117" spans="17:30" x14ac:dyDescent="0.25">
      <c r="Q117">
        <v>96</v>
      </c>
      <c r="R117" s="46">
        <f t="shared" si="79"/>
        <v>0.53903229903060579</v>
      </c>
      <c r="S117" s="46">
        <f t="shared" si="79"/>
        <v>9.625576768403675E-2</v>
      </c>
      <c r="T117" s="46">
        <f t="shared" si="79"/>
        <v>0.26433111060013798</v>
      </c>
      <c r="U117" s="46">
        <f t="shared" si="79"/>
        <v>7.6516900436882043E-2</v>
      </c>
      <c r="V117" s="46">
        <f t="shared" si="79"/>
        <v>4.6900137299771168E-2</v>
      </c>
      <c r="W117" s="46">
        <f t="shared" si="79"/>
        <v>1.7587551487414189E-2</v>
      </c>
      <c r="X117" s="46">
        <f t="shared" si="79"/>
        <v>0.61</v>
      </c>
      <c r="Y117" s="46">
        <f t="shared" si="79"/>
        <v>7.0000000000000007E-2</v>
      </c>
      <c r="Z117" s="46">
        <f t="shared" si="79"/>
        <v>0.27999628872811622</v>
      </c>
      <c r="AA117" s="46">
        <f t="shared" si="79"/>
        <v>7.0000000000000007E-2</v>
      </c>
      <c r="AC117" s="46">
        <f t="shared" si="76"/>
        <v>1.8102598356586312</v>
      </c>
      <c r="AD117" s="46">
        <f t="shared" si="77"/>
        <v>0.260360219608333</v>
      </c>
    </row>
    <row r="118" spans="17:30" x14ac:dyDescent="0.25">
      <c r="Q118">
        <v>97</v>
      </c>
      <c r="R118" s="46">
        <f t="shared" si="79"/>
        <v>0.53903229903060579</v>
      </c>
      <c r="S118" s="46">
        <f t="shared" si="79"/>
        <v>9.625576768403675E-2</v>
      </c>
      <c r="T118" s="46">
        <f t="shared" si="79"/>
        <v>0.26433111060013798</v>
      </c>
      <c r="U118" s="46">
        <f t="shared" si="79"/>
        <v>7.6516900436882043E-2</v>
      </c>
      <c r="V118" s="46">
        <f t="shared" si="79"/>
        <v>4.690050343249428E-2</v>
      </c>
      <c r="W118" s="46">
        <f t="shared" si="79"/>
        <v>1.7587688787185356E-2</v>
      </c>
      <c r="X118" s="46">
        <f t="shared" si="79"/>
        <v>0.61</v>
      </c>
      <c r="Y118" s="46">
        <f t="shared" si="79"/>
        <v>7.0000000000000007E-2</v>
      </c>
      <c r="Z118" s="46">
        <f t="shared" si="79"/>
        <v>0.27999721654608717</v>
      </c>
      <c r="AA118" s="46">
        <f t="shared" si="79"/>
        <v>7.0000000000000007E-2</v>
      </c>
      <c r="AC118" s="46">
        <f t="shared" si="76"/>
        <v>1.8102611296093254</v>
      </c>
      <c r="AD118" s="46">
        <f t="shared" si="77"/>
        <v>0.26036035690810416</v>
      </c>
    </row>
    <row r="119" spans="17:30" x14ac:dyDescent="0.25">
      <c r="Q119">
        <v>98</v>
      </c>
      <c r="R119" s="46">
        <f t="shared" si="79"/>
        <v>0.53903229903060579</v>
      </c>
      <c r="S119" s="46">
        <f t="shared" si="79"/>
        <v>9.625576768403675E-2</v>
      </c>
      <c r="T119" s="46">
        <f t="shared" si="79"/>
        <v>0.26433111060013798</v>
      </c>
      <c r="U119" s="46">
        <f t="shared" si="79"/>
        <v>7.6516900436882043E-2</v>
      </c>
      <c r="V119" s="46">
        <f t="shared" si="79"/>
        <v>4.6900869565217392E-2</v>
      </c>
      <c r="W119" s="46">
        <f t="shared" si="79"/>
        <v>1.7587826086956523E-2</v>
      </c>
      <c r="X119" s="46">
        <f t="shared" si="79"/>
        <v>0.61</v>
      </c>
      <c r="Y119" s="46">
        <f t="shared" si="79"/>
        <v>7.0000000000000007E-2</v>
      </c>
      <c r="Z119" s="46">
        <f t="shared" si="79"/>
        <v>0.27999814436405812</v>
      </c>
      <c r="AA119" s="46">
        <f t="shared" si="79"/>
        <v>7.0000000000000007E-2</v>
      </c>
      <c r="AC119" s="46">
        <f t="shared" si="76"/>
        <v>1.8102624235600195</v>
      </c>
      <c r="AD119" s="46">
        <f t="shared" si="77"/>
        <v>0.26036049420787533</v>
      </c>
    </row>
    <row r="120" spans="17:30" x14ac:dyDescent="0.25">
      <c r="Q120">
        <v>99</v>
      </c>
      <c r="R120" s="46">
        <f t="shared" si="79"/>
        <v>0.53903229903060579</v>
      </c>
      <c r="S120" s="46">
        <f t="shared" si="79"/>
        <v>9.625576768403675E-2</v>
      </c>
      <c r="T120" s="46">
        <f t="shared" si="79"/>
        <v>0.26433111060013798</v>
      </c>
      <c r="U120" s="46">
        <f t="shared" si="79"/>
        <v>7.6516900436882043E-2</v>
      </c>
      <c r="V120" s="46">
        <f t="shared" si="79"/>
        <v>4.6901235697940503E-2</v>
      </c>
      <c r="W120" s="46">
        <f t="shared" si="79"/>
        <v>1.758796338672769E-2</v>
      </c>
      <c r="X120" s="46">
        <f t="shared" si="79"/>
        <v>0.61</v>
      </c>
      <c r="Y120" s="46">
        <f t="shared" si="79"/>
        <v>7.0000000000000007E-2</v>
      </c>
      <c r="Z120" s="46">
        <f t="shared" si="79"/>
        <v>0.27999907218202907</v>
      </c>
      <c r="AA120" s="46">
        <f t="shared" si="79"/>
        <v>7.0000000000000007E-2</v>
      </c>
      <c r="AC120" s="46">
        <f t="shared" si="76"/>
        <v>1.8102637175107135</v>
      </c>
      <c r="AD120" s="46">
        <f t="shared" si="77"/>
        <v>0.26036063150764649</v>
      </c>
    </row>
    <row r="121" spans="17:30" x14ac:dyDescent="0.25">
      <c r="Q121">
        <v>100</v>
      </c>
      <c r="R121" s="46">
        <f>R20</f>
        <v>0.53903229903060579</v>
      </c>
      <c r="S121" s="46">
        <f t="shared" ref="S121:AA121" si="80">S20</f>
        <v>9.625576768403675E-2</v>
      </c>
      <c r="T121" s="46">
        <f t="shared" si="80"/>
        <v>0.26433111060013798</v>
      </c>
      <c r="U121" s="46">
        <f t="shared" si="80"/>
        <v>7.6516900436882043E-2</v>
      </c>
      <c r="V121" s="46">
        <f t="shared" si="80"/>
        <v>4.6901601830663615E-2</v>
      </c>
      <c r="W121" s="46">
        <f t="shared" si="80"/>
        <v>1.7588100686498857E-2</v>
      </c>
      <c r="X121" s="46">
        <f t="shared" si="80"/>
        <v>0.61</v>
      </c>
      <c r="Y121" s="46">
        <f t="shared" si="80"/>
        <v>7.0000000000000007E-2</v>
      </c>
      <c r="Z121" s="46">
        <f t="shared" si="80"/>
        <v>0.28000000000000003</v>
      </c>
      <c r="AA121" s="46">
        <f t="shared" si="80"/>
        <v>7.0000000000000007E-2</v>
      </c>
      <c r="AC121" s="46">
        <f t="shared" si="76"/>
        <v>1.8102650114614076</v>
      </c>
      <c r="AD121" s="46">
        <f t="shared" si="77"/>
        <v>0.26036076880741765</v>
      </c>
    </row>
  </sheetData>
  <pageMargins left="0.7" right="0.7" top="0.75" bottom="0.75" header="0.3" footer="0.3"/>
  <pageSetup orientation="portrait" horizontalDpi="0"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2"/>
  <sheetViews>
    <sheetView workbookViewId="0">
      <selection activeCell="J4" sqref="J4:K22"/>
    </sheetView>
  </sheetViews>
  <sheetFormatPr defaultRowHeight="15" x14ac:dyDescent="0.25"/>
  <cols>
    <col min="2" max="2" width="10.85546875" customWidth="1"/>
    <col min="3" max="3" width="12.85546875" customWidth="1"/>
  </cols>
  <sheetData>
    <row r="1" spans="1:11" x14ac:dyDescent="0.25">
      <c r="A1" t="s">
        <v>91</v>
      </c>
    </row>
    <row r="2" spans="1:11" x14ac:dyDescent="0.25">
      <c r="A2" t="s">
        <v>94</v>
      </c>
      <c r="E2" t="s">
        <v>95</v>
      </c>
    </row>
    <row r="3" spans="1:11" x14ac:dyDescent="0.25">
      <c r="A3" t="s">
        <v>0</v>
      </c>
      <c r="B3" t="s">
        <v>92</v>
      </c>
      <c r="C3" t="s">
        <v>93</v>
      </c>
      <c r="F3" t="s">
        <v>96</v>
      </c>
      <c r="G3" t="s">
        <v>97</v>
      </c>
      <c r="J3" t="s">
        <v>98</v>
      </c>
    </row>
    <row r="4" spans="1:11" x14ac:dyDescent="0.25">
      <c r="A4">
        <v>1996</v>
      </c>
      <c r="B4">
        <v>26.7</v>
      </c>
      <c r="C4">
        <v>33.299999999999997</v>
      </c>
      <c r="F4">
        <v>4.5999999999999996</v>
      </c>
      <c r="G4">
        <v>5.7</v>
      </c>
      <c r="J4" s="59">
        <f>B4*0.172</f>
        <v>4.5923999999999996</v>
      </c>
      <c r="K4" s="59">
        <f t="shared" ref="K4:K8" si="0">C4*0.172</f>
        <v>5.7275999999999989</v>
      </c>
    </row>
    <row r="5" spans="1:11" x14ac:dyDescent="0.25">
      <c r="A5">
        <v>1997</v>
      </c>
      <c r="B5">
        <v>27.7</v>
      </c>
      <c r="C5">
        <v>34</v>
      </c>
      <c r="F5">
        <v>4.8</v>
      </c>
      <c r="G5">
        <v>5.8</v>
      </c>
      <c r="J5" s="59">
        <f t="shared" ref="J5:J8" si="1">B5*0.172</f>
        <v>4.7643999999999993</v>
      </c>
      <c r="K5" s="59">
        <f t="shared" si="0"/>
        <v>5.8479999999999999</v>
      </c>
    </row>
    <row r="6" spans="1:11" x14ac:dyDescent="0.25">
      <c r="A6">
        <v>1998</v>
      </c>
      <c r="B6">
        <v>27.8</v>
      </c>
      <c r="C6">
        <v>34.6</v>
      </c>
      <c r="F6">
        <v>4.8</v>
      </c>
      <c r="G6">
        <v>6</v>
      </c>
      <c r="J6" s="59">
        <f t="shared" si="1"/>
        <v>4.7816000000000001</v>
      </c>
      <c r="K6" s="59">
        <f t="shared" si="0"/>
        <v>5.9512</v>
      </c>
    </row>
    <row r="7" spans="1:11" x14ac:dyDescent="0.25">
      <c r="A7">
        <v>1999</v>
      </c>
      <c r="B7">
        <v>28.7</v>
      </c>
      <c r="C7">
        <v>35.299999999999997</v>
      </c>
      <c r="F7">
        <v>4.9000000000000004</v>
      </c>
      <c r="G7">
        <v>6.1</v>
      </c>
      <c r="J7" s="59">
        <f t="shared" si="1"/>
        <v>4.9363999999999999</v>
      </c>
      <c r="K7" s="59">
        <f t="shared" si="0"/>
        <v>6.0715999999999992</v>
      </c>
    </row>
    <row r="8" spans="1:11" x14ac:dyDescent="0.25">
      <c r="A8">
        <v>2000</v>
      </c>
      <c r="B8">
        <v>28.7</v>
      </c>
      <c r="C8">
        <v>36</v>
      </c>
      <c r="F8">
        <v>4.9000000000000004</v>
      </c>
      <c r="G8">
        <v>6.2</v>
      </c>
      <c r="J8" s="59">
        <f t="shared" si="1"/>
        <v>4.9363999999999999</v>
      </c>
      <c r="K8" s="59">
        <f t="shared" si="0"/>
        <v>6.1919999999999993</v>
      </c>
    </row>
    <row r="9" spans="1:11" x14ac:dyDescent="0.25">
      <c r="A9">
        <v>2001</v>
      </c>
      <c r="B9">
        <v>28.7</v>
      </c>
      <c r="C9">
        <v>36.799999999999997</v>
      </c>
      <c r="J9" s="59"/>
      <c r="K9" s="59"/>
    </row>
    <row r="10" spans="1:11" x14ac:dyDescent="0.25">
      <c r="A10">
        <v>2002</v>
      </c>
      <c r="B10">
        <v>28.4</v>
      </c>
      <c r="C10">
        <v>37.5</v>
      </c>
      <c r="J10" s="59"/>
      <c r="K10" s="59"/>
    </row>
    <row r="11" spans="1:11" x14ac:dyDescent="0.25">
      <c r="A11">
        <v>2003</v>
      </c>
      <c r="B11">
        <v>28.9</v>
      </c>
      <c r="C11">
        <v>38.200000000000003</v>
      </c>
      <c r="J11" s="59"/>
      <c r="K11" s="59"/>
    </row>
    <row r="12" spans="1:11" x14ac:dyDescent="0.25">
      <c r="A12">
        <v>2004</v>
      </c>
      <c r="B12">
        <v>27.8</v>
      </c>
      <c r="C12">
        <v>39</v>
      </c>
      <c r="J12" s="59"/>
      <c r="K12" s="59"/>
    </row>
    <row r="13" spans="1:11" x14ac:dyDescent="0.25">
      <c r="A13">
        <v>2005</v>
      </c>
      <c r="B13">
        <v>27.3</v>
      </c>
      <c r="C13">
        <v>39.799999999999997</v>
      </c>
      <c r="F13">
        <v>4.7</v>
      </c>
      <c r="G13">
        <v>6.8</v>
      </c>
      <c r="J13" s="59">
        <f t="shared" ref="J13:K13" si="2">B13*0.172</f>
        <v>4.6955999999999998</v>
      </c>
      <c r="K13" s="59">
        <f t="shared" si="2"/>
        <v>6.8455999999999992</v>
      </c>
    </row>
    <row r="14" spans="1:11" x14ac:dyDescent="0.25">
      <c r="A14">
        <v>2006</v>
      </c>
      <c r="B14">
        <v>27.6</v>
      </c>
      <c r="C14">
        <v>40.6</v>
      </c>
      <c r="J14" s="59"/>
      <c r="K14" s="59"/>
    </row>
    <row r="15" spans="1:11" x14ac:dyDescent="0.25">
      <c r="A15">
        <v>2007</v>
      </c>
      <c r="B15">
        <v>27.4</v>
      </c>
      <c r="C15">
        <v>41.4</v>
      </c>
      <c r="J15" s="59"/>
      <c r="K15" s="59"/>
    </row>
    <row r="16" spans="1:11" x14ac:dyDescent="0.25">
      <c r="A16">
        <v>2008</v>
      </c>
      <c r="B16">
        <v>27.6</v>
      </c>
      <c r="C16">
        <v>42.2</v>
      </c>
      <c r="J16" s="59"/>
      <c r="K16" s="59"/>
    </row>
    <row r="17" spans="1:11" x14ac:dyDescent="0.25">
      <c r="A17">
        <v>2009</v>
      </c>
      <c r="B17">
        <v>27.6</v>
      </c>
      <c r="C17">
        <v>43.1</v>
      </c>
      <c r="J17" s="59"/>
      <c r="K17" s="59"/>
    </row>
    <row r="18" spans="1:11" x14ac:dyDescent="0.25">
      <c r="A18">
        <v>2010</v>
      </c>
      <c r="B18">
        <v>27.6</v>
      </c>
      <c r="C18">
        <v>43.9</v>
      </c>
      <c r="F18">
        <v>4.7</v>
      </c>
      <c r="G18">
        <v>7.6</v>
      </c>
      <c r="J18" s="59">
        <f t="shared" ref="J18:K18" si="3">B18*0.172</f>
        <v>4.7471999999999994</v>
      </c>
      <c r="K18" s="59">
        <f t="shared" si="3"/>
        <v>7.5507999999999988</v>
      </c>
    </row>
    <row r="19" spans="1:11" x14ac:dyDescent="0.25">
      <c r="A19">
        <v>2011</v>
      </c>
      <c r="B19">
        <v>28.5</v>
      </c>
      <c r="C19">
        <v>44.8</v>
      </c>
      <c r="J19" s="59"/>
      <c r="K19" s="59"/>
    </row>
    <row r="20" spans="1:11" x14ac:dyDescent="0.25">
      <c r="A20">
        <v>2012</v>
      </c>
      <c r="B20">
        <v>28.9</v>
      </c>
      <c r="C20">
        <v>45.7</v>
      </c>
      <c r="J20" s="59"/>
      <c r="K20" s="59"/>
    </row>
    <row r="21" spans="1:11" x14ac:dyDescent="0.25">
      <c r="A21">
        <v>2013</v>
      </c>
      <c r="B21">
        <v>28.1</v>
      </c>
      <c r="C21">
        <v>46.6</v>
      </c>
      <c r="J21" s="59"/>
      <c r="K21" s="59"/>
    </row>
    <row r="22" spans="1:11" x14ac:dyDescent="0.25">
      <c r="A22">
        <v>2014</v>
      </c>
      <c r="B22">
        <v>27.9</v>
      </c>
      <c r="C22">
        <v>47.5</v>
      </c>
      <c r="F22">
        <v>4.8</v>
      </c>
      <c r="G22">
        <v>8.1999999999999993</v>
      </c>
      <c r="J22" s="59">
        <f t="shared" ref="J22:K22" si="4">B22*0.172</f>
        <v>4.7987999999999991</v>
      </c>
      <c r="K22" s="59">
        <f t="shared" si="4"/>
        <v>8.17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3"/>
  <sheetViews>
    <sheetView workbookViewId="0">
      <selection activeCell="G23" sqref="G23"/>
    </sheetView>
  </sheetViews>
  <sheetFormatPr defaultRowHeight="15" x14ac:dyDescent="0.25"/>
  <cols>
    <col min="1" max="1" width="16.28515625" customWidth="1"/>
    <col min="2" max="7" width="11.5703125" bestFit="1" customWidth="1"/>
  </cols>
  <sheetData>
    <row r="1" spans="1:7" x14ac:dyDescent="0.25">
      <c r="A1" t="s">
        <v>121</v>
      </c>
    </row>
    <row r="2" spans="1:7" x14ac:dyDescent="0.25">
      <c r="B2" s="79">
        <v>0</v>
      </c>
      <c r="C2" s="79">
        <v>0.01</v>
      </c>
      <c r="D2" s="79">
        <v>0.02</v>
      </c>
      <c r="E2" s="79">
        <v>0.03</v>
      </c>
      <c r="F2" s="79">
        <v>0.04</v>
      </c>
      <c r="G2" s="79">
        <v>7.0000000000000007E-2</v>
      </c>
    </row>
    <row r="4" spans="1:7" x14ac:dyDescent="0.25">
      <c r="A4" t="s">
        <v>116</v>
      </c>
      <c r="B4">
        <v>664.6</v>
      </c>
      <c r="C4">
        <v>438.5</v>
      </c>
      <c r="D4">
        <v>316.60000000000002</v>
      </c>
      <c r="E4">
        <v>246</v>
      </c>
      <c r="F4">
        <v>202.2</v>
      </c>
      <c r="G4">
        <v>138.19999999999999</v>
      </c>
    </row>
    <row r="5" spans="1:7" x14ac:dyDescent="0.25">
      <c r="A5" t="s">
        <v>117</v>
      </c>
      <c r="B5">
        <v>684.6</v>
      </c>
      <c r="C5">
        <v>457.8</v>
      </c>
      <c r="D5">
        <v>335.1</v>
      </c>
      <c r="E5">
        <v>263.8</v>
      </c>
      <c r="F5">
        <v>219.3</v>
      </c>
      <c r="G5">
        <v>153.5</v>
      </c>
    </row>
    <row r="6" spans="1:7" x14ac:dyDescent="0.25">
      <c r="A6" t="s">
        <v>118</v>
      </c>
      <c r="B6">
        <v>739.9</v>
      </c>
      <c r="C6">
        <v>510.9</v>
      </c>
      <c r="D6">
        <v>386.1</v>
      </c>
      <c r="E6">
        <v>312.8</v>
      </c>
      <c r="F6">
        <v>266.5</v>
      </c>
      <c r="G6">
        <v>195.6</v>
      </c>
    </row>
    <row r="8" spans="1:7" x14ac:dyDescent="0.25">
      <c r="A8" t="s">
        <v>119</v>
      </c>
      <c r="B8">
        <v>36643.699999999997</v>
      </c>
      <c r="C8">
        <v>34453.699999999997</v>
      </c>
      <c r="D8">
        <v>32536.1</v>
      </c>
      <c r="E8">
        <v>30815.5</v>
      </c>
      <c r="F8">
        <v>29247.8</v>
      </c>
      <c r="G8">
        <v>25246</v>
      </c>
    </row>
    <row r="10" spans="1:7" x14ac:dyDescent="0.25">
      <c r="A10" t="s">
        <v>51</v>
      </c>
    </row>
    <row r="11" spans="1:7" x14ac:dyDescent="0.25">
      <c r="A11" t="s">
        <v>116</v>
      </c>
      <c r="B11" s="83">
        <f>B$8-B4</f>
        <v>35979.1</v>
      </c>
      <c r="C11" s="83">
        <f t="shared" ref="C11:G11" si="0">C$8-C4</f>
        <v>34015.199999999997</v>
      </c>
      <c r="D11" s="83">
        <f t="shared" si="0"/>
        <v>32219.5</v>
      </c>
      <c r="E11" s="83">
        <f t="shared" si="0"/>
        <v>30569.5</v>
      </c>
      <c r="F11" s="83">
        <f t="shared" si="0"/>
        <v>29045.599999999999</v>
      </c>
      <c r="G11" s="83">
        <f t="shared" si="0"/>
        <v>25107.8</v>
      </c>
    </row>
    <row r="12" spans="1:7" x14ac:dyDescent="0.25">
      <c r="A12" t="s">
        <v>117</v>
      </c>
      <c r="B12" s="83">
        <f t="shared" ref="B12:G12" si="1">B$8-B5</f>
        <v>35959.1</v>
      </c>
      <c r="C12" s="83">
        <f t="shared" si="1"/>
        <v>33995.899999999994</v>
      </c>
      <c r="D12" s="83">
        <f t="shared" si="1"/>
        <v>32201</v>
      </c>
      <c r="E12" s="83">
        <f t="shared" si="1"/>
        <v>30551.7</v>
      </c>
      <c r="F12" s="83">
        <f t="shared" si="1"/>
        <v>29028.5</v>
      </c>
      <c r="G12" s="83">
        <f t="shared" si="1"/>
        <v>25092.5</v>
      </c>
    </row>
    <row r="13" spans="1:7" x14ac:dyDescent="0.25">
      <c r="A13" t="s">
        <v>118</v>
      </c>
      <c r="B13" s="83">
        <f t="shared" ref="B13:G13" si="2">B$8-B6</f>
        <v>35903.799999999996</v>
      </c>
      <c r="C13" s="83">
        <f t="shared" si="2"/>
        <v>33942.799999999996</v>
      </c>
      <c r="D13" s="83">
        <f t="shared" si="2"/>
        <v>32150</v>
      </c>
      <c r="E13" s="83">
        <f t="shared" si="2"/>
        <v>30502.7</v>
      </c>
      <c r="F13" s="83">
        <f t="shared" si="2"/>
        <v>28981.3</v>
      </c>
      <c r="G13" s="83">
        <f t="shared" si="2"/>
        <v>25050.400000000001</v>
      </c>
    </row>
    <row r="15" spans="1:7" x14ac:dyDescent="0.25">
      <c r="A15" t="s">
        <v>113</v>
      </c>
    </row>
    <row r="16" spans="1:7" x14ac:dyDescent="0.25">
      <c r="A16" t="s">
        <v>116</v>
      </c>
      <c r="B16" s="81">
        <f>B$8/B4</f>
        <v>55.136473066506163</v>
      </c>
      <c r="C16" s="80">
        <f t="shared" ref="C16:G16" si="3">C$8/C4</f>
        <v>78.571721778791328</v>
      </c>
      <c r="D16" s="80">
        <f t="shared" si="3"/>
        <v>102.76721415034743</v>
      </c>
      <c r="E16" s="80">
        <f t="shared" si="3"/>
        <v>125.26626016260163</v>
      </c>
      <c r="F16" s="80">
        <f t="shared" si="3"/>
        <v>144.64787339268051</v>
      </c>
      <c r="G16" s="81">
        <f t="shared" si="3"/>
        <v>182.67727930535457</v>
      </c>
    </row>
    <row r="17" spans="1:7" x14ac:dyDescent="0.25">
      <c r="A17" t="s">
        <v>117</v>
      </c>
      <c r="B17" s="80">
        <f t="shared" ref="B17:G17" si="4">B$8/B5</f>
        <v>53.525708442886348</v>
      </c>
      <c r="C17" s="80">
        <f t="shared" si="4"/>
        <v>75.259283529925725</v>
      </c>
      <c r="D17" s="80">
        <f t="shared" si="4"/>
        <v>97.093703372127706</v>
      </c>
      <c r="E17" s="80">
        <f t="shared" si="4"/>
        <v>116.81387414708112</v>
      </c>
      <c r="F17" s="80">
        <f t="shared" si="4"/>
        <v>133.3689010487916</v>
      </c>
      <c r="G17" s="80">
        <f t="shared" si="4"/>
        <v>164.46905537459284</v>
      </c>
    </row>
    <row r="18" spans="1:7" x14ac:dyDescent="0.25">
      <c r="A18" t="s">
        <v>118</v>
      </c>
      <c r="B18" s="81">
        <f t="shared" ref="B18:G18" si="5">B$8/B6</f>
        <v>49.525206108933638</v>
      </c>
      <c r="C18" s="80">
        <f t="shared" si="5"/>
        <v>67.43726756703856</v>
      </c>
      <c r="D18" s="80">
        <f t="shared" si="5"/>
        <v>84.268583268583257</v>
      </c>
      <c r="E18" s="80">
        <f t="shared" si="5"/>
        <v>98.515025575447567</v>
      </c>
      <c r="F18" s="80">
        <f t="shared" si="5"/>
        <v>109.74784240150093</v>
      </c>
      <c r="G18" s="81">
        <f t="shared" si="5"/>
        <v>129.06952965235175</v>
      </c>
    </row>
    <row r="20" spans="1:7" x14ac:dyDescent="0.25">
      <c r="A20" t="s">
        <v>120</v>
      </c>
      <c r="B20">
        <v>1.39655</v>
      </c>
    </row>
    <row r="21" spans="1:7" x14ac:dyDescent="0.25">
      <c r="A21" t="s">
        <v>116</v>
      </c>
      <c r="B21" s="82">
        <f>B11*$B$20</f>
        <v>50246.612104999993</v>
      </c>
      <c r="C21" s="83">
        <f t="shared" ref="C21:G21" si="6">C11*$B$20</f>
        <v>47503.927559999996</v>
      </c>
      <c r="D21" s="83">
        <f t="shared" si="6"/>
        <v>44996.142724999998</v>
      </c>
      <c r="E21" s="83">
        <f t="shared" si="6"/>
        <v>42691.835224999995</v>
      </c>
      <c r="F21" s="83">
        <f t="shared" si="6"/>
        <v>40563.632679999995</v>
      </c>
      <c r="G21" s="82">
        <f t="shared" si="6"/>
        <v>35064.298089999997</v>
      </c>
    </row>
    <row r="22" spans="1:7" x14ac:dyDescent="0.25">
      <c r="A22" t="s">
        <v>117</v>
      </c>
      <c r="B22" s="83">
        <f t="shared" ref="B22:G22" si="7">B12*$B$20</f>
        <v>50218.681104999996</v>
      </c>
      <c r="C22" s="83">
        <f t="shared" si="7"/>
        <v>47476.974144999993</v>
      </c>
      <c r="D22" s="83">
        <f t="shared" si="7"/>
        <v>44970.306550000001</v>
      </c>
      <c r="E22" s="83">
        <f t="shared" si="7"/>
        <v>42666.976634999999</v>
      </c>
      <c r="F22" s="83">
        <f t="shared" si="7"/>
        <v>40539.751675</v>
      </c>
      <c r="G22" s="83">
        <f t="shared" si="7"/>
        <v>35042.930874999998</v>
      </c>
    </row>
    <row r="23" spans="1:7" x14ac:dyDescent="0.25">
      <c r="A23" t="s">
        <v>118</v>
      </c>
      <c r="B23" s="82">
        <f t="shared" ref="B23:G23" si="8">B13*$B$20</f>
        <v>50141.451889999989</v>
      </c>
      <c r="C23" s="83">
        <f t="shared" si="8"/>
        <v>47402.817339999994</v>
      </c>
      <c r="D23" s="83">
        <f t="shared" si="8"/>
        <v>44899.082499999997</v>
      </c>
      <c r="E23" s="83">
        <f t="shared" si="8"/>
        <v>42598.545684999997</v>
      </c>
      <c r="F23" s="83">
        <f t="shared" si="8"/>
        <v>40473.834514999995</v>
      </c>
      <c r="G23" s="82">
        <f t="shared" si="8"/>
        <v>34984.136120000003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12"/>
  <sheetViews>
    <sheetView topLeftCell="B1" workbookViewId="0">
      <selection activeCell="F12" sqref="F12"/>
    </sheetView>
  </sheetViews>
  <sheetFormatPr defaultRowHeight="15" x14ac:dyDescent="0.25"/>
  <cols>
    <col min="1" max="1" width="36.42578125" style="21" customWidth="1"/>
    <col min="2" max="2" width="14.28515625" style="21" customWidth="1"/>
    <col min="3" max="3" width="11.85546875" style="21" customWidth="1"/>
    <col min="4" max="4" width="13.140625" style="21" customWidth="1"/>
    <col min="5" max="5" width="13.28515625" style="21" customWidth="1"/>
    <col min="6" max="6" width="14.28515625" style="21" customWidth="1"/>
    <col min="7" max="7" width="13.42578125" style="21" customWidth="1"/>
    <col min="8" max="9" width="11.5703125" style="21" customWidth="1"/>
    <col min="10" max="10" width="12.42578125" style="21" customWidth="1"/>
    <col min="11" max="16" width="11.5703125" style="21" customWidth="1"/>
    <col min="17" max="17" width="9.140625" style="21"/>
    <col min="18" max="25" width="12.5703125" style="21" bestFit="1" customWidth="1"/>
    <col min="26" max="16384" width="9.140625" style="21"/>
  </cols>
  <sheetData>
    <row r="1" spans="1:25" x14ac:dyDescent="0.25">
      <c r="B1" s="21" t="s">
        <v>26</v>
      </c>
      <c r="R1" s="28" t="s">
        <v>51</v>
      </c>
    </row>
    <row r="2" spans="1:25" x14ac:dyDescent="0.25">
      <c r="A2" s="29" t="s">
        <v>1</v>
      </c>
      <c r="B2" s="30">
        <v>131.5</v>
      </c>
      <c r="R2" s="28">
        <v>0</v>
      </c>
      <c r="S2" s="28">
        <v>0.01</v>
      </c>
      <c r="T2" s="28">
        <v>0.02</v>
      </c>
      <c r="U2" s="28">
        <v>0.03</v>
      </c>
      <c r="V2" s="28">
        <v>0.04</v>
      </c>
      <c r="W2" s="28">
        <v>0.05</v>
      </c>
      <c r="X2" s="28">
        <v>0.06</v>
      </c>
      <c r="Y2" s="28">
        <v>7.0000000000000007E-2</v>
      </c>
    </row>
    <row r="3" spans="1:25" x14ac:dyDescent="0.25">
      <c r="A3" s="60" t="s">
        <v>99</v>
      </c>
      <c r="B3" s="32">
        <v>3.7225000000000001</v>
      </c>
      <c r="C3" s="66">
        <f>B3/0.172</f>
        <v>21.642441860465119</v>
      </c>
      <c r="D3" s="28" t="s">
        <v>109</v>
      </c>
      <c r="Q3" s="28" t="s">
        <v>54</v>
      </c>
      <c r="R3" s="42">
        <f>SUM(R13:R42)</f>
        <v>34632.694096116313</v>
      </c>
      <c r="S3" s="42">
        <f t="shared" ref="S3:Y3" si="0">SUM(S13:S42)</f>
        <v>33123.682868884913</v>
      </c>
      <c r="T3" s="42">
        <f t="shared" si="0"/>
        <v>31720.682177121191</v>
      </c>
      <c r="U3" s="42">
        <f t="shared" si="0"/>
        <v>30414.550472071729</v>
      </c>
      <c r="V3" s="42">
        <f t="shared" si="0"/>
        <v>29197.07089225145</v>
      </c>
      <c r="W3" s="42">
        <f t="shared" si="0"/>
        <v>28060.842252162278</v>
      </c>
      <c r="X3" s="42">
        <f t="shared" si="0"/>
        <v>26999.185197284914</v>
      </c>
      <c r="Y3" s="42">
        <f t="shared" si="0"/>
        <v>26006.061000767091</v>
      </c>
    </row>
    <row r="4" spans="1:25" x14ac:dyDescent="0.25">
      <c r="A4" s="31" t="s">
        <v>27</v>
      </c>
      <c r="B4" s="37">
        <v>1.3</v>
      </c>
      <c r="C4" s="21">
        <v>2.94</v>
      </c>
      <c r="Q4" s="28" t="s">
        <v>55</v>
      </c>
      <c r="R4" s="42">
        <f>SUM(R13:R52)</f>
        <v>34657.196031307743</v>
      </c>
      <c r="S4" s="42">
        <f t="shared" ref="S4:Y4" si="1">SUM(S13:S52)</f>
        <v>33141.069282607787</v>
      </c>
      <c r="T4" s="42">
        <f t="shared" si="1"/>
        <v>31733.071196202538</v>
      </c>
      <c r="U4" s="42">
        <f t="shared" si="1"/>
        <v>30423.414718943015</v>
      </c>
      <c r="V4" s="42">
        <f t="shared" si="1"/>
        <v>29203.438647849085</v>
      </c>
      <c r="W4" s="42">
        <f t="shared" si="1"/>
        <v>28065.434581705431</v>
      </c>
      <c r="X4" s="42">
        <f t="shared" si="1"/>
        <v>27002.509841507337</v>
      </c>
      <c r="Y4" s="42">
        <f t="shared" si="1"/>
        <v>26008.476945479037</v>
      </c>
    </row>
    <row r="5" spans="1:25" x14ac:dyDescent="0.25">
      <c r="A5" s="31" t="s">
        <v>45</v>
      </c>
      <c r="B5" s="33">
        <v>0.28999999999999998</v>
      </c>
      <c r="C5" s="21">
        <v>0.52</v>
      </c>
      <c r="Q5" s="28" t="s">
        <v>56</v>
      </c>
      <c r="R5" s="42">
        <f>SUM(R13:R62)</f>
        <v>34682.111570630965</v>
      </c>
      <c r="S5" s="42">
        <f t="shared" ref="S5:Y5" si="2">SUM(S13:S62)</f>
        <v>33157.076046659058</v>
      </c>
      <c r="T5" s="42">
        <f t="shared" si="2"/>
        <v>31743.407837529387</v>
      </c>
      <c r="U5" s="42">
        <f t="shared" si="2"/>
        <v>30430.123604563822</v>
      </c>
      <c r="V5" s="42">
        <f t="shared" si="2"/>
        <v>29207.81457302202</v>
      </c>
      <c r="W5" s="42">
        <f t="shared" si="2"/>
        <v>28068.302670410136</v>
      </c>
      <c r="X5" s="42">
        <f t="shared" si="2"/>
        <v>27004.398590247856</v>
      </c>
      <c r="Y5" s="42">
        <f t="shared" si="2"/>
        <v>26009.726546883408</v>
      </c>
    </row>
    <row r="6" spans="1:25" x14ac:dyDescent="0.25">
      <c r="A6" s="31" t="s">
        <v>46</v>
      </c>
      <c r="B6" s="32">
        <v>5.7</v>
      </c>
      <c r="Q6" s="28" t="s">
        <v>57</v>
      </c>
      <c r="R6" s="42">
        <f>R11</f>
        <v>34811.093759288102</v>
      </c>
      <c r="S6" s="42">
        <f t="shared" ref="S6:Y6" si="3">S11</f>
        <v>33219.02502716559</v>
      </c>
      <c r="T6" s="42">
        <f t="shared" si="3"/>
        <v>31773.98499643863</v>
      </c>
      <c r="U6" s="42">
        <f t="shared" si="3"/>
        <v>30445.612670361479</v>
      </c>
      <c r="V6" s="42">
        <f t="shared" si="3"/>
        <v>29215.853347743996</v>
      </c>
      <c r="W6" s="42">
        <f t="shared" si="3"/>
        <v>28072.5692653527</v>
      </c>
      <c r="X6" s="42">
        <f t="shared" si="3"/>
        <v>27006.709916944317</v>
      </c>
      <c r="Y6" s="42">
        <f t="shared" si="3"/>
        <v>26011.002120151716</v>
      </c>
    </row>
    <row r="7" spans="1:25" x14ac:dyDescent="0.25">
      <c r="A7" s="31" t="s">
        <v>48</v>
      </c>
      <c r="B7" s="34">
        <v>3469.4</v>
      </c>
      <c r="C7" s="25">
        <v>37.6</v>
      </c>
    </row>
    <row r="8" spans="1:25" x14ac:dyDescent="0.25">
      <c r="A8" s="35" t="s">
        <v>50</v>
      </c>
      <c r="B8" s="36">
        <v>2.8000000000000001E-2</v>
      </c>
      <c r="L8" s="47"/>
      <c r="M8" s="48"/>
    </row>
    <row r="9" spans="1:25" x14ac:dyDescent="0.25">
      <c r="B9" s="28" t="s">
        <v>58</v>
      </c>
      <c r="J9" s="47" t="s">
        <v>52</v>
      </c>
      <c r="L9" s="39" t="s">
        <v>53</v>
      </c>
      <c r="M9" s="40">
        <v>0</v>
      </c>
      <c r="R9" s="28" t="s">
        <v>51</v>
      </c>
    </row>
    <row r="10" spans="1:25" x14ac:dyDescent="0.25">
      <c r="A10" s="21" t="s">
        <v>3</v>
      </c>
      <c r="C10" s="21">
        <v>0.02</v>
      </c>
      <c r="D10" s="21">
        <v>8.0000000000000004E-4</v>
      </c>
      <c r="E10" s="38">
        <v>5.0000000000000001E-4</v>
      </c>
      <c r="F10" s="21">
        <v>5.0000000000000001E-4</v>
      </c>
      <c r="G10" s="38">
        <v>5.0000000000000001E-4</v>
      </c>
      <c r="J10" s="28"/>
      <c r="K10" s="28"/>
      <c r="L10" s="28"/>
      <c r="M10" s="28"/>
      <c r="N10" s="28"/>
      <c r="O10" s="28"/>
      <c r="R10" s="28">
        <v>0</v>
      </c>
      <c r="S10" s="28">
        <v>0.01</v>
      </c>
      <c r="T10" s="28">
        <v>0.02</v>
      </c>
      <c r="U10" s="28">
        <v>0.03</v>
      </c>
      <c r="V10" s="28">
        <v>0.04</v>
      </c>
      <c r="W10" s="28">
        <v>0.05</v>
      </c>
      <c r="X10" s="28">
        <v>0.06</v>
      </c>
      <c r="Y10" s="28">
        <v>7.0000000000000007E-2</v>
      </c>
    </row>
    <row r="11" spans="1:25" x14ac:dyDescent="0.25">
      <c r="B11" s="22"/>
      <c r="C11" s="22"/>
      <c r="D11" s="22"/>
      <c r="J11" s="41">
        <f>SUM(J13:J112)</f>
        <v>131.49999999999997</v>
      </c>
      <c r="K11" s="41">
        <f t="shared" ref="K11:P11" si="4">SUM(K13:K112)</f>
        <v>524.28532625524917</v>
      </c>
      <c r="L11" s="41">
        <f t="shared" si="4"/>
        <v>152.05647308214981</v>
      </c>
      <c r="M11" s="41">
        <f t="shared" si="4"/>
        <v>21.17243910944693</v>
      </c>
      <c r="N11" s="41">
        <f t="shared" si="4"/>
        <v>519.89670167319719</v>
      </c>
      <c r="O11" s="41">
        <f>SUM(O13:O112)</f>
        <v>34772.165673126401</v>
      </c>
      <c r="P11" s="41">
        <f t="shared" si="4"/>
        <v>2.6040000000000019</v>
      </c>
      <c r="R11" s="27">
        <f>SUM(R13:R112)</f>
        <v>34811.093759288102</v>
      </c>
      <c r="S11" s="27">
        <f t="shared" ref="S11:Y11" si="5">SUM(S13:S112)</f>
        <v>33219.02502716559</v>
      </c>
      <c r="T11" s="27">
        <f t="shared" si="5"/>
        <v>31773.98499643863</v>
      </c>
      <c r="U11" s="27">
        <f t="shared" si="5"/>
        <v>30445.612670361479</v>
      </c>
      <c r="V11" s="27">
        <f t="shared" si="5"/>
        <v>29215.853347743996</v>
      </c>
      <c r="W11" s="27">
        <f t="shared" si="5"/>
        <v>28072.5692653527</v>
      </c>
      <c r="X11" s="27">
        <f t="shared" si="5"/>
        <v>27006.709916944317</v>
      </c>
      <c r="Y11" s="27">
        <f t="shared" si="5"/>
        <v>26011.002120151716</v>
      </c>
    </row>
    <row r="12" spans="1:25" ht="60" x14ac:dyDescent="0.25">
      <c r="A12" s="21" t="s">
        <v>0</v>
      </c>
      <c r="B12" s="24" t="s">
        <v>4</v>
      </c>
      <c r="C12" s="24" t="s">
        <v>5</v>
      </c>
      <c r="D12" s="24" t="s">
        <v>6</v>
      </c>
      <c r="E12" s="24" t="s">
        <v>44</v>
      </c>
      <c r="F12" s="24" t="s">
        <v>7</v>
      </c>
      <c r="G12" s="26" t="s">
        <v>47</v>
      </c>
      <c r="H12" s="26" t="s">
        <v>49</v>
      </c>
      <c r="I12" s="26"/>
      <c r="J12" s="24" t="s">
        <v>4</v>
      </c>
      <c r="K12" s="24" t="s">
        <v>5</v>
      </c>
      <c r="L12" s="24" t="s">
        <v>6</v>
      </c>
      <c r="M12" s="24" t="s">
        <v>44</v>
      </c>
      <c r="N12" s="24" t="s">
        <v>7</v>
      </c>
      <c r="O12" s="26" t="s">
        <v>47</v>
      </c>
      <c r="P12" s="26" t="s">
        <v>49</v>
      </c>
      <c r="R12" s="27"/>
      <c r="S12" s="27"/>
      <c r="T12" s="27"/>
      <c r="U12" s="27"/>
      <c r="V12" s="27"/>
      <c r="W12" s="27"/>
      <c r="X12" s="27"/>
      <c r="Y12" s="27"/>
    </row>
    <row r="13" spans="1:25" x14ac:dyDescent="0.25">
      <c r="A13" s="21">
        <v>1</v>
      </c>
      <c r="B13" s="22">
        <f>B$2*'Cost Distribution By Year'!C20</f>
        <v>3.2795012165450119</v>
      </c>
      <c r="C13" s="25">
        <f>B3</f>
        <v>3.7225000000000001</v>
      </c>
      <c r="D13" s="23">
        <f>FishHarvestTimeTrends!AC22*((1+'OriginalBCACalculations 0%'!D$10)^MIN('OriginalBCACalculations 0%'!$A13,20))</f>
        <v>-0.45009477652942353</v>
      </c>
      <c r="E13" s="23">
        <f>FishHarvestTimeTrends!AD22*((1+'OriginalBCACalculations 0%'!E$10)^MIN('OriginalBCACalculations 0%'!$A13,20))</f>
        <v>-9.968905080817865E-2</v>
      </c>
      <c r="G13" s="27">
        <f>B7</f>
        <v>3469.4</v>
      </c>
      <c r="J13" s="41">
        <f>B13/((1+$M$9)^($A13-1))</f>
        <v>3.2795012165450119</v>
      </c>
      <c r="K13" s="41">
        <f t="shared" ref="K13:N76" si="6">C13/((1+$M$9)^($A13-1))</f>
        <v>3.7225000000000001</v>
      </c>
      <c r="L13" s="41">
        <f t="shared" si="6"/>
        <v>-0.45009477652942353</v>
      </c>
      <c r="M13" s="41">
        <f t="shared" si="6"/>
        <v>-9.968905080817865E-2</v>
      </c>
      <c r="N13" s="41"/>
      <c r="O13" s="41">
        <f>B7</f>
        <v>3469.4</v>
      </c>
      <c r="P13" s="41"/>
      <c r="R13" s="27">
        <f>(SUM($D13:$H13)-SUM($B13:$C13))/((1+R$10)^($A13-1))</f>
        <v>3461.8482149561173</v>
      </c>
      <c r="S13" s="27">
        <f t="shared" ref="S13:Y28" si="7">(SUM($D13:$H13)-SUM($B13:$C13))/((1+S$10)^($A13-1))</f>
        <v>3461.8482149561173</v>
      </c>
      <c r="T13" s="27">
        <f t="shared" si="7"/>
        <v>3461.8482149561173</v>
      </c>
      <c r="U13" s="27">
        <f t="shared" si="7"/>
        <v>3461.8482149561173</v>
      </c>
      <c r="V13" s="27">
        <f t="shared" si="7"/>
        <v>3461.8482149561173</v>
      </c>
      <c r="W13" s="27">
        <f t="shared" si="7"/>
        <v>3461.8482149561173</v>
      </c>
      <c r="X13" s="27">
        <f t="shared" si="7"/>
        <v>3461.8482149561173</v>
      </c>
      <c r="Y13" s="27">
        <f t="shared" si="7"/>
        <v>3461.8482149561173</v>
      </c>
    </row>
    <row r="14" spans="1:25" x14ac:dyDescent="0.25">
      <c r="A14" s="21">
        <v>2</v>
      </c>
      <c r="B14" s="22">
        <f>B$2*'Cost Distribution By Year'!C21</f>
        <v>3.6394464720194639</v>
      </c>
      <c r="C14" s="25">
        <f>C13*(1+C$10)</f>
        <v>3.7969500000000003</v>
      </c>
      <c r="D14" s="23">
        <f>FishHarvestTimeTrends!AC23*((1+'OriginalBCACalculations 0%'!D$10)^MIN('OriginalBCACalculations 0%'!$A14,20))</f>
        <v>-0.45045485235064703</v>
      </c>
      <c r="E14" s="23">
        <f>FishHarvestTimeTrends!AD23*((1+'OriginalBCACalculations 0%'!E$10)^MIN('OriginalBCACalculations 0%'!$A14,20))</f>
        <v>-9.9738895333582739E-2</v>
      </c>
      <c r="G14" s="27">
        <f t="shared" ref="G14:G22" si="8">G13*(1+G$10)</f>
        <v>3471.1347000000001</v>
      </c>
      <c r="J14" s="41">
        <f t="shared" ref="J14:J31" si="9">B14/((1+$M$9)^($A14-1))</f>
        <v>3.6394464720194639</v>
      </c>
      <c r="K14" s="41">
        <f t="shared" si="6"/>
        <v>3.7969500000000003</v>
      </c>
      <c r="L14" s="41">
        <f t="shared" si="6"/>
        <v>-0.45045485235064703</v>
      </c>
      <c r="M14" s="41">
        <f t="shared" si="6"/>
        <v>-9.9738895333582739E-2</v>
      </c>
      <c r="N14" s="41"/>
      <c r="O14" s="41">
        <f t="shared" ref="O14:O19" si="10">G14/((1+$M$9)^($A14-1))</f>
        <v>3471.1347000000001</v>
      </c>
      <c r="P14" s="41"/>
      <c r="R14" s="27">
        <f t="shared" ref="R14:Y29" si="11">(SUM($D14:$H14)-SUM($B14:$C14))/((1+R$10)^($A14-1))</f>
        <v>3463.1481097802962</v>
      </c>
      <c r="S14" s="27">
        <f t="shared" si="7"/>
        <v>3428.8595146339567</v>
      </c>
      <c r="T14" s="27">
        <f t="shared" si="7"/>
        <v>3395.2432448826435</v>
      </c>
      <c r="U14" s="27">
        <f t="shared" si="7"/>
        <v>3362.279718233297</v>
      </c>
      <c r="V14" s="27">
        <f t="shared" si="7"/>
        <v>3329.9501055579772</v>
      </c>
      <c r="W14" s="27">
        <f t="shared" si="7"/>
        <v>3298.2362950288534</v>
      </c>
      <c r="X14" s="27">
        <f t="shared" si="7"/>
        <v>3267.1208582832983</v>
      </c>
      <c r="Y14" s="27">
        <f t="shared" si="7"/>
        <v>3236.5870184862579</v>
      </c>
    </row>
    <row r="15" spans="1:25" x14ac:dyDescent="0.25">
      <c r="A15" s="21">
        <v>3</v>
      </c>
      <c r="B15" s="22">
        <f>B$2*'Cost Distribution By Year'!C22</f>
        <v>6.7489735401459834</v>
      </c>
      <c r="C15" s="25">
        <f t="shared" ref="C15:C32" si="12">C14*(1+C$10)</f>
        <v>3.8728890000000002</v>
      </c>
      <c r="D15" s="23">
        <f>FishHarvestTimeTrends!AC24*((1+'OriginalBCACalculations 0%'!D$10)^MIN('OriginalBCACalculations 0%'!$A15,20))</f>
        <v>-0.40817195254769112</v>
      </c>
      <c r="E15" s="23">
        <f>FishHarvestTimeTrends!AD24*((1+'OriginalBCACalculations 0%'!E$10)^MIN('OriginalBCACalculations 0%'!$A15,20))</f>
        <v>-9.9788764781249525E-2</v>
      </c>
      <c r="G15" s="27">
        <f t="shared" si="8"/>
        <v>3472.8702673499997</v>
      </c>
      <c r="J15" s="41">
        <f t="shared" si="9"/>
        <v>6.7489735401459834</v>
      </c>
      <c r="K15" s="41">
        <f t="shared" si="6"/>
        <v>3.8728890000000002</v>
      </c>
      <c r="L15" s="41">
        <f t="shared" si="6"/>
        <v>-0.40817195254769112</v>
      </c>
      <c r="M15" s="41">
        <f t="shared" si="6"/>
        <v>-9.9788764781249525E-2</v>
      </c>
      <c r="N15" s="41"/>
      <c r="O15" s="41">
        <f t="shared" si="10"/>
        <v>3472.8702673499997</v>
      </c>
      <c r="P15" s="41"/>
      <c r="R15" s="27">
        <f t="shared" si="11"/>
        <v>3461.7404440925247</v>
      </c>
      <c r="S15" s="27">
        <f t="shared" si="7"/>
        <v>3393.5304814160618</v>
      </c>
      <c r="T15" s="27">
        <f t="shared" si="7"/>
        <v>3327.3168436106544</v>
      </c>
      <c r="U15" s="27">
        <f t="shared" si="7"/>
        <v>3263.02238108448</v>
      </c>
      <c r="V15" s="27">
        <f t="shared" si="7"/>
        <v>3200.5736354405735</v>
      </c>
      <c r="W15" s="27">
        <f t="shared" si="7"/>
        <v>3139.9006295623808</v>
      </c>
      <c r="X15" s="27">
        <f t="shared" si="7"/>
        <v>3080.9366714956604</v>
      </c>
      <c r="Y15" s="27">
        <f t="shared" si="7"/>
        <v>3023.6181711001177</v>
      </c>
    </row>
    <row r="16" spans="1:25" x14ac:dyDescent="0.25">
      <c r="A16" s="21">
        <v>4</v>
      </c>
      <c r="B16" s="22">
        <f>B$2*'Cost Distribution By Year'!C23</f>
        <v>11.078315085158149</v>
      </c>
      <c r="C16" s="25">
        <f t="shared" si="12"/>
        <v>3.9503467800000003</v>
      </c>
      <c r="D16" s="23">
        <f>FishHarvestTimeTrends!AC25*((1+'OriginalBCACalculations 0%'!D$10)^MIN('OriginalBCACalculations 0%'!$A16,20))</f>
        <v>-0.40319854528381316</v>
      </c>
      <c r="E16" s="23">
        <f>FishHarvestTimeTrends!AD25*((1+'OriginalBCACalculations 0%'!E$10)^MIN('OriginalBCACalculations 0%'!$A16,20))</f>
        <v>-9.9838659163640153E-2</v>
      </c>
      <c r="G16" s="27">
        <f t="shared" si="8"/>
        <v>3474.6067024836743</v>
      </c>
      <c r="J16" s="41">
        <f t="shared" si="9"/>
        <v>11.078315085158149</v>
      </c>
      <c r="K16" s="41">
        <f t="shared" si="6"/>
        <v>3.9503467800000003</v>
      </c>
      <c r="L16" s="41">
        <f t="shared" si="6"/>
        <v>-0.40319854528381316</v>
      </c>
      <c r="M16" s="41">
        <f t="shared" si="6"/>
        <v>-9.9838659163640153E-2</v>
      </c>
      <c r="N16" s="41"/>
      <c r="O16" s="41">
        <f t="shared" si="10"/>
        <v>3474.6067024836743</v>
      </c>
      <c r="P16" s="41"/>
      <c r="R16" s="27">
        <f t="shared" si="11"/>
        <v>3459.0750034140688</v>
      </c>
      <c r="S16" s="27">
        <f t="shared" si="7"/>
        <v>3357.3441192564783</v>
      </c>
      <c r="T16" s="27">
        <f t="shared" si="7"/>
        <v>3259.5636325904716</v>
      </c>
      <c r="U16" s="27">
        <f t="shared" si="7"/>
        <v>3165.5436384513869</v>
      </c>
      <c r="V16" s="27">
        <f t="shared" si="7"/>
        <v>3075.1050824046893</v>
      </c>
      <c r="W16" s="27">
        <f t="shared" si="7"/>
        <v>2988.0790440894662</v>
      </c>
      <c r="X16" s="27">
        <f t="shared" si="7"/>
        <v>2904.3060743214769</v>
      </c>
      <c r="Y16" s="27">
        <f t="shared" si="7"/>
        <v>2823.6355812931206</v>
      </c>
    </row>
    <row r="17" spans="1:25" x14ac:dyDescent="0.25">
      <c r="A17" s="21">
        <v>5</v>
      </c>
      <c r="B17" s="22">
        <f>B$2*'Cost Distribution By Year'!C24</f>
        <v>33.974832725060814</v>
      </c>
      <c r="C17" s="25">
        <f t="shared" si="12"/>
        <v>4.0293537156000001</v>
      </c>
      <c r="D17" s="23">
        <f>FishHarvestTimeTrends!AC26*((1+'OriginalBCACalculations 0%'!D$10)^MIN('OriginalBCACalculations 0%'!$A17,20))</f>
        <v>-0.39461345716601587</v>
      </c>
      <c r="E17" s="23">
        <f>FishHarvestTimeTrends!AD26*((1+'OriginalBCACalculations 0%'!E$10)^MIN('OriginalBCACalculations 0%'!$A17,20))</f>
        <v>-9.9407067189483431E-2</v>
      </c>
      <c r="G17" s="27">
        <f t="shared" si="8"/>
        <v>3476.3440058349161</v>
      </c>
      <c r="J17" s="41">
        <f t="shared" si="9"/>
        <v>33.974832725060814</v>
      </c>
      <c r="K17" s="41">
        <f t="shared" si="6"/>
        <v>4.0293537156000001</v>
      </c>
      <c r="L17" s="41">
        <f t="shared" si="6"/>
        <v>-0.39461345716601587</v>
      </c>
      <c r="M17" s="41">
        <f t="shared" si="6"/>
        <v>-9.9407067189483431E-2</v>
      </c>
      <c r="N17" s="41"/>
      <c r="O17" s="41">
        <f t="shared" si="10"/>
        <v>3476.3440058349161</v>
      </c>
      <c r="P17" s="41"/>
      <c r="R17" s="27">
        <f t="shared" si="11"/>
        <v>3437.8457988698997</v>
      </c>
      <c r="S17" s="27">
        <f t="shared" si="7"/>
        <v>3303.7022400767987</v>
      </c>
      <c r="T17" s="27">
        <f t="shared" si="7"/>
        <v>3176.0381166704246</v>
      </c>
      <c r="U17" s="27">
        <f t="shared" si="7"/>
        <v>3054.4814650272706</v>
      </c>
      <c r="V17" s="27">
        <f t="shared" si="7"/>
        <v>2938.6849969879258</v>
      </c>
      <c r="W17" s="27">
        <f t="shared" si="7"/>
        <v>2828.3242466831412</v>
      </c>
      <c r="X17" s="27">
        <f t="shared" si="7"/>
        <v>2723.0958724742977</v>
      </c>
      <c r="Y17" s="27">
        <f t="shared" si="7"/>
        <v>2622.7160997155461</v>
      </c>
    </row>
    <row r="18" spans="1:25" x14ac:dyDescent="0.25">
      <c r="A18" s="21">
        <v>6</v>
      </c>
      <c r="B18" s="22">
        <f>B$2*'Cost Distribution By Year'!C25</f>
        <v>22.756538929440381</v>
      </c>
      <c r="C18" s="25">
        <f t="shared" si="12"/>
        <v>4.1099407899120006</v>
      </c>
      <c r="D18" s="23">
        <f>FishHarvestTimeTrends!AC27*((1+'OriginalBCACalculations 0%'!D$10)^MIN('OriginalBCACalculations 0%'!$A18,20))</f>
        <v>-0.36609789732137704</v>
      </c>
      <c r="E18" s="23">
        <f>FishHarvestTimeTrends!AD27*((1+'OriginalBCACalculations 0%'!E$10)^MIN('OriginalBCACalculations 0%'!$A18,20))</f>
        <v>-9.2998613393808327E-2</v>
      </c>
      <c r="G18" s="27">
        <f t="shared" si="8"/>
        <v>3478.0821778378331</v>
      </c>
      <c r="J18" s="41">
        <f t="shared" si="9"/>
        <v>22.756538929440381</v>
      </c>
      <c r="K18" s="41">
        <f t="shared" si="6"/>
        <v>4.1099407899120006</v>
      </c>
      <c r="L18" s="41">
        <f t="shared" si="6"/>
        <v>-0.36609789732137704</v>
      </c>
      <c r="M18" s="41">
        <f t="shared" si="6"/>
        <v>-9.2998613393808327E-2</v>
      </c>
      <c r="N18" s="41"/>
      <c r="O18" s="41">
        <f t="shared" si="10"/>
        <v>3478.0821778378331</v>
      </c>
      <c r="P18" s="41"/>
      <c r="R18" s="27">
        <f t="shared" si="11"/>
        <v>3450.7566016077658</v>
      </c>
      <c r="S18" s="27">
        <f t="shared" si="7"/>
        <v>3283.2765027122609</v>
      </c>
      <c r="T18" s="27">
        <f t="shared" si="7"/>
        <v>3125.4565713001302</v>
      </c>
      <c r="U18" s="27">
        <f t="shared" si="7"/>
        <v>2976.6529573185039</v>
      </c>
      <c r="V18" s="27">
        <f t="shared" si="7"/>
        <v>2836.270389690203</v>
      </c>
      <c r="W18" s="27">
        <f t="shared" si="7"/>
        <v>2703.7580914734599</v>
      </c>
      <c r="X18" s="27">
        <f t="shared" si="7"/>
        <v>2578.6060731229027</v>
      </c>
      <c r="Y18" s="27">
        <f t="shared" si="7"/>
        <v>2460.3417657083678</v>
      </c>
    </row>
    <row r="19" spans="1:25" x14ac:dyDescent="0.25">
      <c r="A19" s="21">
        <v>7</v>
      </c>
      <c r="B19" s="22">
        <f>B$2*'Cost Distribution By Year'!C26</f>
        <v>21.886671228710455</v>
      </c>
      <c r="C19" s="25">
        <f t="shared" si="12"/>
        <v>4.1921396057102411</v>
      </c>
      <c r="D19" s="23">
        <f>FishHarvestTimeTrends!AC28*((1+'OriginalBCACalculations 0%'!D$10)^MIN('OriginalBCACalculations 0%'!$A19,20))</f>
        <v>-0.30824294902145893</v>
      </c>
      <c r="E19" s="23">
        <f>FishHarvestTimeTrends!AD28*((1+'OriginalBCACalculations 0%'!E$10)^MIN('OriginalBCACalculations 0%'!$A19,20))</f>
        <v>-8.3994920579371024E-2</v>
      </c>
      <c r="F19" s="23">
        <f>B6/10</f>
        <v>0.57000000000000006</v>
      </c>
      <c r="G19" s="27">
        <f t="shared" si="8"/>
        <v>3479.821218926752</v>
      </c>
      <c r="J19" s="41">
        <f t="shared" si="9"/>
        <v>21.886671228710455</v>
      </c>
      <c r="K19" s="41">
        <f t="shared" si="6"/>
        <v>4.1921396057102411</v>
      </c>
      <c r="L19" s="41">
        <f t="shared" si="6"/>
        <v>-0.30824294902145893</v>
      </c>
      <c r="M19" s="41">
        <f t="shared" si="6"/>
        <v>-8.3994920579371024E-2</v>
      </c>
      <c r="N19" s="41"/>
      <c r="O19" s="41">
        <f t="shared" si="10"/>
        <v>3479.821218926752</v>
      </c>
      <c r="P19" s="41"/>
      <c r="R19" s="27">
        <f t="shared" si="11"/>
        <v>3453.9201702227301</v>
      </c>
      <c r="S19" s="27">
        <f t="shared" si="7"/>
        <v>3253.749039306721</v>
      </c>
      <c r="T19" s="27">
        <f t="shared" si="7"/>
        <v>3066.9822675134451</v>
      </c>
      <c r="U19" s="27">
        <f t="shared" si="7"/>
        <v>2892.6037664036644</v>
      </c>
      <c r="V19" s="27">
        <f t="shared" si="7"/>
        <v>2729.6832812393609</v>
      </c>
      <c r="W19" s="27">
        <f t="shared" si="7"/>
        <v>2577.3684097740029</v>
      </c>
      <c r="X19" s="27">
        <f t="shared" si="7"/>
        <v>2434.8774298357143</v>
      </c>
      <c r="Y19" s="27">
        <f t="shared" si="7"/>
        <v>2301.4928471109215</v>
      </c>
    </row>
    <row r="20" spans="1:25" x14ac:dyDescent="0.25">
      <c r="A20" s="21">
        <v>8</v>
      </c>
      <c r="B20" s="22">
        <f>B$2*'Cost Distribution By Year'!C27</f>
        <v>21.906668187347925</v>
      </c>
      <c r="C20" s="25">
        <f t="shared" si="12"/>
        <v>4.2759823978244462</v>
      </c>
      <c r="D20" s="23">
        <f>FishHarvestTimeTrends!AC29*((1+'OriginalBCACalculations 0%'!D$10)^MIN('OriginalBCACalculations 0%'!$A20,20))</f>
        <v>-0.31754299951791759</v>
      </c>
      <c r="E20" s="23">
        <f>FishHarvestTimeTrends!AD29*((1+'OriginalBCACalculations 0%'!E$10)^MIN('OriginalBCACalculations 0%'!$A20,20))</f>
        <v>-8.534578261212164E-2</v>
      </c>
      <c r="F20" s="23">
        <f>2*(B6/10)</f>
        <v>1.1400000000000001</v>
      </c>
      <c r="G20" s="27">
        <f t="shared" si="8"/>
        <v>3481.561129536215</v>
      </c>
      <c r="H20" s="22">
        <f>B$8</f>
        <v>2.8000000000000001E-2</v>
      </c>
      <c r="I20" s="22"/>
      <c r="J20" s="41">
        <f t="shared" si="9"/>
        <v>21.906668187347925</v>
      </c>
      <c r="K20" s="41">
        <f t="shared" si="6"/>
        <v>4.2759823978244462</v>
      </c>
      <c r="L20" s="41">
        <f t="shared" si="6"/>
        <v>-0.31754299951791759</v>
      </c>
      <c r="M20" s="41">
        <f t="shared" si="6"/>
        <v>-8.534578261212164E-2</v>
      </c>
      <c r="N20" s="41">
        <f t="shared" si="6"/>
        <v>1.1400000000000001</v>
      </c>
      <c r="O20" s="41">
        <f>(G20/((1+$M$9)^($A20-1)))</f>
        <v>3481.561129536215</v>
      </c>
      <c r="P20" s="41">
        <f t="shared" ref="P20:P83" si="13">H20/((1+$M$9)^($A20-1))</f>
        <v>2.8000000000000001E-2</v>
      </c>
      <c r="R20" s="27">
        <f t="shared" si="11"/>
        <v>3456.1435901689124</v>
      </c>
      <c r="S20" s="27">
        <f t="shared" si="7"/>
        <v>3223.6075262108834</v>
      </c>
      <c r="T20" s="27">
        <f t="shared" si="7"/>
        <v>3008.780981172782</v>
      </c>
      <c r="U20" s="27">
        <f t="shared" si="7"/>
        <v>2810.1610151500854</v>
      </c>
      <c r="V20" s="27">
        <f t="shared" si="7"/>
        <v>2626.3850791534878</v>
      </c>
      <c r="W20" s="27">
        <f t="shared" si="7"/>
        <v>2456.2167237819358</v>
      </c>
      <c r="X20" s="27">
        <f t="shared" si="7"/>
        <v>2298.5328803420748</v>
      </c>
      <c r="Y20" s="27">
        <f t="shared" si="7"/>
        <v>2152.3125286937743</v>
      </c>
    </row>
    <row r="21" spans="1:25" x14ac:dyDescent="0.25">
      <c r="A21" s="21">
        <v>9</v>
      </c>
      <c r="B21" s="22">
        <f>B$2*'Cost Distribution By Year'!C28</f>
        <v>1.6797445255474448</v>
      </c>
      <c r="C21" s="25">
        <f t="shared" si="12"/>
        <v>4.3615020457809353</v>
      </c>
      <c r="D21" s="23">
        <f>FishHarvestTimeTrends!AC30*((1+'OriginalBCACalculations 0%'!D$10)^MIN('OriginalBCACalculations 0%'!$A21,20))</f>
        <v>-0.24394231149703147</v>
      </c>
      <c r="E21" s="23">
        <f>FishHarvestTimeTrends!AD30*((1+'OriginalBCACalculations 0%'!E$10)^MIN('OriginalBCACalculations 0%'!$A21,20))</f>
        <v>-7.2090804198112118E-2</v>
      </c>
      <c r="F21" s="23">
        <f>3*(B6/10)</f>
        <v>1.7100000000000002</v>
      </c>
      <c r="G21" s="27">
        <f t="shared" si="8"/>
        <v>3483.3019101009832</v>
      </c>
      <c r="H21" s="22">
        <f t="shared" ref="H21:H84" si="14">B$8</f>
        <v>2.8000000000000001E-2</v>
      </c>
      <c r="I21" s="22"/>
      <c r="J21" s="41">
        <f t="shared" si="9"/>
        <v>1.6797445255474448</v>
      </c>
      <c r="K21" s="41">
        <f t="shared" si="6"/>
        <v>4.3615020457809353</v>
      </c>
      <c r="L21" s="41">
        <f t="shared" si="6"/>
        <v>-0.24394231149703147</v>
      </c>
      <c r="M21" s="41">
        <f t="shared" si="6"/>
        <v>-7.2090804198112118E-2</v>
      </c>
      <c r="N21" s="41">
        <f t="shared" si="6"/>
        <v>1.7100000000000002</v>
      </c>
      <c r="O21" s="41">
        <f>G21/((1+$M$9)^($A21-1))</f>
        <v>3483.3019101009832</v>
      </c>
      <c r="P21" s="41">
        <f t="shared" si="13"/>
        <v>2.8000000000000001E-2</v>
      </c>
      <c r="R21" s="27">
        <f t="shared" si="11"/>
        <v>3478.6826304139595</v>
      </c>
      <c r="S21" s="27">
        <f t="shared" si="7"/>
        <v>3212.5050455279293</v>
      </c>
      <c r="T21" s="27">
        <f t="shared" si="7"/>
        <v>2969.0221294846042</v>
      </c>
      <c r="U21" s="27">
        <f t="shared" si="7"/>
        <v>2746.1041916962718</v>
      </c>
      <c r="V21" s="27">
        <f t="shared" si="7"/>
        <v>2541.8393243540163</v>
      </c>
      <c r="W21" s="27">
        <f t="shared" si="7"/>
        <v>2354.5093322696598</v>
      </c>
      <c r="X21" s="27">
        <f t="shared" si="7"/>
        <v>2182.568518293645</v>
      </c>
      <c r="Y21" s="27">
        <f t="shared" si="7"/>
        <v>2024.6249627931811</v>
      </c>
    </row>
    <row r="22" spans="1:25" x14ac:dyDescent="0.25">
      <c r="A22" s="21">
        <v>10</v>
      </c>
      <c r="B22" s="22">
        <f>B$2*'Cost Distribution By Year'!C29</f>
        <v>1.6797445255474448</v>
      </c>
      <c r="C22" s="25">
        <f t="shared" si="12"/>
        <v>4.4487320866965536</v>
      </c>
      <c r="D22" s="23">
        <f>FishHarvestTimeTrends!AC31*((1+'OriginalBCACalculations 0%'!D$10)^MIN('OriginalBCACalculations 0%'!$A22,20))</f>
        <v>-0.19428149710205203</v>
      </c>
      <c r="E22" s="23">
        <f>FishHarvestTimeTrends!AD31*((1+'OriginalBCACalculations 0%'!E$10)^MIN('OriginalBCACalculations 0%'!$A22,20))</f>
        <v>-6.6597232335975212E-2</v>
      </c>
      <c r="F22" s="23">
        <f>4*(B6/10)</f>
        <v>2.2800000000000002</v>
      </c>
      <c r="G22" s="27">
        <f t="shared" si="8"/>
        <v>3485.0435610560335</v>
      </c>
      <c r="H22" s="22">
        <f t="shared" si="14"/>
        <v>2.8000000000000001E-2</v>
      </c>
      <c r="I22" s="22"/>
      <c r="J22" s="41">
        <f t="shared" si="9"/>
        <v>1.6797445255474448</v>
      </c>
      <c r="K22" s="41">
        <f t="shared" si="6"/>
        <v>4.4487320866965536</v>
      </c>
      <c r="L22" s="41">
        <f t="shared" si="6"/>
        <v>-0.19428149710205203</v>
      </c>
      <c r="M22" s="41">
        <f t="shared" si="6"/>
        <v>-6.6597232335975212E-2</v>
      </c>
      <c r="N22" s="41">
        <f t="shared" si="6"/>
        <v>2.2800000000000002</v>
      </c>
      <c r="O22" s="41">
        <f>G22/((1+$M$9)^($A22-1))</f>
        <v>3485.0435610560335</v>
      </c>
      <c r="P22" s="41">
        <f t="shared" si="13"/>
        <v>2.8000000000000001E-2</v>
      </c>
      <c r="R22" s="27">
        <f t="shared" si="11"/>
        <v>3480.9622057143511</v>
      </c>
      <c r="S22" s="27">
        <f t="shared" si="7"/>
        <v>3182.7823713586395</v>
      </c>
      <c r="T22" s="27">
        <f t="shared" si="7"/>
        <v>2912.7134559351875</v>
      </c>
      <c r="U22" s="27">
        <f t="shared" si="7"/>
        <v>2667.867679115257</v>
      </c>
      <c r="V22" s="27">
        <f t="shared" si="7"/>
        <v>2445.6778727861315</v>
      </c>
      <c r="W22" s="27">
        <f t="shared" si="7"/>
        <v>2243.8592748206411</v>
      </c>
      <c r="X22" s="27">
        <f t="shared" si="7"/>
        <v>2060.3761811684112</v>
      </c>
      <c r="Y22" s="27">
        <f t="shared" si="7"/>
        <v>1893.4128003481778</v>
      </c>
    </row>
    <row r="23" spans="1:25" x14ac:dyDescent="0.25">
      <c r="A23" s="21">
        <v>11</v>
      </c>
      <c r="B23" s="22">
        <f>B$2*'Cost Distribution By Year'!C30</f>
        <v>0.65989963503649618</v>
      </c>
      <c r="C23" s="25">
        <f t="shared" si="12"/>
        <v>4.5377067284304848</v>
      </c>
      <c r="D23" s="23">
        <f>FishHarvestTimeTrends!AC32*((1+'OriginalBCACalculations 0%'!D$10)^MIN('OriginalBCACalculations 0%'!$A23,20))</f>
        <v>8.6167725856419811E-3</v>
      </c>
      <c r="E23" s="23">
        <f>FishHarvestTimeTrends!AD32*((1+'OriginalBCACalculations 0%'!E$10)^MIN('OriginalBCACalculations 0%'!$A23,20))</f>
        <v>-3.3324567397867599E-2</v>
      </c>
      <c r="F23" s="23">
        <f>5*(B6/10)</f>
        <v>2.8500000000000005</v>
      </c>
      <c r="H23" s="22">
        <f t="shared" si="14"/>
        <v>2.8000000000000001E-2</v>
      </c>
      <c r="I23" s="22"/>
      <c r="J23" s="41">
        <f t="shared" si="9"/>
        <v>0.65989963503649618</v>
      </c>
      <c r="K23" s="41">
        <f t="shared" si="6"/>
        <v>4.5377067284304848</v>
      </c>
      <c r="L23" s="41">
        <f t="shared" si="6"/>
        <v>8.6167725856419811E-3</v>
      </c>
      <c r="M23" s="41">
        <f t="shared" si="6"/>
        <v>-3.3324567397867599E-2</v>
      </c>
      <c r="N23" s="41">
        <f t="shared" si="6"/>
        <v>2.8500000000000005</v>
      </c>
      <c r="O23" s="67"/>
      <c r="P23" s="41">
        <f t="shared" si="13"/>
        <v>2.8000000000000001E-2</v>
      </c>
      <c r="R23" s="27">
        <f t="shared" si="11"/>
        <v>-2.3443141582792064</v>
      </c>
      <c r="S23" s="27">
        <f t="shared" si="7"/>
        <v>-2.1222770251922269</v>
      </c>
      <c r="T23" s="27">
        <f t="shared" si="7"/>
        <v>-1.9231541341176026</v>
      </c>
      <c r="U23" s="27">
        <f t="shared" si="7"/>
        <v>-1.7443898997817957</v>
      </c>
      <c r="V23" s="27">
        <f t="shared" si="7"/>
        <v>-1.5837346458044437</v>
      </c>
      <c r="W23" s="27">
        <f t="shared" si="7"/>
        <v>-1.4392055322308541</v>
      </c>
      <c r="X23" s="27">
        <f t="shared" si="7"/>
        <v>-1.3090527814312698</v>
      </c>
      <c r="Y23" s="27">
        <f t="shared" si="7"/>
        <v>-1.1917304429026314</v>
      </c>
    </row>
    <row r="24" spans="1:25" x14ac:dyDescent="0.25">
      <c r="A24" s="21">
        <v>12</v>
      </c>
      <c r="B24" s="22">
        <f>B$2*'Cost Distribution By Year'!C31</f>
        <v>0.6499011557177613</v>
      </c>
      <c r="C24" s="25">
        <f t="shared" si="12"/>
        <v>4.6284608629990949</v>
      </c>
      <c r="D24" s="23">
        <f>FishHarvestTimeTrends!AC33*((1+'OriginalBCACalculations 0%'!D$10)^MIN('OriginalBCACalculations 0%'!$A24,20))</f>
        <v>0.21183980384499437</v>
      </c>
      <c r="E24" s="23">
        <f>FishHarvestTimeTrends!AD33*((1+'OriginalBCACalculations 0%'!E$10)^MIN('OriginalBCACalculations 0%'!$A24,20))</f>
        <v>-1.8613145513795979E-5</v>
      </c>
      <c r="F24" s="23">
        <f>6*(B6/10)</f>
        <v>3.4200000000000004</v>
      </c>
      <c r="H24" s="22">
        <f t="shared" si="14"/>
        <v>2.8000000000000001E-2</v>
      </c>
      <c r="I24" s="22"/>
      <c r="J24" s="41">
        <f t="shared" si="9"/>
        <v>0.6499011557177613</v>
      </c>
      <c r="K24" s="41">
        <f t="shared" si="6"/>
        <v>4.6284608629990949</v>
      </c>
      <c r="L24" s="41">
        <f t="shared" si="6"/>
        <v>0.21183980384499437</v>
      </c>
      <c r="M24" s="41">
        <f t="shared" si="6"/>
        <v>-1.8613145513795979E-5</v>
      </c>
      <c r="N24" s="41">
        <f t="shared" si="6"/>
        <v>3.4200000000000004</v>
      </c>
      <c r="O24" s="67"/>
      <c r="P24" s="41">
        <f t="shared" si="13"/>
        <v>2.8000000000000001E-2</v>
      </c>
      <c r="R24" s="27">
        <f t="shared" si="11"/>
        <v>-1.618540828017375</v>
      </c>
      <c r="S24" s="27">
        <f t="shared" si="7"/>
        <v>-1.4507365319228802</v>
      </c>
      <c r="T24" s="27">
        <f t="shared" si="7"/>
        <v>-1.3017325652378235</v>
      </c>
      <c r="U24" s="27">
        <f t="shared" si="7"/>
        <v>-1.1692683312035299</v>
      </c>
      <c r="V24" s="27">
        <f t="shared" si="7"/>
        <v>-1.0513732588367093</v>
      </c>
      <c r="W24" s="27">
        <f t="shared" si="7"/>
        <v>-0.94632730068257254</v>
      </c>
      <c r="X24" s="27">
        <f t="shared" si="7"/>
        <v>-0.85262711753657749</v>
      </c>
      <c r="Y24" s="27">
        <f t="shared" si="7"/>
        <v>-0.76895708805025464</v>
      </c>
    </row>
    <row r="25" spans="1:25" x14ac:dyDescent="0.25">
      <c r="A25" s="21">
        <v>13</v>
      </c>
      <c r="B25" s="22">
        <f>B$2*'Cost Distribution By Year'!C32</f>
        <v>0.3599452554744525</v>
      </c>
      <c r="C25" s="25">
        <f t="shared" si="12"/>
        <v>4.7210300802590766</v>
      </c>
      <c r="D25" s="23">
        <f>FishHarvestTimeTrends!AC34*((1+'OriginalBCACalculations 0%'!D$10)^MIN('OriginalBCACalculations 0%'!$A25,20))</f>
        <v>0.41538798643962715</v>
      </c>
      <c r="E25" s="23">
        <f>FishHarvestTimeTrends!AD34*((1+'OriginalBCACalculations 0%'!E$10)^MIN('OriginalBCACalculations 0%'!$A25,20))</f>
        <v>3.3320655392234194E-2</v>
      </c>
      <c r="F25" s="23">
        <f>7*(B6/10)</f>
        <v>3.99</v>
      </c>
      <c r="H25" s="22">
        <f t="shared" si="14"/>
        <v>2.8000000000000001E-2</v>
      </c>
      <c r="I25" s="22"/>
      <c r="J25" s="41">
        <f t="shared" si="9"/>
        <v>0.3599452554744525</v>
      </c>
      <c r="K25" s="41">
        <f t="shared" si="6"/>
        <v>4.7210300802590766</v>
      </c>
      <c r="L25" s="41">
        <f t="shared" si="6"/>
        <v>0.41538798643962715</v>
      </c>
      <c r="M25" s="41">
        <f t="shared" si="6"/>
        <v>3.3320655392234194E-2</v>
      </c>
      <c r="N25" s="41">
        <f t="shared" si="6"/>
        <v>3.99</v>
      </c>
      <c r="O25" s="67"/>
      <c r="P25" s="41">
        <f t="shared" si="13"/>
        <v>2.8000000000000001E-2</v>
      </c>
      <c r="R25" s="27">
        <f t="shared" si="11"/>
        <v>-0.61426669390166833</v>
      </c>
      <c r="S25" s="27">
        <f t="shared" si="7"/>
        <v>-0.54513050160922283</v>
      </c>
      <c r="T25" s="27">
        <f t="shared" si="7"/>
        <v>-0.48434509612857174</v>
      </c>
      <c r="U25" s="27">
        <f t="shared" si="7"/>
        <v>-0.4308343001752859</v>
      </c>
      <c r="V25" s="27">
        <f t="shared" si="7"/>
        <v>-0.38366916466628304</v>
      </c>
      <c r="W25" s="27">
        <f t="shared" si="7"/>
        <v>-0.34204667990467025</v>
      </c>
      <c r="X25" s="27">
        <f t="shared" si="7"/>
        <v>-0.30527172793486029</v>
      </c>
      <c r="Y25" s="27">
        <f t="shared" si="7"/>
        <v>-0.27274175825560876</v>
      </c>
    </row>
    <row r="26" spans="1:25" x14ac:dyDescent="0.25">
      <c r="A26" s="21">
        <v>14</v>
      </c>
      <c r="B26" s="22">
        <f>B$2*'Cost Distribution By Year'!C33</f>
        <v>0.32994981751824815</v>
      </c>
      <c r="C26" s="25">
        <f t="shared" si="12"/>
        <v>4.8154506818642577</v>
      </c>
      <c r="D26" s="23">
        <f>FishHarvestTimeTrends!AC35*((1+'OriginalBCACalculations 0%'!D$10)^MIN('OriginalBCACalculations 0%'!$A26,20))</f>
        <v>0.61926171054893731</v>
      </c>
      <c r="E26" s="23">
        <f>FishHarvestTimeTrends!AD35*((1+'OriginalBCACalculations 0%'!E$10)^MIN('OriginalBCACalculations 0%'!$A26,20))</f>
        <v>6.6693263203173231E-2</v>
      </c>
      <c r="F26" s="23">
        <f>8*(B6/10)</f>
        <v>4.5600000000000005</v>
      </c>
      <c r="H26" s="22">
        <f t="shared" si="14"/>
        <v>2.8000000000000001E-2</v>
      </c>
      <c r="I26" s="22"/>
      <c r="J26" s="41">
        <f t="shared" si="9"/>
        <v>0.32994981751824815</v>
      </c>
      <c r="K26" s="41">
        <f t="shared" si="6"/>
        <v>4.8154506818642577</v>
      </c>
      <c r="L26" s="41">
        <f t="shared" si="6"/>
        <v>0.61926171054893731</v>
      </c>
      <c r="M26" s="41">
        <f t="shared" si="6"/>
        <v>6.6693263203173231E-2</v>
      </c>
      <c r="N26" s="41">
        <f t="shared" si="6"/>
        <v>4.5600000000000005</v>
      </c>
      <c r="O26" s="67"/>
      <c r="P26" s="41">
        <f t="shared" si="13"/>
        <v>2.8000000000000001E-2</v>
      </c>
      <c r="R26" s="27">
        <f t="shared" si="11"/>
        <v>0.12855447436960521</v>
      </c>
      <c r="S26" s="27">
        <f t="shared" si="7"/>
        <v>0.11295600859769821</v>
      </c>
      <c r="T26" s="27">
        <f t="shared" si="7"/>
        <v>9.9376789932275167E-2</v>
      </c>
      <c r="U26" s="27">
        <f t="shared" si="7"/>
        <v>8.7539341584101316E-2</v>
      </c>
      <c r="V26" s="27">
        <f t="shared" si="7"/>
        <v>7.7206485963049534E-2</v>
      </c>
      <c r="W26" s="27">
        <f t="shared" si="7"/>
        <v>6.8175182479184956E-2</v>
      </c>
      <c r="X26" s="27">
        <f t="shared" si="7"/>
        <v>6.0271354068338223E-2</v>
      </c>
      <c r="Y26" s="27">
        <f t="shared" si="7"/>
        <v>5.3345536480384384E-2</v>
      </c>
    </row>
    <row r="27" spans="1:25" x14ac:dyDescent="0.25">
      <c r="A27" s="21">
        <v>15</v>
      </c>
      <c r="B27" s="22">
        <f>B$2*'Cost Distribution By Year'!C34</f>
        <v>0.26995894160583939</v>
      </c>
      <c r="C27" s="25">
        <f t="shared" si="12"/>
        <v>4.9117596955015426</v>
      </c>
      <c r="D27" s="23">
        <f>FishHarvestTimeTrends!AC36*((1+'OriginalBCACalculations 0%'!D$10)^MIN('OriginalBCACalculations 0%'!$A27,20))</f>
        <v>0.82346136676851034</v>
      </c>
      <c r="E27" s="23">
        <f>FishHarvestTimeTrends!AD36*((1+'OriginalBCACalculations 0%'!E$10)^MIN('OriginalBCACalculations 0%'!$A27,20))</f>
        <v>0.10009923529175935</v>
      </c>
      <c r="F27" s="23">
        <f>9*(B6/10)</f>
        <v>5.1300000000000008</v>
      </c>
      <c r="H27" s="22">
        <f t="shared" si="14"/>
        <v>2.8000000000000001E-2</v>
      </c>
      <c r="I27" s="22"/>
      <c r="J27" s="41">
        <f t="shared" si="9"/>
        <v>0.26995894160583939</v>
      </c>
      <c r="K27" s="41">
        <f t="shared" si="6"/>
        <v>4.9117596955015426</v>
      </c>
      <c r="L27" s="41">
        <f t="shared" si="6"/>
        <v>0.82346136676851034</v>
      </c>
      <c r="M27" s="41">
        <f t="shared" si="6"/>
        <v>0.10009923529175935</v>
      </c>
      <c r="N27" s="41">
        <f t="shared" si="6"/>
        <v>5.1300000000000008</v>
      </c>
      <c r="O27" s="67"/>
      <c r="P27" s="41">
        <f t="shared" si="13"/>
        <v>2.8000000000000001E-2</v>
      </c>
      <c r="R27" s="27">
        <f t="shared" si="11"/>
        <v>0.89984196495288771</v>
      </c>
      <c r="S27" s="27">
        <f t="shared" si="7"/>
        <v>0.78282918798011336</v>
      </c>
      <c r="T27" s="27">
        <f t="shared" si="7"/>
        <v>0.68196775131424447</v>
      </c>
      <c r="U27" s="27">
        <f t="shared" si="7"/>
        <v>0.59490154545316798</v>
      </c>
      <c r="V27" s="27">
        <f t="shared" si="7"/>
        <v>0.51963631323770532</v>
      </c>
      <c r="W27" s="27">
        <f t="shared" si="7"/>
        <v>0.45448133925822043</v>
      </c>
      <c r="X27" s="27">
        <f t="shared" si="7"/>
        <v>0.39800096888796205</v>
      </c>
      <c r="Y27" s="27">
        <f t="shared" si="7"/>
        <v>0.34897422819963725</v>
      </c>
    </row>
    <row r="28" spans="1:25" x14ac:dyDescent="0.25">
      <c r="A28" s="21">
        <v>16</v>
      </c>
      <c r="B28" s="22">
        <f>B$2*'Cost Distribution By Year'!C35</f>
        <v>0.25996046228710451</v>
      </c>
      <c r="C28" s="25">
        <f t="shared" si="12"/>
        <v>5.0099948894115736</v>
      </c>
      <c r="D28" s="23">
        <f>FishHarvestTimeTrends!AC37*((1+'OriginalBCACalculations 0%'!D$10)^MIN('OriginalBCACalculations 0%'!$A28,20))</f>
        <v>0.96530840130180551</v>
      </c>
      <c r="E28" s="23">
        <f>FishHarvestTimeTrends!AD37*((1+'OriginalBCACalculations 0%'!E$10)^MIN('OriginalBCACalculations 0%'!$A28,20))</f>
        <v>0.12312041225906903</v>
      </c>
      <c r="F28" s="23">
        <f>10*(B6/10)</f>
        <v>5.7000000000000011</v>
      </c>
      <c r="H28" s="22">
        <f t="shared" si="14"/>
        <v>2.8000000000000001E-2</v>
      </c>
      <c r="I28" s="22"/>
      <c r="J28" s="41">
        <f t="shared" si="9"/>
        <v>0.25996046228710451</v>
      </c>
      <c r="K28" s="41">
        <f t="shared" si="6"/>
        <v>5.0099948894115736</v>
      </c>
      <c r="L28" s="41">
        <f t="shared" si="6"/>
        <v>0.96530840130180551</v>
      </c>
      <c r="M28" s="41">
        <f t="shared" si="6"/>
        <v>0.12312041225906903</v>
      </c>
      <c r="N28" s="41">
        <f t="shared" si="6"/>
        <v>5.7000000000000011</v>
      </c>
      <c r="O28" s="67"/>
      <c r="P28" s="41">
        <f t="shared" si="13"/>
        <v>2.8000000000000001E-2</v>
      </c>
      <c r="R28" s="27">
        <f t="shared" si="11"/>
        <v>1.5464734618621971</v>
      </c>
      <c r="S28" s="27">
        <f t="shared" si="7"/>
        <v>1.3320541042110288</v>
      </c>
      <c r="T28" s="27">
        <f t="shared" si="7"/>
        <v>1.1490525616999512</v>
      </c>
      <c r="U28" s="27">
        <f t="shared" si="7"/>
        <v>0.99262246782821351</v>
      </c>
      <c r="V28" s="27">
        <f t="shared" si="7"/>
        <v>0.85870181776018939</v>
      </c>
      <c r="W28" s="27">
        <f t="shared" si="7"/>
        <v>0.74388017689965069</v>
      </c>
      <c r="X28" s="27">
        <f t="shared" si="7"/>
        <v>0.64528934298983098</v>
      </c>
      <c r="Y28" s="27">
        <f t="shared" si="7"/>
        <v>0.56051315073449381</v>
      </c>
    </row>
    <row r="29" spans="1:25" x14ac:dyDescent="0.25">
      <c r="A29" s="21">
        <v>17</v>
      </c>
      <c r="B29" s="22">
        <f>B$2*'Cost Distribution By Year'!C36</f>
        <v>0.11998175182481749</v>
      </c>
      <c r="C29" s="25">
        <f t="shared" si="12"/>
        <v>5.1101947871998048</v>
      </c>
      <c r="D29" s="23">
        <f>FishHarvestTimeTrends!AC38*((1+'OriginalBCACalculations 0%'!D$10)^MIN('OriginalBCACalculations 0%'!$A29,20))</f>
        <v>1.1073818640750788</v>
      </c>
      <c r="E29" s="23">
        <f>FishHarvestTimeTrends!AD38*((1+'OriginalBCACalculations 0%'!E$10)^MIN('OriginalBCACalculations 0%'!$A29,20))</f>
        <v>0.14616458537853716</v>
      </c>
      <c r="F29" s="23">
        <f t="shared" ref="F29:F33" si="15">F28*(1+F$10)</f>
        <v>5.7028500000000006</v>
      </c>
      <c r="H29" s="22">
        <f t="shared" si="14"/>
        <v>2.8000000000000001E-2</v>
      </c>
      <c r="I29" s="22"/>
      <c r="J29" s="41">
        <f t="shared" si="9"/>
        <v>0.11998175182481749</v>
      </c>
      <c r="K29" s="41">
        <f t="shared" si="6"/>
        <v>5.1101947871998048</v>
      </c>
      <c r="L29" s="41">
        <f t="shared" si="6"/>
        <v>1.1073818640750788</v>
      </c>
      <c r="M29" s="41">
        <f t="shared" si="6"/>
        <v>0.14616458537853716</v>
      </c>
      <c r="N29" s="41">
        <f t="shared" si="6"/>
        <v>5.7028500000000006</v>
      </c>
      <c r="O29" s="67"/>
      <c r="P29" s="41">
        <f t="shared" si="13"/>
        <v>2.8000000000000001E-2</v>
      </c>
      <c r="R29" s="27">
        <f t="shared" si="11"/>
        <v>1.7542199104289935</v>
      </c>
      <c r="S29" s="27">
        <f t="shared" si="11"/>
        <v>1.4960360381995041</v>
      </c>
      <c r="T29" s="27">
        <f t="shared" si="11"/>
        <v>1.2778541500861598</v>
      </c>
      <c r="U29" s="27">
        <f t="shared" si="11"/>
        <v>1.093171852301019</v>
      </c>
      <c r="V29" s="27">
        <f t="shared" si="11"/>
        <v>0.93659235212892344</v>
      </c>
      <c r="W29" s="27">
        <f t="shared" si="11"/>
        <v>0.80362835307424396</v>
      </c>
      <c r="X29" s="27">
        <f t="shared" si="11"/>
        <v>0.69054214855532858</v>
      </c>
      <c r="Y29" s="27">
        <f t="shared" si="11"/>
        <v>0.59421497580594906</v>
      </c>
    </row>
    <row r="30" spans="1:25" x14ac:dyDescent="0.25">
      <c r="A30" s="21">
        <v>18</v>
      </c>
      <c r="B30" s="22">
        <f>B$2*'Cost Distribution By Year'!C37</f>
        <v>0.11998175182481749</v>
      </c>
      <c r="C30" s="25">
        <f t="shared" si="12"/>
        <v>5.2123986829438014</v>
      </c>
      <c r="D30" s="23">
        <f>FishHarvestTimeTrends!AC39*((1+'OriginalBCACalculations 0%'!D$10)^MIN('OriginalBCACalculations 0%'!$A30,20))</f>
        <v>1.2496820265914128</v>
      </c>
      <c r="E30" s="23">
        <f>FishHarvestTimeTrends!AD39*((1+'OriginalBCACalculations 0%'!E$10)^MIN('OriginalBCACalculations 0%'!$A30,20))</f>
        <v>0.1692317718910217</v>
      </c>
      <c r="F30" s="23">
        <f t="shared" si="15"/>
        <v>5.705701425</v>
      </c>
      <c r="H30" s="22">
        <f t="shared" si="14"/>
        <v>2.8000000000000001E-2</v>
      </c>
      <c r="I30" s="22"/>
      <c r="J30" s="41">
        <f t="shared" si="9"/>
        <v>0.11998175182481749</v>
      </c>
      <c r="K30" s="41">
        <f t="shared" si="6"/>
        <v>5.2123986829438014</v>
      </c>
      <c r="L30" s="41">
        <f t="shared" si="6"/>
        <v>1.2496820265914128</v>
      </c>
      <c r="M30" s="41">
        <f t="shared" si="6"/>
        <v>0.1692317718910217</v>
      </c>
      <c r="N30" s="41">
        <f t="shared" si="6"/>
        <v>5.705701425</v>
      </c>
      <c r="O30" s="67"/>
      <c r="P30" s="41">
        <f t="shared" si="13"/>
        <v>2.8000000000000001E-2</v>
      </c>
      <c r="R30" s="27">
        <f t="shared" ref="R30:Y45" si="16">(SUM($D30:$H30)-SUM($B30:$C30))/((1+R$10)^($A30-1))</f>
        <v>1.8202347887138153</v>
      </c>
      <c r="S30" s="27">
        <f t="shared" si="16"/>
        <v>1.5369652772502596</v>
      </c>
      <c r="T30" s="27">
        <f t="shared" si="16"/>
        <v>1.2999435409956792</v>
      </c>
      <c r="U30" s="27">
        <f t="shared" si="16"/>
        <v>1.1012719824706405</v>
      </c>
      <c r="V30" s="27">
        <f t="shared" si="16"/>
        <v>0.9344598416943225</v>
      </c>
      <c r="W30" s="27">
        <f t="shared" si="16"/>
        <v>0.79416240898988633</v>
      </c>
      <c r="X30" s="27">
        <f t="shared" si="16"/>
        <v>0.67597043402066015</v>
      </c>
      <c r="Y30" s="27">
        <f t="shared" si="16"/>
        <v>0.57623971873864444</v>
      </c>
    </row>
    <row r="31" spans="1:25" x14ac:dyDescent="0.25">
      <c r="A31" s="21">
        <v>19</v>
      </c>
      <c r="B31" s="22">
        <f>B$2*'Cost Distribution By Year'!C38</f>
        <v>9.9984793187347903E-2</v>
      </c>
      <c r="C31" s="25">
        <f t="shared" si="12"/>
        <v>5.3166466566026775</v>
      </c>
      <c r="D31" s="23">
        <f>FishHarvestTimeTrends!AC40*((1+'OriginalBCACalculations 0%'!D$10)^MIN('OriginalBCACalculations 0%'!$A31,20))</f>
        <v>1.39220916064338</v>
      </c>
      <c r="E31" s="23">
        <f>FishHarvestTimeTrends!AD40*((1+'OriginalBCACalculations 0%'!E$10)^MIN('OriginalBCACalculations 0%'!$A31,20))</f>
        <v>0.19232198904887243</v>
      </c>
      <c r="F31" s="23">
        <f t="shared" si="15"/>
        <v>5.7085542757124994</v>
      </c>
      <c r="H31" s="22">
        <f t="shared" si="14"/>
        <v>2.8000000000000001E-2</v>
      </c>
      <c r="I31" s="22"/>
      <c r="J31" s="41">
        <f t="shared" si="9"/>
        <v>9.9984793187347903E-2</v>
      </c>
      <c r="K31" s="41">
        <f t="shared" si="6"/>
        <v>5.3166466566026775</v>
      </c>
      <c r="L31" s="41">
        <f t="shared" si="6"/>
        <v>1.39220916064338</v>
      </c>
      <c r="M31" s="41">
        <f t="shared" si="6"/>
        <v>0.19232198904887243</v>
      </c>
      <c r="N31" s="41">
        <f t="shared" si="6"/>
        <v>5.7085542757124994</v>
      </c>
      <c r="O31" s="67"/>
      <c r="P31" s="41">
        <f t="shared" si="13"/>
        <v>2.8000000000000001E-2</v>
      </c>
      <c r="R31" s="27">
        <f t="shared" si="16"/>
        <v>1.9044539756147261</v>
      </c>
      <c r="S31" s="27">
        <f t="shared" si="16"/>
        <v>1.5921564976939382</v>
      </c>
      <c r="T31" s="27">
        <f t="shared" si="16"/>
        <v>1.333421305217203</v>
      </c>
      <c r="U31" s="27">
        <f t="shared" si="16"/>
        <v>1.1186659957294818</v>
      </c>
      <c r="V31" s="27">
        <f t="shared" si="16"/>
        <v>0.94009203753523063</v>
      </c>
      <c r="W31" s="27">
        <f t="shared" si="16"/>
        <v>0.79133996311241273</v>
      </c>
      <c r="X31" s="27">
        <f t="shared" si="16"/>
        <v>0.66721362584794841</v>
      </c>
      <c r="Y31" s="27">
        <f t="shared" si="16"/>
        <v>0.56345921167961044</v>
      </c>
    </row>
    <row r="32" spans="1:25" x14ac:dyDescent="0.25">
      <c r="A32" s="21">
        <v>20</v>
      </c>
      <c r="C32" s="25">
        <f t="shared" si="12"/>
        <v>5.422979589734731</v>
      </c>
      <c r="D32" s="23">
        <f>FishHarvestTimeTrends!AC41*((1+'OriginalBCACalculations 0%'!D$10)^MIN('OriginalBCACalculations 0%'!$A32,20))</f>
        <v>1.5349635383133331</v>
      </c>
      <c r="E32" s="23">
        <f>FishHarvestTimeTrends!AD41*((1+'OriginalBCACalculations 0%'!E$10)^MIN('OriginalBCACalculations 0%'!$A32,20))</f>
        <v>0.215435254115938</v>
      </c>
      <c r="F32" s="23">
        <f t="shared" si="15"/>
        <v>5.7114085528503553</v>
      </c>
      <c r="H32" s="22">
        <f t="shared" si="14"/>
        <v>2.8000000000000001E-2</v>
      </c>
      <c r="I32" s="22"/>
      <c r="J32" s="41"/>
      <c r="K32" s="41">
        <f t="shared" si="6"/>
        <v>5.422979589734731</v>
      </c>
      <c r="L32" s="41">
        <f>D44/((1+$M$9)^($A32-1))</f>
        <v>1.8198774117208731</v>
      </c>
      <c r="M32" s="41">
        <f>E44/((1+$M$9)^($A32-1))</f>
        <v>0.26020091459134953</v>
      </c>
      <c r="N32" s="41">
        <f t="shared" si="6"/>
        <v>5.7114085528503553</v>
      </c>
      <c r="O32" s="67"/>
      <c r="P32" s="41">
        <f t="shared" si="13"/>
        <v>2.8000000000000001E-2</v>
      </c>
      <c r="R32" s="27">
        <f t="shared" ref="R32:Y43" si="17">(SUM($D32:$H32)-SUM($B32:$C32))/((1+R$10)^($A32-1))</f>
        <v>2.0668277555448951</v>
      </c>
      <c r="S32" s="27">
        <f t="shared" si="17"/>
        <v>1.710795830778427</v>
      </c>
      <c r="T32" s="27">
        <f t="shared" si="17"/>
        <v>1.4187341465528587</v>
      </c>
      <c r="U32" s="27">
        <f t="shared" si="17"/>
        <v>1.1786829888143069</v>
      </c>
      <c r="V32" s="27">
        <f t="shared" si="17"/>
        <v>0.98100413598429348</v>
      </c>
      <c r="W32" s="27">
        <f t="shared" si="17"/>
        <v>0.81791392617362391</v>
      </c>
      <c r="X32" s="27">
        <f t="shared" si="17"/>
        <v>0.68311346366854986</v>
      </c>
      <c r="Y32" s="27">
        <f t="shared" si="17"/>
        <v>0.57149509730625381</v>
      </c>
    </row>
    <row r="33" spans="1:25" x14ac:dyDescent="0.25">
      <c r="A33" s="21">
        <v>21</v>
      </c>
      <c r="C33" s="25">
        <f>C32</f>
        <v>5.422979589734731</v>
      </c>
      <c r="D33" s="23">
        <f>FishHarvestTimeTrends!AC42*((1+'OriginalBCACalculations 0%'!D$10)^MIN('OriginalBCACalculations 0%'!$A33,20))</f>
        <v>1.5772550471010494</v>
      </c>
      <c r="E33" s="23">
        <f>FishHarvestTimeTrends!AD42*((1+'OriginalBCACalculations 0%'!E$10)^MIN('OriginalBCACalculations 0%'!$A33,20))</f>
        <v>0.22230750690404252</v>
      </c>
      <c r="F33" s="23">
        <f t="shared" si="15"/>
        <v>5.7142642571267803</v>
      </c>
      <c r="H33" s="22">
        <f t="shared" si="14"/>
        <v>2.8000000000000001E-2</v>
      </c>
      <c r="I33" s="22"/>
      <c r="J33" s="41"/>
      <c r="K33" s="41">
        <f t="shared" si="6"/>
        <v>5.422979589734731</v>
      </c>
      <c r="L33" s="41">
        <f t="shared" ref="L33:M43" si="18">D45/((1+$M$9)^($A33-1))</f>
        <v>1.8221876290896453</v>
      </c>
      <c r="M33" s="41">
        <f t="shared" si="18"/>
        <v>0.26053528699988981</v>
      </c>
      <c r="N33" s="41">
        <f t="shared" si="6"/>
        <v>5.7142642571267803</v>
      </c>
      <c r="O33" s="67"/>
      <c r="P33" s="41">
        <f t="shared" si="13"/>
        <v>2.8000000000000001E-2</v>
      </c>
      <c r="R33" s="27">
        <f t="shared" si="17"/>
        <v>2.1188472213971412</v>
      </c>
      <c r="S33" s="27">
        <f t="shared" si="17"/>
        <v>1.7364895237855702</v>
      </c>
      <c r="T33" s="27">
        <f t="shared" si="17"/>
        <v>1.4259234392359381</v>
      </c>
      <c r="U33" s="27">
        <f t="shared" si="17"/>
        <v>1.1731543333126824</v>
      </c>
      <c r="V33" s="27">
        <f t="shared" si="17"/>
        <v>0.96701421284053424</v>
      </c>
      <c r="W33" s="27">
        <f t="shared" si="17"/>
        <v>0.79857123355926274</v>
      </c>
      <c r="X33" s="27">
        <f t="shared" si="17"/>
        <v>0.66066657918107419</v>
      </c>
      <c r="Y33" s="27">
        <f t="shared" si="17"/>
        <v>0.54755038606838569</v>
      </c>
    </row>
    <row r="34" spans="1:25" x14ac:dyDescent="0.25">
      <c r="A34" s="21">
        <v>22</v>
      </c>
      <c r="C34" s="25">
        <f t="shared" ref="C34:C97" si="19">C33</f>
        <v>5.422979589734731</v>
      </c>
      <c r="D34" s="23">
        <f>FishHarvestTimeTrends!AC43*((1+'OriginalBCACalculations 0%'!D$10)^MIN('OriginalBCACalculations 0%'!$A34,20))</f>
        <v>1.6195465558887661</v>
      </c>
      <c r="E34" s="23">
        <f>FishHarvestTimeTrends!AD43*((1+'OriginalBCACalculations 0%'!E$10)^MIN('OriginalBCACalculations 0%'!$A34,20))</f>
        <v>0.22917975969214707</v>
      </c>
      <c r="F34" s="23">
        <f t="shared" ref="F34:F85" si="20">F33*(1+F$10)</f>
        <v>5.7171213892553432</v>
      </c>
      <c r="H34" s="22">
        <f t="shared" si="14"/>
        <v>2.8000000000000001E-2</v>
      </c>
      <c r="I34" s="22"/>
      <c r="J34" s="41"/>
      <c r="K34" s="41">
        <f t="shared" si="6"/>
        <v>5.422979589734731</v>
      </c>
      <c r="L34" s="41">
        <f t="shared" si="18"/>
        <v>1.8244978464584176</v>
      </c>
      <c r="M34" s="41">
        <f t="shared" si="18"/>
        <v>0.26086965940843015</v>
      </c>
      <c r="N34" s="41">
        <f t="shared" si="6"/>
        <v>5.7171213892553432</v>
      </c>
      <c r="O34" s="67"/>
      <c r="P34" s="41">
        <f t="shared" si="13"/>
        <v>2.8000000000000001E-2</v>
      </c>
      <c r="R34" s="27">
        <f t="shared" si="17"/>
        <v>2.1708681151015252</v>
      </c>
      <c r="S34" s="27">
        <f t="shared" si="17"/>
        <v>1.7615078807554481</v>
      </c>
      <c r="T34" s="27">
        <f t="shared" si="17"/>
        <v>1.4322862837467158</v>
      </c>
      <c r="U34" s="27">
        <f t="shared" si="17"/>
        <v>1.1669485833668976</v>
      </c>
      <c r="V34" s="27">
        <f t="shared" si="17"/>
        <v>0.95264987467013451</v>
      </c>
      <c r="W34" s="27">
        <f t="shared" si="17"/>
        <v>0.77921653455818995</v>
      </c>
      <c r="X34" s="27">
        <f t="shared" si="17"/>
        <v>0.63857258465560329</v>
      </c>
      <c r="Y34" s="27">
        <f t="shared" si="17"/>
        <v>0.52429305938781201</v>
      </c>
    </row>
    <row r="35" spans="1:25" x14ac:dyDescent="0.25">
      <c r="A35" s="21">
        <v>23</v>
      </c>
      <c r="C35" s="25">
        <f t="shared" si="19"/>
        <v>5.422979589734731</v>
      </c>
      <c r="D35" s="23">
        <f>FishHarvestTimeTrends!AC44*((1+'OriginalBCACalculations 0%'!D$10)^MIN('OriginalBCACalculations 0%'!$A35,20))</f>
        <v>1.6618380646764821</v>
      </c>
      <c r="E35" s="23">
        <f>FishHarvestTimeTrends!AD44*((1+'OriginalBCACalculations 0%'!E$10)^MIN('OriginalBCACalculations 0%'!$A35,20))</f>
        <v>0.23605201248025157</v>
      </c>
      <c r="F35" s="23">
        <f t="shared" si="20"/>
        <v>5.7199799499499706</v>
      </c>
      <c r="H35" s="22">
        <f t="shared" si="14"/>
        <v>2.8000000000000001E-2</v>
      </c>
      <c r="I35" s="22"/>
      <c r="J35" s="41"/>
      <c r="K35" s="41">
        <f t="shared" si="6"/>
        <v>5.422979589734731</v>
      </c>
      <c r="L35" s="41">
        <f t="shared" si="18"/>
        <v>1.82680806382719</v>
      </c>
      <c r="M35" s="41">
        <f t="shared" si="18"/>
        <v>0.26120403181697049</v>
      </c>
      <c r="N35" s="41">
        <f t="shared" si="6"/>
        <v>5.7199799499499706</v>
      </c>
      <c r="O35" s="67"/>
      <c r="P35" s="41">
        <f t="shared" si="13"/>
        <v>2.8000000000000001E-2</v>
      </c>
      <c r="R35" s="27">
        <f t="shared" si="17"/>
        <v>2.2228904373719729</v>
      </c>
      <c r="S35" s="27">
        <f t="shared" si="17"/>
        <v>1.7858617450385768</v>
      </c>
      <c r="T35" s="27">
        <f t="shared" si="17"/>
        <v>1.437852307757949</v>
      </c>
      <c r="U35" s="27">
        <f t="shared" si="17"/>
        <v>1.1601098495480433</v>
      </c>
      <c r="V35" s="27">
        <f t="shared" si="17"/>
        <v>0.9379605939832184</v>
      </c>
      <c r="W35" s="27">
        <f t="shared" si="17"/>
        <v>0.75989480945529353</v>
      </c>
      <c r="X35" s="27">
        <f t="shared" si="17"/>
        <v>0.61686342623928114</v>
      </c>
      <c r="Y35" s="27">
        <f t="shared" si="17"/>
        <v>0.50173563646619768</v>
      </c>
    </row>
    <row r="36" spans="1:25" x14ac:dyDescent="0.25">
      <c r="A36" s="21">
        <v>24</v>
      </c>
      <c r="C36" s="25">
        <f t="shared" si="19"/>
        <v>5.422979589734731</v>
      </c>
      <c r="D36" s="23">
        <f>FishHarvestTimeTrends!AC45*((1+'OriginalBCACalculations 0%'!D$10)^MIN('OriginalBCACalculations 0%'!$A36,20))</f>
        <v>1.7041295734641988</v>
      </c>
      <c r="E36" s="23">
        <f>FishHarvestTimeTrends!AD45*((1+'OriginalBCACalculations 0%'!E$10)^MIN('OriginalBCACalculations 0%'!$A36,20))</f>
        <v>0.24292426526835609</v>
      </c>
      <c r="F36" s="23">
        <f t="shared" si="20"/>
        <v>5.7228399399249454</v>
      </c>
      <c r="H36" s="22">
        <f t="shared" si="14"/>
        <v>2.8000000000000001E-2</v>
      </c>
      <c r="I36" s="22"/>
      <c r="J36" s="41"/>
      <c r="K36" s="41">
        <f t="shared" si="6"/>
        <v>5.422979589734731</v>
      </c>
      <c r="L36" s="41">
        <f t="shared" si="18"/>
        <v>1.8291182811959621</v>
      </c>
      <c r="M36" s="41">
        <f t="shared" si="18"/>
        <v>0.26153840422551083</v>
      </c>
      <c r="N36" s="41">
        <f t="shared" si="6"/>
        <v>5.7228399399249454</v>
      </c>
      <c r="O36" s="67"/>
      <c r="P36" s="41">
        <f t="shared" si="13"/>
        <v>2.8000000000000001E-2</v>
      </c>
      <c r="R36" s="27">
        <f t="shared" si="17"/>
        <v>2.2749141889227689</v>
      </c>
      <c r="S36" s="27">
        <f t="shared" si="17"/>
        <v>1.809561811571093</v>
      </c>
      <c r="T36" s="27">
        <f t="shared" si="17"/>
        <v>1.4426502951596596</v>
      </c>
      <c r="U36" s="27">
        <f t="shared" si="17"/>
        <v>1.1526802479127984</v>
      </c>
      <c r="V36" s="27">
        <f t="shared" si="17"/>
        <v>0.92299259248447063</v>
      </c>
      <c r="W36" s="27">
        <f t="shared" si="17"/>
        <v>0.74064678306321463</v>
      </c>
      <c r="X36" s="27">
        <f t="shared" si="17"/>
        <v>0.59556630420274925</v>
      </c>
      <c r="Y36" s="27">
        <f t="shared" si="17"/>
        <v>0.47988605803105916</v>
      </c>
    </row>
    <row r="37" spans="1:25" x14ac:dyDescent="0.25">
      <c r="A37" s="21">
        <v>25</v>
      </c>
      <c r="C37" s="25">
        <f t="shared" si="19"/>
        <v>5.422979589734731</v>
      </c>
      <c r="D37" s="23">
        <f>FishHarvestTimeTrends!AC46*((1+'OriginalBCACalculations 0%'!D$10)^MIN('OriginalBCACalculations 0%'!$A37,20))</f>
        <v>1.7464210822519153</v>
      </c>
      <c r="E37" s="23">
        <f>FishHarvestTimeTrends!AD46*((1+'OriginalBCACalculations 0%'!E$10)^MIN('OriginalBCACalculations 0%'!$A37,20))</f>
        <v>0.24979651805646064</v>
      </c>
      <c r="F37" s="23">
        <f t="shared" si="20"/>
        <v>5.7257013598949076</v>
      </c>
      <c r="H37" s="22">
        <f t="shared" si="14"/>
        <v>2.8000000000000001E-2</v>
      </c>
      <c r="I37" s="22"/>
      <c r="J37" s="41"/>
      <c r="K37" s="41">
        <f t="shared" si="6"/>
        <v>5.422979589734731</v>
      </c>
      <c r="L37" s="41">
        <f t="shared" si="18"/>
        <v>1.8314284985647347</v>
      </c>
      <c r="M37" s="41">
        <f t="shared" si="18"/>
        <v>0.26187277663405112</v>
      </c>
      <c r="N37" s="41">
        <f t="shared" si="6"/>
        <v>5.7257013598949076</v>
      </c>
      <c r="O37" s="67"/>
      <c r="P37" s="41">
        <f t="shared" si="13"/>
        <v>2.8000000000000001E-2</v>
      </c>
      <c r="R37" s="27">
        <f t="shared" si="17"/>
        <v>2.3269393704685521</v>
      </c>
      <c r="S37" s="27">
        <f t="shared" si="17"/>
        <v>1.8326186287497093</v>
      </c>
      <c r="T37" s="27">
        <f t="shared" si="17"/>
        <v>1.4467082077511872</v>
      </c>
      <c r="U37" s="27">
        <f t="shared" si="17"/>
        <v>1.1446999787501009</v>
      </c>
      <c r="V37" s="27">
        <f t="shared" si="17"/>
        <v>0.90778901791657562</v>
      </c>
      <c r="W37" s="27">
        <f t="shared" si="17"/>
        <v>0.72150922795560957</v>
      </c>
      <c r="X37" s="27">
        <f t="shared" si="17"/>
        <v>0.57470410777985492</v>
      </c>
      <c r="Y37" s="27">
        <f t="shared" si="17"/>
        <v>0.45874823171365509</v>
      </c>
    </row>
    <row r="38" spans="1:25" x14ac:dyDescent="0.25">
      <c r="A38" s="21">
        <v>26</v>
      </c>
      <c r="C38" s="25">
        <f t="shared" si="19"/>
        <v>5.422979589734731</v>
      </c>
      <c r="D38" s="23">
        <f>FishHarvestTimeTrends!AC47*((1+'OriginalBCACalculations 0%'!D$10)^MIN('OriginalBCACalculations 0%'!$A38,20))</f>
        <v>1.760188261198198</v>
      </c>
      <c r="E38" s="23">
        <f>FishHarvestTimeTrends!AD47*((1+'OriginalBCACalculations 0%'!E$10)^MIN('OriginalBCACalculations 0%'!$A38,20))</f>
        <v>0.25174364840002228</v>
      </c>
      <c r="F38" s="23">
        <f t="shared" si="20"/>
        <v>5.7285642105748549</v>
      </c>
      <c r="H38" s="22">
        <f t="shared" si="14"/>
        <v>2.8000000000000001E-2</v>
      </c>
      <c r="I38" s="22"/>
      <c r="J38" s="41"/>
      <c r="K38" s="41">
        <f t="shared" si="6"/>
        <v>5.422979589734731</v>
      </c>
      <c r="L38" s="41">
        <f t="shared" si="18"/>
        <v>1.8337387159335068</v>
      </c>
      <c r="M38" s="41">
        <f t="shared" si="18"/>
        <v>0.26220714904259146</v>
      </c>
      <c r="N38" s="41">
        <f t="shared" si="6"/>
        <v>5.7285642105748549</v>
      </c>
      <c r="O38" s="67"/>
      <c r="P38" s="41">
        <f t="shared" si="13"/>
        <v>2.8000000000000001E-2</v>
      </c>
      <c r="R38" s="27">
        <f t="shared" si="17"/>
        <v>2.3455165304383438</v>
      </c>
      <c r="S38" s="27">
        <f t="shared" si="17"/>
        <v>1.828959772956088</v>
      </c>
      <c r="T38" s="27">
        <f t="shared" si="17"/>
        <v>1.429664732636553</v>
      </c>
      <c r="U38" s="27">
        <f t="shared" si="17"/>
        <v>1.1202317577326382</v>
      </c>
      <c r="V38" s="27">
        <f t="shared" si="17"/>
        <v>0.87984266053184346</v>
      </c>
      <c r="W38" s="27">
        <f t="shared" si="17"/>
        <v>0.69263753250136129</v>
      </c>
      <c r="X38" s="27">
        <f t="shared" si="17"/>
        <v>0.54650213941638204</v>
      </c>
      <c r="Y38" s="27">
        <f t="shared" si="17"/>
        <v>0.43215949159808187</v>
      </c>
    </row>
    <row r="39" spans="1:25" x14ac:dyDescent="0.25">
      <c r="A39" s="21">
        <v>27</v>
      </c>
      <c r="C39" s="25">
        <f t="shared" si="19"/>
        <v>5.422979589734731</v>
      </c>
      <c r="D39" s="23">
        <f>FishHarvestTimeTrends!AC48*((1+'OriginalBCACalculations 0%'!D$10)^MIN('OriginalBCACalculations 0%'!$A39,20))</f>
        <v>1.7739554401444804</v>
      </c>
      <c r="E39" s="23">
        <f>FishHarvestTimeTrends!AD48*((1+'OriginalBCACalculations 0%'!E$10)^MIN('OriginalBCACalculations 0%'!$A39,20))</f>
        <v>0.25369077874358398</v>
      </c>
      <c r="F39" s="23">
        <f t="shared" si="20"/>
        <v>5.7314284926801422</v>
      </c>
      <c r="H39" s="22">
        <f t="shared" si="14"/>
        <v>2.8000000000000001E-2</v>
      </c>
      <c r="I39" s="22"/>
      <c r="J39" s="41"/>
      <c r="K39" s="41">
        <f t="shared" si="6"/>
        <v>5.422979589734731</v>
      </c>
      <c r="L39" s="41">
        <f t="shared" si="18"/>
        <v>1.8360489333022791</v>
      </c>
      <c r="M39" s="41">
        <f t="shared" si="18"/>
        <v>0.2625415214511318</v>
      </c>
      <c r="N39" s="41">
        <f t="shared" si="6"/>
        <v>5.7314284926801422</v>
      </c>
      <c r="O39" s="67"/>
      <c r="P39" s="41">
        <f t="shared" si="13"/>
        <v>2.8000000000000001E-2</v>
      </c>
      <c r="R39" s="27">
        <f t="shared" si="17"/>
        <v>2.3640951218334756</v>
      </c>
      <c r="S39" s="27">
        <f t="shared" si="17"/>
        <v>1.825194824001275</v>
      </c>
      <c r="T39" s="27">
        <f t="shared" si="17"/>
        <v>1.4127342721792322</v>
      </c>
      <c r="U39" s="27">
        <f t="shared" si="17"/>
        <v>1.0962184431572715</v>
      </c>
      <c r="V39" s="27">
        <f t="shared" si="17"/>
        <v>0.85270365608304655</v>
      </c>
      <c r="W39" s="27">
        <f t="shared" si="17"/>
        <v>0.66487984955674662</v>
      </c>
      <c r="X39" s="27">
        <f t="shared" si="17"/>
        <v>0.51965181676239547</v>
      </c>
      <c r="Y39" s="27">
        <f t="shared" si="17"/>
        <v>0.40708652503005299</v>
      </c>
    </row>
    <row r="40" spans="1:25" x14ac:dyDescent="0.25">
      <c r="A40" s="21">
        <v>28</v>
      </c>
      <c r="C40" s="25">
        <f t="shared" si="19"/>
        <v>5.422979589734731</v>
      </c>
      <c r="D40" s="23">
        <f>FishHarvestTimeTrends!AC49*((1+'OriginalBCACalculations 0%'!D$10)^MIN('OriginalBCACalculations 0%'!$A40,20))</f>
        <v>1.7877226190907629</v>
      </c>
      <c r="E40" s="23">
        <f>FishHarvestTimeTrends!AD49*((1+'OriginalBCACalculations 0%'!E$10)^MIN('OriginalBCACalculations 0%'!$A40,20))</f>
        <v>0.25563790908714551</v>
      </c>
      <c r="F40" s="23">
        <f t="shared" si="20"/>
        <v>5.7342942069264824</v>
      </c>
      <c r="H40" s="22">
        <f t="shared" si="14"/>
        <v>2.8000000000000001E-2</v>
      </c>
      <c r="I40" s="22"/>
      <c r="J40" s="41"/>
      <c r="K40" s="41">
        <f t="shared" si="6"/>
        <v>5.422979589734731</v>
      </c>
      <c r="L40" s="41">
        <f t="shared" si="18"/>
        <v>1.8383591506710515</v>
      </c>
      <c r="M40" s="41">
        <f t="shared" si="18"/>
        <v>0.26287589385967214</v>
      </c>
      <c r="N40" s="41">
        <f t="shared" si="6"/>
        <v>5.7342942069264824</v>
      </c>
      <c r="O40" s="67"/>
      <c r="P40" s="41">
        <f t="shared" si="13"/>
        <v>2.8000000000000001E-2</v>
      </c>
      <c r="R40" s="27">
        <f t="shared" si="17"/>
        <v>2.3826751453696593</v>
      </c>
      <c r="S40" s="27">
        <f t="shared" si="17"/>
        <v>1.8213262310213569</v>
      </c>
      <c r="T40" s="27">
        <f t="shared" si="17"/>
        <v>1.395918930741314</v>
      </c>
      <c r="U40" s="27">
        <f t="shared" si="17"/>
        <v>1.0726542738899838</v>
      </c>
      <c r="V40" s="27">
        <f t="shared" si="17"/>
        <v>0.82635122165409114</v>
      </c>
      <c r="W40" s="27">
        <f t="shared" si="17"/>
        <v>0.6381955324109102</v>
      </c>
      <c r="X40" s="27">
        <f t="shared" si="17"/>
        <v>0.49409046440619442</v>
      </c>
      <c r="Y40" s="27">
        <f t="shared" si="17"/>
        <v>0.38344478630189738</v>
      </c>
    </row>
    <row r="41" spans="1:25" x14ac:dyDescent="0.25">
      <c r="A41" s="21">
        <v>29</v>
      </c>
      <c r="C41" s="25">
        <f t="shared" si="19"/>
        <v>5.422979589734731</v>
      </c>
      <c r="D41" s="23">
        <f>FishHarvestTimeTrends!AC50*((1+'OriginalBCACalculations 0%'!D$10)^MIN('OriginalBCACalculations 0%'!$A41,20))</f>
        <v>1.8014897980370457</v>
      </c>
      <c r="E41" s="23">
        <f>FishHarvestTimeTrends!AD50*((1+'OriginalBCACalculations 0%'!E$10)^MIN('OriginalBCACalculations 0%'!$A41,20))</f>
        <v>0.25758503943070721</v>
      </c>
      <c r="F41" s="23">
        <f t="shared" si="20"/>
        <v>5.7371613540299453</v>
      </c>
      <c r="H41" s="22">
        <f t="shared" si="14"/>
        <v>2.8000000000000001E-2</v>
      </c>
      <c r="I41" s="22"/>
      <c r="J41" s="41"/>
      <c r="K41" s="41">
        <f t="shared" si="6"/>
        <v>5.422979589734731</v>
      </c>
      <c r="L41" s="41">
        <f t="shared" si="18"/>
        <v>1.8384617055526467</v>
      </c>
      <c r="M41" s="41">
        <f t="shared" si="18"/>
        <v>0.26288528915839238</v>
      </c>
      <c r="N41" s="41">
        <f t="shared" si="6"/>
        <v>5.7371613540299453</v>
      </c>
      <c r="O41" s="67"/>
      <c r="P41" s="41">
        <f t="shared" si="13"/>
        <v>2.8000000000000001E-2</v>
      </c>
      <c r="R41" s="27">
        <f t="shared" si="17"/>
        <v>2.4012566017629666</v>
      </c>
      <c r="S41" s="27">
        <f t="shared" si="17"/>
        <v>1.8173564051527196</v>
      </c>
      <c r="T41" s="27">
        <f t="shared" si="17"/>
        <v>1.3792206870230517</v>
      </c>
      <c r="U41" s="27">
        <f t="shared" si="17"/>
        <v>1.0495334390276072</v>
      </c>
      <c r="V41" s="27">
        <f t="shared" si="17"/>
        <v>0.80076497945044345</v>
      </c>
      <c r="W41" s="27">
        <f t="shared" si="17"/>
        <v>0.61254528025755617</v>
      </c>
      <c r="X41" s="27">
        <f t="shared" si="17"/>
        <v>0.46975817260155067</v>
      </c>
      <c r="Y41" s="27">
        <f t="shared" si="17"/>
        <v>0.36115430551798966</v>
      </c>
    </row>
    <row r="42" spans="1:25" x14ac:dyDescent="0.25">
      <c r="A42" s="21">
        <v>30</v>
      </c>
      <c r="C42" s="25">
        <f t="shared" si="19"/>
        <v>5.422979589734731</v>
      </c>
      <c r="D42" s="23">
        <f>FishHarvestTimeTrends!AC51*((1+'OriginalBCACalculations 0%'!D$10)^MIN('OriginalBCACalculations 0%'!$A42,20))</f>
        <v>1.8152569769833287</v>
      </c>
      <c r="E42" s="23">
        <f>FishHarvestTimeTrends!AD51*((1+'OriginalBCACalculations 0%'!E$10)^MIN('OriginalBCACalculations 0%'!$A42,20))</f>
        <v>0.25953216977426885</v>
      </c>
      <c r="F42" s="23">
        <f t="shared" si="20"/>
        <v>5.7400299347069597</v>
      </c>
      <c r="H42" s="22">
        <f t="shared" si="14"/>
        <v>2.8000000000000001E-2</v>
      </c>
      <c r="I42" s="22"/>
      <c r="J42" s="41"/>
      <c r="K42" s="41">
        <f t="shared" si="6"/>
        <v>5.422979589734731</v>
      </c>
      <c r="L42" s="41">
        <f t="shared" si="18"/>
        <v>1.8385642604342414</v>
      </c>
      <c r="M42" s="41">
        <f t="shared" si="18"/>
        <v>0.26289468445711273</v>
      </c>
      <c r="N42" s="41">
        <f t="shared" si="6"/>
        <v>5.7400299347069597</v>
      </c>
      <c r="O42" s="67"/>
      <c r="P42" s="41">
        <f t="shared" si="13"/>
        <v>2.8000000000000001E-2</v>
      </c>
      <c r="R42" s="27">
        <f t="shared" si="17"/>
        <v>2.4198394917298263</v>
      </c>
      <c r="S42" s="27">
        <f t="shared" si="17"/>
        <v>1.8132877200435111</v>
      </c>
      <c r="T42" s="27">
        <f t="shared" si="17"/>
        <v>1.3626413981757435</v>
      </c>
      <c r="U42" s="27">
        <f t="shared" si="17"/>
        <v>1.0268500856687821</v>
      </c>
      <c r="V42" s="27">
        <f t="shared" si="17"/>
        <v>0.77592495635160308</v>
      </c>
      <c r="W42" s="27">
        <f t="shared" si="17"/>
        <v>0.58789110214079232</v>
      </c>
      <c r="X42" s="27">
        <f t="shared" si="17"/>
        <v>0.44659768492907093</v>
      </c>
      <c r="Y42" s="27">
        <f t="shared" si="17"/>
        <v>0.34013945166575138</v>
      </c>
    </row>
    <row r="43" spans="1:25" x14ac:dyDescent="0.25">
      <c r="A43" s="21">
        <v>31</v>
      </c>
      <c r="C43" s="25">
        <f t="shared" si="19"/>
        <v>5.422979589734731</v>
      </c>
      <c r="D43" s="23">
        <f>FishHarvestTimeTrends!AC52*((1+'OriginalBCACalculations 0%'!D$10)^MIN('OriginalBCACalculations 0%'!$A43,20))</f>
        <v>1.8175671943521008</v>
      </c>
      <c r="E43" s="23">
        <f>FishHarvestTimeTrends!AD52*((1+'OriginalBCACalculations 0%'!E$10)^MIN('OriginalBCACalculations 0%'!$A43,20))</f>
        <v>0.25986654218280919</v>
      </c>
      <c r="F43" s="23">
        <f t="shared" si="20"/>
        <v>5.7428999496743129</v>
      </c>
      <c r="H43" s="22">
        <f t="shared" si="14"/>
        <v>2.8000000000000001E-2</v>
      </c>
      <c r="I43" s="22"/>
      <c r="J43" s="41"/>
      <c r="K43" s="41">
        <f t="shared" si="6"/>
        <v>5.422979589734731</v>
      </c>
      <c r="L43" s="41">
        <f t="shared" si="18"/>
        <v>1.838666815315837</v>
      </c>
      <c r="M43" s="41">
        <f t="shared" si="18"/>
        <v>0.26290407975583302</v>
      </c>
      <c r="N43" s="41">
        <f t="shared" si="6"/>
        <v>5.7428999496743129</v>
      </c>
      <c r="O43" s="67"/>
      <c r="P43" s="41">
        <f t="shared" si="13"/>
        <v>2.8000000000000001E-2</v>
      </c>
      <c r="R43" s="27">
        <f t="shared" si="17"/>
        <v>2.4253540964744911</v>
      </c>
      <c r="S43" s="27">
        <f t="shared" si="17"/>
        <v>1.799425787923308</v>
      </c>
      <c r="T43" s="27">
        <f t="shared" si="17"/>
        <v>1.3389673921317435</v>
      </c>
      <c r="U43" s="27">
        <f t="shared" si="17"/>
        <v>0.99921377488515584</v>
      </c>
      <c r="V43" s="27">
        <f t="shared" si="17"/>
        <v>0.74778194438889345</v>
      </c>
      <c r="W43" s="27">
        <f t="shared" si="17"/>
        <v>0.56117224292930179</v>
      </c>
      <c r="X43" s="27">
        <f t="shared" si="17"/>
        <v>0.42227871924181676</v>
      </c>
      <c r="Y43" s="27">
        <f t="shared" si="17"/>
        <v>0.31861177573292876</v>
      </c>
    </row>
    <row r="44" spans="1:25" x14ac:dyDescent="0.25">
      <c r="A44" s="21">
        <v>32</v>
      </c>
      <c r="C44" s="25">
        <f t="shared" si="19"/>
        <v>5.422979589734731</v>
      </c>
      <c r="D44" s="23">
        <f>FishHarvestTimeTrends!AC53*((1+'OriginalBCACalculations 0%'!D$10)^MIN('OriginalBCACalculations 0%'!$A44,20))</f>
        <v>1.8198774117208731</v>
      </c>
      <c r="E44" s="23">
        <f>FishHarvestTimeTrends!AD53*((1+'OriginalBCACalculations 0%'!E$10)^MIN('OriginalBCACalculations 0%'!$A44,20))</f>
        <v>0.26020091459134953</v>
      </c>
      <c r="F44" s="23">
        <f t="shared" si="20"/>
        <v>5.7457713996491497</v>
      </c>
      <c r="H44" s="22">
        <f t="shared" si="14"/>
        <v>2.8000000000000001E-2</v>
      </c>
      <c r="I44" s="22"/>
      <c r="J44" s="41"/>
      <c r="K44" s="41">
        <f t="shared" si="6"/>
        <v>5.422979589734731</v>
      </c>
      <c r="L44" s="41">
        <f t="shared" si="6"/>
        <v>1.8198774117208731</v>
      </c>
      <c r="M44" s="41">
        <f t="shared" si="6"/>
        <v>0.26020091459134953</v>
      </c>
      <c r="N44" s="41">
        <f t="shared" si="6"/>
        <v>5.7457713996491497</v>
      </c>
      <c r="O44" s="67"/>
      <c r="P44" s="41">
        <f t="shared" si="13"/>
        <v>2.8000000000000001E-2</v>
      </c>
      <c r="R44" s="27">
        <f t="shared" si="16"/>
        <v>2.4308701362266412</v>
      </c>
      <c r="S44" s="27">
        <f t="shared" si="16"/>
        <v>1.7856616477533205</v>
      </c>
      <c r="T44" s="27">
        <f t="shared" si="16"/>
        <v>1.3156986638248647</v>
      </c>
      <c r="U44" s="27">
        <f t="shared" si="16"/>
        <v>0.97231680604660675</v>
      </c>
      <c r="V44" s="27">
        <f t="shared" si="16"/>
        <v>0.72065638694015843</v>
      </c>
      <c r="W44" s="27">
        <f t="shared" si="16"/>
        <v>0.53566526679413173</v>
      </c>
      <c r="X44" s="27">
        <f t="shared" si="16"/>
        <v>0.39928218645770919</v>
      </c>
      <c r="Y44" s="27">
        <f t="shared" si="16"/>
        <v>0.29844523548904561</v>
      </c>
    </row>
    <row r="45" spans="1:25" x14ac:dyDescent="0.25">
      <c r="A45" s="21">
        <v>33</v>
      </c>
      <c r="C45" s="25">
        <f t="shared" si="19"/>
        <v>5.422979589734731</v>
      </c>
      <c r="D45" s="23">
        <f>FishHarvestTimeTrends!AC54*((1+'OriginalBCACalculations 0%'!D$10)^MIN('OriginalBCACalculations 0%'!$A45,20))</f>
        <v>1.8221876290896453</v>
      </c>
      <c r="E45" s="23">
        <f>FishHarvestTimeTrends!AD54*((1+'OriginalBCACalculations 0%'!E$10)^MIN('OriginalBCACalculations 0%'!$A45,20))</f>
        <v>0.26053528699988981</v>
      </c>
      <c r="F45" s="23">
        <f t="shared" si="20"/>
        <v>5.7486442853489743</v>
      </c>
      <c r="H45" s="22">
        <f t="shared" si="14"/>
        <v>2.8000000000000001E-2</v>
      </c>
      <c r="I45" s="22"/>
      <c r="J45" s="41"/>
      <c r="K45" s="41">
        <f t="shared" si="6"/>
        <v>5.422979589734731</v>
      </c>
      <c r="L45" s="41">
        <f t="shared" si="6"/>
        <v>1.8221876290896453</v>
      </c>
      <c r="M45" s="41">
        <f t="shared" si="6"/>
        <v>0.26053528699988981</v>
      </c>
      <c r="N45" s="41">
        <f t="shared" si="6"/>
        <v>5.7486442853489743</v>
      </c>
      <c r="O45" s="67"/>
      <c r="P45" s="41">
        <f t="shared" si="13"/>
        <v>2.8000000000000001E-2</v>
      </c>
      <c r="R45" s="27">
        <f t="shared" si="16"/>
        <v>2.4363876117037782</v>
      </c>
      <c r="S45" s="27">
        <f t="shared" si="16"/>
        <v>1.7719947120239874</v>
      </c>
      <c r="T45" s="27">
        <f t="shared" si="16"/>
        <v>1.2928284070482021</v>
      </c>
      <c r="U45" s="27">
        <f t="shared" si="16"/>
        <v>0.94613953913709048</v>
      </c>
      <c r="V45" s="27">
        <f t="shared" si="16"/>
        <v>0.69451163379017344</v>
      </c>
      <c r="W45" s="27">
        <f t="shared" si="16"/>
        <v>0.51131532837438509</v>
      </c>
      <c r="X45" s="27">
        <f t="shared" si="16"/>
        <v>0.37753628161515879</v>
      </c>
      <c r="Y45" s="27">
        <f t="shared" si="16"/>
        <v>0.27955386218943268</v>
      </c>
    </row>
    <row r="46" spans="1:25" x14ac:dyDescent="0.25">
      <c r="A46" s="21">
        <v>34</v>
      </c>
      <c r="C46" s="25">
        <f t="shared" si="19"/>
        <v>5.422979589734731</v>
      </c>
      <c r="D46" s="23">
        <f>FishHarvestTimeTrends!AC55*((1+'OriginalBCACalculations 0%'!D$10)^MIN('OriginalBCACalculations 0%'!$A46,20))</f>
        <v>1.8244978464584176</v>
      </c>
      <c r="E46" s="23">
        <f>FishHarvestTimeTrends!AD55*((1+'OriginalBCACalculations 0%'!E$10)^MIN('OriginalBCACalculations 0%'!$A46,20))</f>
        <v>0.26086965940843015</v>
      </c>
      <c r="F46" s="23">
        <f t="shared" si="20"/>
        <v>5.7515186074916489</v>
      </c>
      <c r="H46" s="22">
        <f t="shared" si="14"/>
        <v>2.8000000000000001E-2</v>
      </c>
      <c r="I46" s="22"/>
      <c r="J46" s="41"/>
      <c r="K46" s="41">
        <f t="shared" si="6"/>
        <v>5.422979589734731</v>
      </c>
      <c r="L46" s="41">
        <f t="shared" si="6"/>
        <v>1.8244978464584176</v>
      </c>
      <c r="M46" s="41">
        <f t="shared" si="6"/>
        <v>0.26086965940843015</v>
      </c>
      <c r="N46" s="41">
        <f t="shared" si="6"/>
        <v>5.7515186074916489</v>
      </c>
      <c r="O46" s="67"/>
      <c r="P46" s="41">
        <f t="shared" si="13"/>
        <v>2.8000000000000001E-2</v>
      </c>
      <c r="R46" s="27">
        <f t="shared" ref="R46:Y61" si="21">(SUM($D46:$H46)-SUM($B46:$C46))/((1+R$10)^($A46-1))</f>
        <v>2.4419065236237651</v>
      </c>
      <c r="S46" s="27">
        <f t="shared" si="21"/>
        <v>1.7584243953663603</v>
      </c>
      <c r="T46" s="27">
        <f t="shared" si="21"/>
        <v>1.270349926972675</v>
      </c>
      <c r="U46" s="27">
        <f t="shared" si="21"/>
        <v>0.92066285147937987</v>
      </c>
      <c r="V46" s="27">
        <f t="shared" si="21"/>
        <v>0.66931234947450058</v>
      </c>
      <c r="W46" s="27">
        <f t="shared" si="21"/>
        <v>0.48807005834545952</v>
      </c>
      <c r="X46" s="27">
        <f t="shared" si="21"/>
        <v>0.35697309230074625</v>
      </c>
      <c r="Y46" s="27">
        <f t="shared" si="21"/>
        <v>0.26185711062341505</v>
      </c>
    </row>
    <row r="47" spans="1:25" x14ac:dyDescent="0.25">
      <c r="A47" s="21">
        <v>35</v>
      </c>
      <c r="C47" s="25">
        <f t="shared" si="19"/>
        <v>5.422979589734731</v>
      </c>
      <c r="D47" s="23">
        <f>FishHarvestTimeTrends!AC56*((1+'OriginalBCACalculations 0%'!D$10)^MIN('OriginalBCACalculations 0%'!$A47,20))</f>
        <v>1.82680806382719</v>
      </c>
      <c r="E47" s="23">
        <f>FishHarvestTimeTrends!AD56*((1+'OriginalBCACalculations 0%'!E$10)^MIN('OriginalBCACalculations 0%'!$A47,20))</f>
        <v>0.26120403181697049</v>
      </c>
      <c r="F47" s="23">
        <f t="shared" si="20"/>
        <v>5.7543943667953945</v>
      </c>
      <c r="H47" s="22">
        <f t="shared" si="14"/>
        <v>2.8000000000000001E-2</v>
      </c>
      <c r="I47" s="22"/>
      <c r="J47" s="41"/>
      <c r="K47" s="41">
        <f t="shared" si="6"/>
        <v>5.422979589734731</v>
      </c>
      <c r="L47" s="41">
        <f t="shared" si="6"/>
        <v>1.82680806382719</v>
      </c>
      <c r="M47" s="41">
        <f t="shared" si="6"/>
        <v>0.26120403181697049</v>
      </c>
      <c r="N47" s="41">
        <f t="shared" si="6"/>
        <v>5.7543943667953945</v>
      </c>
      <c r="O47" s="67"/>
      <c r="P47" s="41">
        <f t="shared" si="13"/>
        <v>2.8000000000000001E-2</v>
      </c>
      <c r="R47" s="27">
        <f t="shared" si="21"/>
        <v>2.4474268727048241</v>
      </c>
      <c r="S47" s="27">
        <f t="shared" si="21"/>
        <v>1.744950114566423</v>
      </c>
      <c r="T47" s="27">
        <f t="shared" si="21"/>
        <v>1.248256638390602</v>
      </c>
      <c r="U47" s="27">
        <f t="shared" si="21"/>
        <v>0.89586812424667794</v>
      </c>
      <c r="V47" s="27">
        <f t="shared" si="21"/>
        <v>0.64502446633779809</v>
      </c>
      <c r="W47" s="27">
        <f t="shared" si="21"/>
        <v>0.46587945193883429</v>
      </c>
      <c r="X47" s="27">
        <f t="shared" si="21"/>
        <v>0.33752838800388174</v>
      </c>
      <c r="Y47" s="27">
        <f t="shared" si="21"/>
        <v>0.24527951737807469</v>
      </c>
    </row>
    <row r="48" spans="1:25" x14ac:dyDescent="0.25">
      <c r="A48" s="21">
        <v>36</v>
      </c>
      <c r="C48" s="25">
        <f t="shared" si="19"/>
        <v>5.422979589734731</v>
      </c>
      <c r="D48" s="23">
        <f>FishHarvestTimeTrends!AC57*((1+'OriginalBCACalculations 0%'!D$10)^MIN('OriginalBCACalculations 0%'!$A48,20))</f>
        <v>1.8291182811959621</v>
      </c>
      <c r="E48" s="23">
        <f>FishHarvestTimeTrends!AD57*((1+'OriginalBCACalculations 0%'!E$10)^MIN('OriginalBCACalculations 0%'!$A48,20))</f>
        <v>0.26153840422551083</v>
      </c>
      <c r="F48" s="23">
        <f t="shared" si="20"/>
        <v>5.7572715639787919</v>
      </c>
      <c r="H48" s="22">
        <f t="shared" si="14"/>
        <v>2.8000000000000001E-2</v>
      </c>
      <c r="I48" s="22"/>
      <c r="J48" s="41"/>
      <c r="K48" s="41">
        <f t="shared" si="6"/>
        <v>5.422979589734731</v>
      </c>
      <c r="L48" s="41">
        <f t="shared" si="6"/>
        <v>1.8291182811959621</v>
      </c>
      <c r="M48" s="41">
        <f t="shared" si="6"/>
        <v>0.26153840422551083</v>
      </c>
      <c r="N48" s="41">
        <f t="shared" si="6"/>
        <v>5.7572715639787919</v>
      </c>
      <c r="O48" s="67"/>
      <c r="P48" s="41">
        <f t="shared" si="13"/>
        <v>2.8000000000000001E-2</v>
      </c>
      <c r="R48" s="27">
        <f t="shared" si="21"/>
        <v>2.4529486596655339</v>
      </c>
      <c r="S48" s="27">
        <f t="shared" si="21"/>
        <v>1.7315712885789352</v>
      </c>
      <c r="T48" s="27">
        <f t="shared" si="21"/>
        <v>1.2265420639854441</v>
      </c>
      <c r="U48" s="27">
        <f t="shared" si="21"/>
        <v>0.87173722932146702</v>
      </c>
      <c r="V48" s="27">
        <f t="shared" si="21"/>
        <v>0.62161513925901757</v>
      </c>
      <c r="W48" s="27">
        <f t="shared" si="21"/>
        <v>0.4446957624659863</v>
      </c>
      <c r="X48" s="27">
        <f t="shared" si="21"/>
        <v>0.31914142084877073</v>
      </c>
      <c r="Y48" s="27">
        <f t="shared" si="21"/>
        <v>0.22975038060639014</v>
      </c>
    </row>
    <row r="49" spans="1:25" x14ac:dyDescent="0.25">
      <c r="A49" s="21">
        <v>37</v>
      </c>
      <c r="C49" s="25">
        <f t="shared" si="19"/>
        <v>5.422979589734731</v>
      </c>
      <c r="D49" s="23">
        <f>FishHarvestTimeTrends!AC58*((1+'OriginalBCACalculations 0%'!D$10)^MIN('OriginalBCACalculations 0%'!$A49,20))</f>
        <v>1.8314284985647347</v>
      </c>
      <c r="E49" s="23">
        <f>FishHarvestTimeTrends!AD58*((1+'OriginalBCACalculations 0%'!E$10)^MIN('OriginalBCACalculations 0%'!$A49,20))</f>
        <v>0.26187277663405112</v>
      </c>
      <c r="F49" s="23">
        <f t="shared" si="20"/>
        <v>5.7601501997607807</v>
      </c>
      <c r="H49" s="22">
        <f t="shared" si="14"/>
        <v>2.8000000000000001E-2</v>
      </c>
      <c r="I49" s="22"/>
      <c r="J49" s="41"/>
      <c r="K49" s="41">
        <f t="shared" si="6"/>
        <v>5.422979589734731</v>
      </c>
      <c r="L49" s="41">
        <f t="shared" si="6"/>
        <v>1.8314284985647347</v>
      </c>
      <c r="M49" s="41">
        <f t="shared" si="6"/>
        <v>0.26187277663405112</v>
      </c>
      <c r="N49" s="41">
        <f t="shared" si="6"/>
        <v>5.7601501997607807</v>
      </c>
      <c r="O49" s="67"/>
      <c r="P49" s="41">
        <f t="shared" si="13"/>
        <v>2.8000000000000001E-2</v>
      </c>
      <c r="R49" s="27">
        <f t="shared" si="21"/>
        <v>2.4584718852248351</v>
      </c>
      <c r="S49" s="27">
        <f t="shared" si="21"/>
        <v>1.7182873385407997</v>
      </c>
      <c r="T49" s="27">
        <f t="shared" si="21"/>
        <v>1.2051998326273594</v>
      </c>
      <c r="U49" s="27">
        <f t="shared" si="21"/>
        <v>0.84825251649280931</v>
      </c>
      <c r="V49" s="27">
        <f t="shared" si="21"/>
        <v>0.59905270198467397</v>
      </c>
      <c r="W49" s="27">
        <f t="shared" si="21"/>
        <v>0.42447339962257019</v>
      </c>
      <c r="X49" s="27">
        <f t="shared" si="21"/>
        <v>0.30175473709046546</v>
      </c>
      <c r="Y49" s="27">
        <f t="shared" si="21"/>
        <v>0.2152034599484744</v>
      </c>
    </row>
    <row r="50" spans="1:25" x14ac:dyDescent="0.25">
      <c r="A50" s="21">
        <v>38</v>
      </c>
      <c r="C50" s="25">
        <f t="shared" si="19"/>
        <v>5.422979589734731</v>
      </c>
      <c r="D50" s="23">
        <f>FishHarvestTimeTrends!AC59*((1+'OriginalBCACalculations 0%'!D$10)^MIN('OriginalBCACalculations 0%'!$A50,20))</f>
        <v>1.8337387159335068</v>
      </c>
      <c r="E50" s="23">
        <f>FishHarvestTimeTrends!AD59*((1+'OriginalBCACalculations 0%'!E$10)^MIN('OriginalBCACalculations 0%'!$A50,20))</f>
        <v>0.26220714904259146</v>
      </c>
      <c r="F50" s="23">
        <f t="shared" si="20"/>
        <v>5.763030274860661</v>
      </c>
      <c r="H50" s="22">
        <f t="shared" si="14"/>
        <v>2.8000000000000001E-2</v>
      </c>
      <c r="I50" s="22"/>
      <c r="J50" s="41"/>
      <c r="K50" s="41">
        <f t="shared" si="6"/>
        <v>5.422979589734731</v>
      </c>
      <c r="L50" s="41">
        <f t="shared" si="6"/>
        <v>1.8337387159335068</v>
      </c>
      <c r="M50" s="41">
        <f t="shared" si="6"/>
        <v>0.26220714904259146</v>
      </c>
      <c r="N50" s="41">
        <f t="shared" si="6"/>
        <v>5.763030274860661</v>
      </c>
      <c r="O50" s="67"/>
      <c r="P50" s="41">
        <f t="shared" si="13"/>
        <v>2.8000000000000001E-2</v>
      </c>
      <c r="R50" s="27">
        <f t="shared" si="21"/>
        <v>2.4639965501020278</v>
      </c>
      <c r="S50" s="27">
        <f t="shared" si="21"/>
        <v>1.7050976877839594</v>
      </c>
      <c r="T50" s="27">
        <f t="shared" si="21"/>
        <v>1.184223677694213</v>
      </c>
      <c r="U50" s="27">
        <f t="shared" si="21"/>
        <v>0.82539680098350754</v>
      </c>
      <c r="V50" s="27">
        <f t="shared" si="21"/>
        <v>0.57730662501342922</v>
      </c>
      <c r="W50" s="27">
        <f t="shared" si="21"/>
        <v>0.40516883235896811</v>
      </c>
      <c r="X50" s="27">
        <f t="shared" si="21"/>
        <v>0.28531399879475305</v>
      </c>
      <c r="Y50" s="27">
        <f t="shared" si="21"/>
        <v>0.20157669533940856</v>
      </c>
    </row>
    <row r="51" spans="1:25" x14ac:dyDescent="0.25">
      <c r="A51" s="21">
        <v>39</v>
      </c>
      <c r="C51" s="25">
        <f t="shared" si="19"/>
        <v>5.422979589734731</v>
      </c>
      <c r="D51" s="23">
        <f>FishHarvestTimeTrends!AC60*((1+'OriginalBCACalculations 0%'!D$10)^MIN('OriginalBCACalculations 0%'!$A51,20))</f>
        <v>1.8360489333022791</v>
      </c>
      <c r="E51" s="23">
        <f>FishHarvestTimeTrends!AD60*((1+'OriginalBCACalculations 0%'!E$10)^MIN('OriginalBCACalculations 0%'!$A51,20))</f>
        <v>0.2625415214511318</v>
      </c>
      <c r="F51" s="23">
        <f t="shared" si="20"/>
        <v>5.765911789998091</v>
      </c>
      <c r="H51" s="22">
        <f t="shared" si="14"/>
        <v>2.8000000000000001E-2</v>
      </c>
      <c r="I51" s="22"/>
      <c r="J51" s="41"/>
      <c r="K51" s="41">
        <f t="shared" si="6"/>
        <v>5.422979589734731</v>
      </c>
      <c r="L51" s="41">
        <f t="shared" si="6"/>
        <v>1.8360489333022791</v>
      </c>
      <c r="M51" s="41">
        <f t="shared" si="6"/>
        <v>0.2625415214511318</v>
      </c>
      <c r="N51" s="41">
        <f t="shared" si="6"/>
        <v>5.765911789998091</v>
      </c>
      <c r="O51" s="67"/>
      <c r="P51" s="41">
        <f t="shared" si="13"/>
        <v>2.8000000000000001E-2</v>
      </c>
      <c r="R51" s="27">
        <f t="shared" si="21"/>
        <v>2.469522655016771</v>
      </c>
      <c r="S51" s="27">
        <f t="shared" si="21"/>
        <v>1.6920017618478294</v>
      </c>
      <c r="T51" s="27">
        <f t="shared" si="21"/>
        <v>1.1636074354177044</v>
      </c>
      <c r="U51" s="27">
        <f t="shared" si="21"/>
        <v>0.8031533512987693</v>
      </c>
      <c r="V51" s="27">
        <f t="shared" si="21"/>
        <v>0.55634747497722681</v>
      </c>
      <c r="W51" s="27">
        <f t="shared" si="21"/>
        <v>0.3867404961128556</v>
      </c>
      <c r="X51" s="27">
        <f t="shared" si="21"/>
        <v>0.26976781515284054</v>
      </c>
      <c r="Y51" s="27">
        <f t="shared" si="21"/>
        <v>0.18881194351664338</v>
      </c>
    </row>
    <row r="52" spans="1:25" x14ac:dyDescent="0.25">
      <c r="A52" s="21">
        <v>40</v>
      </c>
      <c r="C52" s="25">
        <f t="shared" si="19"/>
        <v>5.422979589734731</v>
      </c>
      <c r="D52" s="23">
        <f>FishHarvestTimeTrends!AC61*((1+'OriginalBCACalculations 0%'!D$10)^MIN('OriginalBCACalculations 0%'!$A52,20))</f>
        <v>1.8383591506710515</v>
      </c>
      <c r="E52" s="23">
        <f>FishHarvestTimeTrends!AD61*((1+'OriginalBCACalculations 0%'!E$10)^MIN('OriginalBCACalculations 0%'!$A52,20))</f>
        <v>0.26287589385967214</v>
      </c>
      <c r="F52" s="23">
        <f t="shared" si="20"/>
        <v>5.7687947458930893</v>
      </c>
      <c r="H52" s="22">
        <f t="shared" si="14"/>
        <v>2.8000000000000001E-2</v>
      </c>
      <c r="I52" s="22"/>
      <c r="J52" s="41"/>
      <c r="K52" s="41">
        <f t="shared" si="6"/>
        <v>5.422979589734731</v>
      </c>
      <c r="L52" s="41">
        <f t="shared" si="6"/>
        <v>1.8383591506710515</v>
      </c>
      <c r="M52" s="41">
        <f t="shared" si="6"/>
        <v>0.26287589385967214</v>
      </c>
      <c r="N52" s="41">
        <f t="shared" si="6"/>
        <v>5.7687947458930893</v>
      </c>
      <c r="O52" s="67"/>
      <c r="P52" s="41">
        <f t="shared" si="13"/>
        <v>2.8000000000000001E-2</v>
      </c>
      <c r="R52" s="27">
        <f t="shared" si="21"/>
        <v>2.4750502006890809</v>
      </c>
      <c r="S52" s="27">
        <f t="shared" si="21"/>
        <v>1.6789989884912786</v>
      </c>
      <c r="T52" s="27">
        <f t="shared" si="21"/>
        <v>1.1433450432542684</v>
      </c>
      <c r="U52" s="27">
        <f t="shared" si="21"/>
        <v>0.78150587738821575</v>
      </c>
      <c r="V52" s="27">
        <f t="shared" si="21"/>
        <v>0.53614687546612327</v>
      </c>
      <c r="W52" s="27">
        <f t="shared" si="21"/>
        <v>0.36914870420853602</v>
      </c>
      <c r="X52" s="27">
        <f t="shared" si="21"/>
        <v>0.2550675829113303</v>
      </c>
      <c r="Y52" s="27">
        <f t="shared" si="21"/>
        <v>0.17685473111443015</v>
      </c>
    </row>
    <row r="53" spans="1:25" x14ac:dyDescent="0.25">
      <c r="A53" s="21">
        <v>41</v>
      </c>
      <c r="C53" s="25">
        <f t="shared" si="19"/>
        <v>5.422979589734731</v>
      </c>
      <c r="D53" s="23">
        <f>FishHarvestTimeTrends!AC62*((1+'OriginalBCACalculations 0%'!D$10)^MIN('OriginalBCACalculations 0%'!$A53,20))</f>
        <v>1.8384617055526467</v>
      </c>
      <c r="E53" s="23">
        <f>FishHarvestTimeTrends!AD62*((1+'OriginalBCACalculations 0%'!E$10)^MIN('OriginalBCACalculations 0%'!$A53,20))</f>
        <v>0.26288528915839238</v>
      </c>
      <c r="F53" s="23">
        <f t="shared" si="20"/>
        <v>5.7716791432660353</v>
      </c>
      <c r="H53" s="22">
        <f t="shared" si="14"/>
        <v>2.8000000000000001E-2</v>
      </c>
      <c r="I53" s="22"/>
      <c r="J53" s="41"/>
      <c r="K53" s="41">
        <f t="shared" si="6"/>
        <v>5.422979589734731</v>
      </c>
      <c r="L53" s="41">
        <f t="shared" si="6"/>
        <v>1.8384617055526467</v>
      </c>
      <c r="M53" s="41">
        <f t="shared" si="6"/>
        <v>0.26288528915839238</v>
      </c>
      <c r="N53" s="41">
        <f t="shared" si="6"/>
        <v>5.7716791432660353</v>
      </c>
      <c r="O53" s="67"/>
      <c r="P53" s="41">
        <f t="shared" si="13"/>
        <v>2.8000000000000001E-2</v>
      </c>
      <c r="R53" s="27">
        <f t="shared" si="21"/>
        <v>2.4780465482423431</v>
      </c>
      <c r="S53" s="27">
        <f t="shared" si="21"/>
        <v>1.6643877423692437</v>
      </c>
      <c r="T53" s="27">
        <f t="shared" si="21"/>
        <v>1.1222835300818168</v>
      </c>
      <c r="U53" s="27">
        <f t="shared" si="21"/>
        <v>0.75966212111960962</v>
      </c>
      <c r="V53" s="27">
        <f t="shared" si="21"/>
        <v>0.51614994816369619</v>
      </c>
      <c r="W53" s="27">
        <f t="shared" si="21"/>
        <v>0.35199581271693198</v>
      </c>
      <c r="X53" s="27">
        <f t="shared" si="21"/>
        <v>0.24092110666363145</v>
      </c>
      <c r="Y53" s="27">
        <f t="shared" si="21"/>
        <v>0.16548489266530803</v>
      </c>
    </row>
    <row r="54" spans="1:25" x14ac:dyDescent="0.25">
      <c r="A54" s="21">
        <v>42</v>
      </c>
      <c r="C54" s="25">
        <f t="shared" si="19"/>
        <v>5.422979589734731</v>
      </c>
      <c r="D54" s="23">
        <f>FishHarvestTimeTrends!AC63*((1+'OriginalBCACalculations 0%'!D$10)^MIN('OriginalBCACalculations 0%'!$A54,20))</f>
        <v>1.8385642604342414</v>
      </c>
      <c r="E54" s="23">
        <f>FishHarvestTimeTrends!AD63*((1+'OriginalBCACalculations 0%'!E$10)^MIN('OriginalBCACalculations 0%'!$A54,20))</f>
        <v>0.26289468445711273</v>
      </c>
      <c r="F54" s="23">
        <f t="shared" si="20"/>
        <v>5.7745649828376679</v>
      </c>
      <c r="H54" s="22">
        <f t="shared" si="14"/>
        <v>2.8000000000000001E-2</v>
      </c>
      <c r="I54" s="22"/>
      <c r="J54" s="41"/>
      <c r="K54" s="41">
        <f t="shared" si="6"/>
        <v>5.422979589734731</v>
      </c>
      <c r="L54" s="41">
        <f t="shared" si="6"/>
        <v>1.8385642604342414</v>
      </c>
      <c r="M54" s="41">
        <f t="shared" si="6"/>
        <v>0.26289468445711273</v>
      </c>
      <c r="N54" s="41">
        <f t="shared" si="6"/>
        <v>5.7745649828376679</v>
      </c>
      <c r="O54" s="67"/>
      <c r="P54" s="41">
        <f t="shared" si="13"/>
        <v>2.8000000000000001E-2</v>
      </c>
      <c r="R54" s="27">
        <f t="shared" si="21"/>
        <v>2.481044337994291</v>
      </c>
      <c r="S54" s="27">
        <f t="shared" si="21"/>
        <v>1.6499021953126565</v>
      </c>
      <c r="T54" s="27">
        <f t="shared" si="21"/>
        <v>1.1016090199286417</v>
      </c>
      <c r="U54" s="27">
        <f t="shared" si="21"/>
        <v>0.73842826609249601</v>
      </c>
      <c r="V54" s="27">
        <f t="shared" si="21"/>
        <v>0.49689841819925945</v>
      </c>
      <c r="W54" s="27">
        <f t="shared" si="21"/>
        <v>0.3356396531501335</v>
      </c>
      <c r="X54" s="27">
        <f t="shared" si="21"/>
        <v>0.22755901730340189</v>
      </c>
      <c r="Y54" s="27">
        <f t="shared" si="21"/>
        <v>0.15484587495995039</v>
      </c>
    </row>
    <row r="55" spans="1:25" x14ac:dyDescent="0.25">
      <c r="A55" s="21">
        <v>43</v>
      </c>
      <c r="C55" s="25">
        <f t="shared" si="19"/>
        <v>5.422979589734731</v>
      </c>
      <c r="D55" s="23">
        <f>FishHarvestTimeTrends!AC64*((1+'OriginalBCACalculations 0%'!D$10)^MIN('OriginalBCACalculations 0%'!$A55,20))</f>
        <v>1.838666815315837</v>
      </c>
      <c r="E55" s="23">
        <f>FishHarvestTimeTrends!AD64*((1+'OriginalBCACalculations 0%'!E$10)^MIN('OriginalBCACalculations 0%'!$A55,20))</f>
        <v>0.26290407975583302</v>
      </c>
      <c r="F55" s="23">
        <f t="shared" si="20"/>
        <v>5.7774522653290861</v>
      </c>
      <c r="H55" s="22">
        <f t="shared" si="14"/>
        <v>2.8000000000000001E-2</v>
      </c>
      <c r="I55" s="22"/>
      <c r="J55" s="41"/>
      <c r="K55" s="41">
        <f t="shared" si="6"/>
        <v>5.422979589734731</v>
      </c>
      <c r="L55" s="41">
        <f t="shared" si="6"/>
        <v>1.838666815315837</v>
      </c>
      <c r="M55" s="41">
        <f t="shared" si="6"/>
        <v>0.26290407975583302</v>
      </c>
      <c r="N55" s="41">
        <f t="shared" si="6"/>
        <v>5.7774522653290861</v>
      </c>
      <c r="O55" s="67"/>
      <c r="P55" s="41">
        <f t="shared" si="13"/>
        <v>2.8000000000000001E-2</v>
      </c>
      <c r="R55" s="27">
        <f t="shared" si="21"/>
        <v>2.4840435706660244</v>
      </c>
      <c r="S55" s="27">
        <f t="shared" si="21"/>
        <v>1.6355412815448733</v>
      </c>
      <c r="T55" s="27">
        <f t="shared" si="21"/>
        <v>1.0813144214313275</v>
      </c>
      <c r="U55" s="27">
        <f t="shared" si="21"/>
        <v>0.71778730263725421</v>
      </c>
      <c r="V55" s="27">
        <f t="shared" si="21"/>
        <v>0.47836451759906351</v>
      </c>
      <c r="W55" s="27">
        <f t="shared" si="21"/>
        <v>0.32004323252505562</v>
      </c>
      <c r="X55" s="27">
        <f t="shared" si="21"/>
        <v>0.21493783401868877</v>
      </c>
      <c r="Y55" s="27">
        <f t="shared" si="21"/>
        <v>0.14489071194664938</v>
      </c>
    </row>
    <row r="56" spans="1:25" x14ac:dyDescent="0.25">
      <c r="A56" s="21">
        <v>44</v>
      </c>
      <c r="C56" s="25">
        <f t="shared" si="19"/>
        <v>5.422979589734731</v>
      </c>
      <c r="D56" s="23">
        <f>FishHarvestTimeTrends!AC65*((1+'OriginalBCACalculations 0%'!D$10)^MIN('OriginalBCACalculations 0%'!$A56,20))</f>
        <v>1.8387693701974319</v>
      </c>
      <c r="E56" s="23">
        <f>FishHarvestTimeTrends!AD65*((1+'OriginalBCACalculations 0%'!E$10)^MIN('OriginalBCACalculations 0%'!$A56,20))</f>
        <v>0.26291347505455331</v>
      </c>
      <c r="F56" s="23">
        <f t="shared" si="20"/>
        <v>5.7803409914617507</v>
      </c>
      <c r="H56" s="22">
        <f t="shared" si="14"/>
        <v>2.8000000000000001E-2</v>
      </c>
      <c r="I56" s="22"/>
      <c r="J56" s="41"/>
      <c r="K56" s="41">
        <f t="shared" si="6"/>
        <v>5.422979589734731</v>
      </c>
      <c r="L56" s="41">
        <f t="shared" si="6"/>
        <v>1.8387693701974319</v>
      </c>
      <c r="M56" s="41">
        <f t="shared" si="6"/>
        <v>0.26291347505455331</v>
      </c>
      <c r="N56" s="41">
        <f t="shared" si="6"/>
        <v>5.7803409914617507</v>
      </c>
      <c r="O56" s="67"/>
      <c r="P56" s="41">
        <f t="shared" si="13"/>
        <v>2.8000000000000001E-2</v>
      </c>
      <c r="R56" s="27">
        <f t="shared" si="21"/>
        <v>2.4870442469790044</v>
      </c>
      <c r="S56" s="27">
        <f t="shared" si="21"/>
        <v>1.621303944156361</v>
      </c>
      <c r="T56" s="27">
        <f t="shared" si="21"/>
        <v>1.0613927727630919</v>
      </c>
      <c r="U56" s="27">
        <f t="shared" si="21"/>
        <v>0.6977226948895332</v>
      </c>
      <c r="V56" s="27">
        <f t="shared" si="21"/>
        <v>0.46052151214521964</v>
      </c>
      <c r="W56" s="27">
        <f t="shared" si="21"/>
        <v>0.3051712747851103</v>
      </c>
      <c r="X56" s="27">
        <f t="shared" si="21"/>
        <v>0.20301648560485475</v>
      </c>
      <c r="Y56" s="27">
        <f t="shared" si="21"/>
        <v>0.13557545524132888</v>
      </c>
    </row>
    <row r="57" spans="1:25" x14ac:dyDescent="0.25">
      <c r="A57" s="21">
        <v>45</v>
      </c>
      <c r="C57" s="25">
        <f t="shared" si="19"/>
        <v>5.422979589734731</v>
      </c>
      <c r="D57" s="23">
        <f>FishHarvestTimeTrends!AC66*((1+'OriginalBCACalculations 0%'!D$10)^MIN('OriginalBCACalculations 0%'!$A57,20))</f>
        <v>1.8388719250790269</v>
      </c>
      <c r="E57" s="23">
        <f>FishHarvestTimeTrends!AD66*((1+'OriginalBCACalculations 0%'!E$10)^MIN('OriginalBCACalculations 0%'!$A57,20))</f>
        <v>0.26292287035327361</v>
      </c>
      <c r="F57" s="23">
        <f t="shared" si="20"/>
        <v>5.783231161957481</v>
      </c>
      <c r="H57" s="22">
        <f t="shared" si="14"/>
        <v>2.8000000000000001E-2</v>
      </c>
      <c r="I57" s="22"/>
      <c r="J57" s="41"/>
      <c r="K57" s="41">
        <f t="shared" si="6"/>
        <v>5.422979589734731</v>
      </c>
      <c r="L57" s="41">
        <f t="shared" si="6"/>
        <v>1.8388719250790269</v>
      </c>
      <c r="M57" s="41">
        <f t="shared" si="6"/>
        <v>0.26292287035327361</v>
      </c>
      <c r="N57" s="41">
        <f t="shared" si="6"/>
        <v>5.783231161957481</v>
      </c>
      <c r="O57" s="67"/>
      <c r="P57" s="41">
        <f t="shared" si="13"/>
        <v>2.8000000000000001E-2</v>
      </c>
      <c r="R57" s="27">
        <f t="shared" si="21"/>
        <v>2.4900463676550499</v>
      </c>
      <c r="S57" s="27">
        <f t="shared" si="21"/>
        <v>1.607189135032784</v>
      </c>
      <c r="T57" s="27">
        <f t="shared" si="21"/>
        <v>1.041837239275841</v>
      </c>
      <c r="U57" s="27">
        <f t="shared" si="21"/>
        <v>0.67821836760977938</v>
      </c>
      <c r="V57" s="27">
        <f t="shared" si="21"/>
        <v>0.44334366291707666</v>
      </c>
      <c r="W57" s="27">
        <f t="shared" si="21"/>
        <v>0.29099014114727095</v>
      </c>
      <c r="X57" s="27">
        <f t="shared" si="21"/>
        <v>0.19175617696741312</v>
      </c>
      <c r="Y57" s="27">
        <f t="shared" si="21"/>
        <v>0.12685898027550721</v>
      </c>
    </row>
    <row r="58" spans="1:25" x14ac:dyDescent="0.25">
      <c r="A58" s="21">
        <v>46</v>
      </c>
      <c r="C58" s="25">
        <f t="shared" si="19"/>
        <v>5.422979589734731</v>
      </c>
      <c r="D58" s="23">
        <f>FishHarvestTimeTrends!AC67*((1+'OriginalBCACalculations 0%'!D$10)^MIN('OriginalBCACalculations 0%'!$A58,20))</f>
        <v>1.838974479960622</v>
      </c>
      <c r="E58" s="23">
        <f>FishHarvestTimeTrends!AD67*((1+'OriginalBCACalculations 0%'!E$10)^MIN('OriginalBCACalculations 0%'!$A58,20))</f>
        <v>0.26293226565199396</v>
      </c>
      <c r="F58" s="23">
        <f t="shared" si="20"/>
        <v>5.7861227775384592</v>
      </c>
      <c r="H58" s="22">
        <f t="shared" si="14"/>
        <v>2.8000000000000001E-2</v>
      </c>
      <c r="I58" s="22"/>
      <c r="J58" s="41"/>
      <c r="K58" s="41">
        <f t="shared" si="6"/>
        <v>5.422979589734731</v>
      </c>
      <c r="L58" s="41">
        <f t="shared" si="6"/>
        <v>1.838974479960622</v>
      </c>
      <c r="M58" s="41">
        <f t="shared" si="6"/>
        <v>0.26293226565199396</v>
      </c>
      <c r="N58" s="41">
        <f t="shared" si="6"/>
        <v>5.7861227775384592</v>
      </c>
      <c r="O58" s="67"/>
      <c r="P58" s="41">
        <f t="shared" si="13"/>
        <v>2.8000000000000001E-2</v>
      </c>
      <c r="R58" s="27">
        <f t="shared" si="21"/>
        <v>2.4930499334163443</v>
      </c>
      <c r="S58" s="27">
        <f t="shared" si="21"/>
        <v>1.5931958147836685</v>
      </c>
      <c r="T58" s="27">
        <f t="shared" si="21"/>
        <v>1.0226411111849809</v>
      </c>
      <c r="U58" s="27">
        <f t="shared" si="21"/>
        <v>0.6592586933689043</v>
      </c>
      <c r="V58" s="27">
        <f t="shared" si="21"/>
        <v>0.42680618926233121</v>
      </c>
      <c r="W58" s="27">
        <f t="shared" si="21"/>
        <v>0.2774677541428377</v>
      </c>
      <c r="X58" s="27">
        <f t="shared" si="21"/>
        <v>0.18112026301871301</v>
      </c>
      <c r="Y58" s="27">
        <f t="shared" si="21"/>
        <v>0.11870280489451564</v>
      </c>
    </row>
    <row r="59" spans="1:25" x14ac:dyDescent="0.25">
      <c r="A59" s="21">
        <v>47</v>
      </c>
      <c r="C59" s="25">
        <f t="shared" si="19"/>
        <v>5.422979589734731</v>
      </c>
      <c r="D59" s="23">
        <f>FishHarvestTimeTrends!AC68*((1+'OriginalBCACalculations 0%'!D$10)^MIN('OriginalBCACalculations 0%'!$A59,20))</f>
        <v>1.8390770348422167</v>
      </c>
      <c r="E59" s="23">
        <f>FishHarvestTimeTrends!AD68*((1+'OriginalBCACalculations 0%'!E$10)^MIN('OriginalBCACalculations 0%'!$A59,20))</f>
        <v>0.26294166095071431</v>
      </c>
      <c r="F59" s="23">
        <f t="shared" si="20"/>
        <v>5.7890158389272282</v>
      </c>
      <c r="H59" s="22">
        <f t="shared" si="14"/>
        <v>2.8000000000000001E-2</v>
      </c>
      <c r="I59" s="22"/>
      <c r="J59" s="41"/>
      <c r="K59" s="41">
        <f t="shared" si="6"/>
        <v>5.422979589734731</v>
      </c>
      <c r="L59" s="41">
        <f t="shared" si="6"/>
        <v>1.8390770348422167</v>
      </c>
      <c r="M59" s="41">
        <f t="shared" si="6"/>
        <v>0.26294166095071431</v>
      </c>
      <c r="N59" s="41">
        <f t="shared" si="6"/>
        <v>5.7890158389272282</v>
      </c>
      <c r="O59" s="67"/>
      <c r="P59" s="41">
        <f t="shared" si="13"/>
        <v>2.8000000000000001E-2</v>
      </c>
      <c r="R59" s="27">
        <f t="shared" si="21"/>
        <v>2.4960549449854277</v>
      </c>
      <c r="S59" s="27">
        <f t="shared" si="21"/>
        <v>1.579322952671607</v>
      </c>
      <c r="T59" s="27">
        <f t="shared" si="21"/>
        <v>1.0037978012962001</v>
      </c>
      <c r="U59" s="27">
        <f t="shared" si="21"/>
        <v>0.64082848008993132</v>
      </c>
      <c r="V59" s="27">
        <f t="shared" si="21"/>
        <v>0.41088523314475733</v>
      </c>
      <c r="W59" s="27">
        <f t="shared" si="21"/>
        <v>0.2645735251806946</v>
      </c>
      <c r="X59" s="27">
        <f t="shared" si="21"/>
        <v>0.17107412955908191</v>
      </c>
      <c r="Y59" s="27">
        <f t="shared" si="21"/>
        <v>0.11107091960652093</v>
      </c>
    </row>
    <row r="60" spans="1:25" x14ac:dyDescent="0.25">
      <c r="A60" s="21">
        <v>48</v>
      </c>
      <c r="C60" s="25">
        <f t="shared" si="19"/>
        <v>5.422979589734731</v>
      </c>
      <c r="D60" s="23">
        <f>FishHarvestTimeTrends!AC69*((1+'OriginalBCACalculations 0%'!D$10)^MIN('OriginalBCACalculations 0%'!$A60,20))</f>
        <v>1.8391795897238123</v>
      </c>
      <c r="E60" s="23">
        <f>FishHarvestTimeTrends!AD69*((1+'OriginalBCACalculations 0%'!E$10)^MIN('OriginalBCACalculations 0%'!$A60,20))</f>
        <v>0.2629510562494346</v>
      </c>
      <c r="F60" s="23">
        <f t="shared" si="20"/>
        <v>5.7919103468466915</v>
      </c>
      <c r="H60" s="22">
        <f t="shared" si="14"/>
        <v>2.8000000000000001E-2</v>
      </c>
      <c r="I60" s="22"/>
      <c r="J60" s="41"/>
      <c r="K60" s="41">
        <f t="shared" si="6"/>
        <v>5.422979589734731</v>
      </c>
      <c r="L60" s="41">
        <f t="shared" si="6"/>
        <v>1.8391795897238123</v>
      </c>
      <c r="M60" s="41">
        <f t="shared" si="6"/>
        <v>0.2629510562494346</v>
      </c>
      <c r="N60" s="41">
        <f t="shared" si="6"/>
        <v>5.7919103468466915</v>
      </c>
      <c r="O60" s="67"/>
      <c r="P60" s="41">
        <f t="shared" si="13"/>
        <v>2.8000000000000001E-2</v>
      </c>
      <c r="R60" s="27">
        <f t="shared" si="21"/>
        <v>2.4990614030852072</v>
      </c>
      <c r="S60" s="27">
        <f t="shared" si="21"/>
        <v>1.5655695265420355</v>
      </c>
      <c r="T60" s="27">
        <f t="shared" si="21"/>
        <v>0.9853008427734854</v>
      </c>
      <c r="U60" s="27">
        <f t="shared" si="21"/>
        <v>0.62291295893575327</v>
      </c>
      <c r="V60" s="27">
        <f t="shared" si="21"/>
        <v>0.39555782481742036</v>
      </c>
      <c r="W60" s="27">
        <f t="shared" si="21"/>
        <v>0.25227828546978442</v>
      </c>
      <c r="X60" s="27">
        <f t="shared" si="21"/>
        <v>0.16158508075569883</v>
      </c>
      <c r="Y60" s="27">
        <f t="shared" si="21"/>
        <v>0.10392962873422321</v>
      </c>
    </row>
    <row r="61" spans="1:25" x14ac:dyDescent="0.25">
      <c r="A61" s="21">
        <v>49</v>
      </c>
      <c r="C61" s="25">
        <f t="shared" si="19"/>
        <v>5.422979589734731</v>
      </c>
      <c r="D61" s="23">
        <f>FishHarvestTimeTrends!AC70*((1+'OriginalBCACalculations 0%'!D$10)^MIN('OriginalBCACalculations 0%'!$A61,20))</f>
        <v>1.8392821446054073</v>
      </c>
      <c r="E61" s="23">
        <f>FishHarvestTimeTrends!AD70*((1+'OriginalBCACalculations 0%'!E$10)^MIN('OriginalBCACalculations 0%'!$A61,20))</f>
        <v>0.26296045154815489</v>
      </c>
      <c r="F61" s="23">
        <f t="shared" si="20"/>
        <v>5.7948063020201142</v>
      </c>
      <c r="H61" s="22">
        <f t="shared" si="14"/>
        <v>2.8000000000000001E-2</v>
      </c>
      <c r="I61" s="22"/>
      <c r="J61" s="41"/>
      <c r="K61" s="41">
        <f t="shared" si="6"/>
        <v>5.422979589734731</v>
      </c>
      <c r="L61" s="41">
        <f t="shared" si="6"/>
        <v>1.8392821446054073</v>
      </c>
      <c r="M61" s="41">
        <f t="shared" si="6"/>
        <v>0.26296045154815489</v>
      </c>
      <c r="N61" s="41">
        <f t="shared" si="6"/>
        <v>5.7948063020201142</v>
      </c>
      <c r="O61" s="67"/>
      <c r="P61" s="41">
        <f t="shared" si="13"/>
        <v>2.8000000000000001E-2</v>
      </c>
      <c r="R61" s="27">
        <f t="shared" si="21"/>
        <v>2.5020693084389443</v>
      </c>
      <c r="S61" s="27">
        <f t="shared" si="21"/>
        <v>1.5519345227535375</v>
      </c>
      <c r="T61" s="27">
        <f t="shared" si="21"/>
        <v>0.96714388694760067</v>
      </c>
      <c r="U61" s="27">
        <f t="shared" si="21"/>
        <v>0.60549777253339299</v>
      </c>
      <c r="V61" s="27">
        <f t="shared" si="21"/>
        <v>0.38080184977212816</v>
      </c>
      <c r="W61" s="27">
        <f t="shared" si="21"/>
        <v>0.24055422014508882</v>
      </c>
      <c r="X61" s="27">
        <f t="shared" si="21"/>
        <v>0.15262223285387205</v>
      </c>
      <c r="Y61" s="27">
        <f t="shared" si="21"/>
        <v>9.7247401769127204E-2</v>
      </c>
    </row>
    <row r="62" spans="1:25" x14ac:dyDescent="0.25">
      <c r="A62" s="21">
        <v>50</v>
      </c>
      <c r="C62" s="25">
        <f t="shared" si="19"/>
        <v>5.422979589734731</v>
      </c>
      <c r="D62" s="23">
        <f>FishHarvestTimeTrends!AC71*((1+'OriginalBCACalculations 0%'!D$10)^MIN('OriginalBCACalculations 0%'!$A62,20))</f>
        <v>1.8393846994870022</v>
      </c>
      <c r="E62" s="23">
        <f>FishHarvestTimeTrends!AD71*((1+'OriginalBCACalculations 0%'!E$10)^MIN('OriginalBCACalculations 0%'!$A62,20))</f>
        <v>0.26296984684687519</v>
      </c>
      <c r="F62" s="23">
        <f t="shared" si="20"/>
        <v>5.7977037051711235</v>
      </c>
      <c r="H62" s="22">
        <f t="shared" si="14"/>
        <v>2.8000000000000001E-2</v>
      </c>
      <c r="I62" s="22"/>
      <c r="J62" s="41"/>
      <c r="K62" s="41">
        <f t="shared" si="6"/>
        <v>5.422979589734731</v>
      </c>
      <c r="L62" s="41">
        <f t="shared" si="6"/>
        <v>1.8393846994870022</v>
      </c>
      <c r="M62" s="41">
        <f t="shared" si="6"/>
        <v>0.26296984684687519</v>
      </c>
      <c r="N62" s="41">
        <f t="shared" si="6"/>
        <v>5.7977037051711235</v>
      </c>
      <c r="O62" s="67"/>
      <c r="P62" s="41">
        <f t="shared" si="13"/>
        <v>2.8000000000000001E-2</v>
      </c>
      <c r="R62" s="27">
        <f t="shared" ref="R62:Y77" si="22">(SUM($D62:$H62)-SUM($B62:$C62))/((1+R$10)^($A62-1))</f>
        <v>2.5050786617702698</v>
      </c>
      <c r="S62" s="27">
        <f t="shared" si="22"/>
        <v>1.5384169361087223</v>
      </c>
      <c r="T62" s="27">
        <f t="shared" si="22"/>
        <v>0.94932070116433143</v>
      </c>
      <c r="U62" s="27">
        <f t="shared" si="22"/>
        <v>0.5885689635254423</v>
      </c>
      <c r="V62" s="27">
        <f t="shared" si="22"/>
        <v>0.36659601691771354</v>
      </c>
      <c r="W62" s="27">
        <f t="shared" si="22"/>
        <v>0.22937480544861871</v>
      </c>
      <c r="X62" s="27">
        <f t="shared" si="22"/>
        <v>0.1441564137756231</v>
      </c>
      <c r="Y62" s="27">
        <f t="shared" si="22"/>
        <v>9.0994734273234651E-2</v>
      </c>
    </row>
    <row r="63" spans="1:25" x14ac:dyDescent="0.25">
      <c r="A63" s="21">
        <v>51</v>
      </c>
      <c r="C63" s="25">
        <f t="shared" si="19"/>
        <v>5.422979589734731</v>
      </c>
      <c r="D63" s="23">
        <f>FishHarvestTimeTrends!AC72*((1+'OriginalBCACalculations 0%'!D$10)^MIN('OriginalBCACalculations 0%'!$A63,20))</f>
        <v>1.8393860142990097</v>
      </c>
      <c r="E63" s="23">
        <f>FishHarvestTimeTrends!AD72*((1+'OriginalBCACalculations 0%'!E$10)^MIN('OriginalBCACalculations 0%'!$A63,20))</f>
        <v>0.26296998552618545</v>
      </c>
      <c r="F63" s="23">
        <f t="shared" si="20"/>
        <v>5.8006025570237085</v>
      </c>
      <c r="H63" s="22">
        <f t="shared" si="14"/>
        <v>2.8000000000000001E-2</v>
      </c>
      <c r="I63" s="22"/>
      <c r="J63" s="41"/>
      <c r="K63" s="41">
        <f t="shared" si="6"/>
        <v>5.422979589734731</v>
      </c>
      <c r="L63" s="41">
        <f t="shared" si="6"/>
        <v>1.8393860142990097</v>
      </c>
      <c r="M63" s="41">
        <f t="shared" si="6"/>
        <v>0.26296998552618545</v>
      </c>
      <c r="N63" s="41">
        <f t="shared" si="6"/>
        <v>5.8006025570237085</v>
      </c>
      <c r="O63" s="67"/>
      <c r="P63" s="41">
        <f t="shared" si="13"/>
        <v>2.8000000000000001E-2</v>
      </c>
      <c r="R63" s="27">
        <f t="shared" si="22"/>
        <v>2.5079789671141723</v>
      </c>
      <c r="S63" s="27">
        <f t="shared" si="22"/>
        <v>1.5249485835087062</v>
      </c>
      <c r="T63" s="27">
        <f t="shared" si="22"/>
        <v>0.93178411407089401</v>
      </c>
      <c r="U63" s="27">
        <f t="shared" si="22"/>
        <v>0.57208775836253722</v>
      </c>
      <c r="V63" s="27">
        <f t="shared" si="22"/>
        <v>0.35290427966339155</v>
      </c>
      <c r="W63" s="27">
        <f t="shared" si="22"/>
        <v>0.21870511310069737</v>
      </c>
      <c r="X63" s="27">
        <f t="shared" si="22"/>
        <v>0.13615406959534443</v>
      </c>
      <c r="Y63" s="27">
        <f t="shared" si="22"/>
        <v>8.5140266600047435E-2</v>
      </c>
    </row>
    <row r="64" spans="1:25" x14ac:dyDescent="0.25">
      <c r="A64" s="21">
        <v>52</v>
      </c>
      <c r="C64" s="25">
        <f t="shared" si="19"/>
        <v>5.422979589734731</v>
      </c>
      <c r="D64" s="23">
        <f>FishHarvestTimeTrends!AC73*((1+'OriginalBCACalculations 0%'!D$10)^MIN('OriginalBCACalculations 0%'!$A64,20))</f>
        <v>1.8393873291110174</v>
      </c>
      <c r="E64" s="23">
        <f>FishHarvestTimeTrends!AD73*((1+'OriginalBCACalculations 0%'!E$10)^MIN('OriginalBCACalculations 0%'!$A64,20))</f>
        <v>0.26297012420549565</v>
      </c>
      <c r="F64" s="23">
        <f t="shared" si="20"/>
        <v>5.8035028583022203</v>
      </c>
      <c r="H64" s="22">
        <f t="shared" si="14"/>
        <v>2.8000000000000001E-2</v>
      </c>
      <c r="I64" s="22"/>
      <c r="J64" s="41"/>
      <c r="K64" s="41">
        <f t="shared" si="6"/>
        <v>5.422979589734731</v>
      </c>
      <c r="L64" s="41">
        <f t="shared" si="6"/>
        <v>1.8393873291110174</v>
      </c>
      <c r="M64" s="41">
        <f t="shared" si="6"/>
        <v>0.26297012420549565</v>
      </c>
      <c r="N64" s="41">
        <f t="shared" si="6"/>
        <v>5.8035028583022203</v>
      </c>
      <c r="O64" s="67"/>
      <c r="P64" s="41">
        <f t="shared" si="13"/>
        <v>2.8000000000000001E-2</v>
      </c>
      <c r="R64" s="27">
        <f t="shared" si="22"/>
        <v>2.5108807218840017</v>
      </c>
      <c r="S64" s="27">
        <f t="shared" si="22"/>
        <v>1.5115969931371178</v>
      </c>
      <c r="T64" s="27">
        <f t="shared" si="22"/>
        <v>0.91457078124998092</v>
      </c>
      <c r="U64" s="27">
        <f t="shared" si="22"/>
        <v>0.55606763997024178</v>
      </c>
      <c r="V64" s="27">
        <f t="shared" si="22"/>
        <v>0.33972364727510573</v>
      </c>
      <c r="W64" s="27">
        <f t="shared" si="22"/>
        <v>0.20853157802989178</v>
      </c>
      <c r="X64" s="27">
        <f t="shared" si="22"/>
        <v>0.12859585010206812</v>
      </c>
      <c r="Y64" s="27">
        <f t="shared" si="22"/>
        <v>7.9662406236320121E-2</v>
      </c>
    </row>
    <row r="65" spans="1:25" x14ac:dyDescent="0.25">
      <c r="A65" s="21">
        <v>53</v>
      </c>
      <c r="C65" s="25">
        <f t="shared" si="19"/>
        <v>5.422979589734731</v>
      </c>
      <c r="D65" s="23">
        <f>FishHarvestTimeTrends!AC74*((1+'OriginalBCACalculations 0%'!D$10)^MIN('OriginalBCACalculations 0%'!$A65,20))</f>
        <v>1.8393886439230247</v>
      </c>
      <c r="E65" s="23">
        <f>FishHarvestTimeTrends!AD74*((1+'OriginalBCACalculations 0%'!E$10)^MIN('OriginalBCACalculations 0%'!$A65,20))</f>
        <v>0.26297026288480585</v>
      </c>
      <c r="F65" s="23">
        <f t="shared" si="20"/>
        <v>5.8064046097313708</v>
      </c>
      <c r="H65" s="22">
        <f t="shared" si="14"/>
        <v>2.8000000000000001E-2</v>
      </c>
      <c r="I65" s="22"/>
      <c r="J65" s="41"/>
      <c r="K65" s="41">
        <f t="shared" si="6"/>
        <v>5.422979589734731</v>
      </c>
      <c r="L65" s="41">
        <f t="shared" si="6"/>
        <v>1.8393886439230247</v>
      </c>
      <c r="M65" s="41">
        <f t="shared" si="6"/>
        <v>0.26297026288480585</v>
      </c>
      <c r="N65" s="41">
        <f t="shared" si="6"/>
        <v>5.8064046097313708</v>
      </c>
      <c r="O65" s="67"/>
      <c r="P65" s="41">
        <f t="shared" si="13"/>
        <v>2.8000000000000001E-2</v>
      </c>
      <c r="R65" s="27">
        <f t="shared" si="22"/>
        <v>2.5137839268044697</v>
      </c>
      <c r="S65" s="27">
        <f t="shared" si="22"/>
        <v>1.4983611649604565</v>
      </c>
      <c r="T65" s="27">
        <f t="shared" si="22"/>
        <v>0.89767475821843756</v>
      </c>
      <c r="U65" s="27">
        <f t="shared" si="22"/>
        <v>0.54049572133640134</v>
      </c>
      <c r="V65" s="27">
        <f t="shared" si="22"/>
        <v>0.32703505059478305</v>
      </c>
      <c r="W65" s="27">
        <f t="shared" si="22"/>
        <v>0.198831135801012</v>
      </c>
      <c r="X65" s="27">
        <f t="shared" si="22"/>
        <v>0.12145711227068581</v>
      </c>
      <c r="Y65" s="27">
        <f t="shared" si="22"/>
        <v>7.4536930714510119E-2</v>
      </c>
    </row>
    <row r="66" spans="1:25" x14ac:dyDescent="0.25">
      <c r="A66" s="21">
        <v>54</v>
      </c>
      <c r="C66" s="25">
        <f t="shared" si="19"/>
        <v>5.422979589734731</v>
      </c>
      <c r="D66" s="23">
        <f>FishHarvestTimeTrends!AC75*((1+'OriginalBCACalculations 0%'!D$10)^MIN('OriginalBCACalculations 0%'!$A66,20))</f>
        <v>1.839389958735032</v>
      </c>
      <c r="E66" s="23">
        <f>FishHarvestTimeTrends!AD75*((1+'OriginalBCACalculations 0%'!E$10)^MIN('OriginalBCACalculations 0%'!$A66,20))</f>
        <v>0.26297040156411611</v>
      </c>
      <c r="F66" s="23">
        <f t="shared" si="20"/>
        <v>5.809307812036236</v>
      </c>
      <c r="H66" s="22">
        <f t="shared" si="14"/>
        <v>2.8000000000000001E-2</v>
      </c>
      <c r="I66" s="22"/>
      <c r="J66" s="41"/>
      <c r="K66" s="41">
        <f t="shared" si="6"/>
        <v>5.422979589734731</v>
      </c>
      <c r="L66" s="41">
        <f t="shared" si="6"/>
        <v>1.839389958735032</v>
      </c>
      <c r="M66" s="41">
        <f t="shared" si="6"/>
        <v>0.26297040156411611</v>
      </c>
      <c r="N66" s="41">
        <f t="shared" si="6"/>
        <v>5.809307812036236</v>
      </c>
      <c r="O66" s="67"/>
      <c r="P66" s="41">
        <f t="shared" si="13"/>
        <v>2.8000000000000001E-2</v>
      </c>
      <c r="R66" s="27">
        <f t="shared" si="22"/>
        <v>2.5166885826006524</v>
      </c>
      <c r="S66" s="27">
        <f t="shared" si="22"/>
        <v>1.4852401073789103</v>
      </c>
      <c r="T66" s="27">
        <f t="shared" si="22"/>
        <v>0.88109020952228612</v>
      </c>
      <c r="U66" s="27">
        <f t="shared" si="22"/>
        <v>0.52535947525525584</v>
      </c>
      <c r="V66" s="27">
        <f t="shared" si="22"/>
        <v>0.31482013153327065</v>
      </c>
      <c r="W66" s="27">
        <f t="shared" si="22"/>
        <v>0.18958179378608342</v>
      </c>
      <c r="X66" s="27">
        <f t="shared" si="22"/>
        <v>0.11471458011660519</v>
      </c>
      <c r="Y66" s="27">
        <f t="shared" si="22"/>
        <v>6.9741175233197894E-2</v>
      </c>
    </row>
    <row r="67" spans="1:25" x14ac:dyDescent="0.25">
      <c r="A67" s="21">
        <v>55</v>
      </c>
      <c r="C67" s="25">
        <f t="shared" si="19"/>
        <v>5.422979589734731</v>
      </c>
      <c r="D67" s="23">
        <f>FishHarvestTimeTrends!AC76*((1+'OriginalBCACalculations 0%'!D$10)^MIN('OriginalBCACalculations 0%'!$A67,20))</f>
        <v>1.8393912735470395</v>
      </c>
      <c r="E67" s="23">
        <f>FishHarvestTimeTrends!AD76*((1+'OriginalBCACalculations 0%'!E$10)^MIN('OriginalBCACalculations 0%'!$A67,20))</f>
        <v>0.26297054024342631</v>
      </c>
      <c r="F67" s="23">
        <f t="shared" si="20"/>
        <v>5.8122124659422543</v>
      </c>
      <c r="H67" s="22">
        <f t="shared" si="14"/>
        <v>2.8000000000000001E-2</v>
      </c>
      <c r="I67" s="22"/>
      <c r="J67" s="41"/>
      <c r="K67" s="41">
        <f t="shared" si="6"/>
        <v>5.422979589734731</v>
      </c>
      <c r="L67" s="41">
        <f t="shared" si="6"/>
        <v>1.8393912735470395</v>
      </c>
      <c r="M67" s="41">
        <f t="shared" si="6"/>
        <v>0.26297054024342631</v>
      </c>
      <c r="N67" s="41">
        <f t="shared" si="6"/>
        <v>5.8122124659422543</v>
      </c>
      <c r="O67" s="67"/>
      <c r="P67" s="41">
        <f t="shared" si="13"/>
        <v>2.8000000000000001E-2</v>
      </c>
      <c r="R67" s="27">
        <f t="shared" si="22"/>
        <v>2.5195946899979891</v>
      </c>
      <c r="S67" s="27">
        <f t="shared" si="22"/>
        <v>1.4722328371566573</v>
      </c>
      <c r="T67" s="27">
        <f t="shared" si="22"/>
        <v>0.86481140674284107</v>
      </c>
      <c r="U67" s="27">
        <f t="shared" si="22"/>
        <v>0.51064672429282165</v>
      </c>
      <c r="V67" s="27">
        <f t="shared" si="22"/>
        <v>0.30306121657079599</v>
      </c>
      <c r="W67" s="27">
        <f t="shared" si="22"/>
        <v>0.18076258137516329</v>
      </c>
      <c r="X67" s="27">
        <f t="shared" si="22"/>
        <v>0.10834626887925418</v>
      </c>
      <c r="Y67" s="27">
        <f t="shared" si="22"/>
        <v>6.5253932506224979E-2</v>
      </c>
    </row>
    <row r="68" spans="1:25" x14ac:dyDescent="0.25">
      <c r="A68" s="21">
        <v>56</v>
      </c>
      <c r="C68" s="25">
        <f t="shared" si="19"/>
        <v>5.422979589734731</v>
      </c>
      <c r="D68" s="23">
        <f>FishHarvestTimeTrends!AC77*((1+'OriginalBCACalculations 0%'!D$10)^MIN('OriginalBCACalculations 0%'!$A68,20))</f>
        <v>1.839392588359047</v>
      </c>
      <c r="E68" s="23">
        <f>FishHarvestTimeTrends!AD77*((1+'OriginalBCACalculations 0%'!E$10)^MIN('OriginalBCACalculations 0%'!$A68,20))</f>
        <v>0.26297067892273651</v>
      </c>
      <c r="F68" s="23">
        <f t="shared" si="20"/>
        <v>5.8151185721752254</v>
      </c>
      <c r="H68" s="22">
        <f t="shared" si="14"/>
        <v>2.8000000000000001E-2</v>
      </c>
      <c r="I68" s="22"/>
      <c r="J68" s="41"/>
      <c r="K68" s="41">
        <f t="shared" si="6"/>
        <v>5.422979589734731</v>
      </c>
      <c r="L68" s="41">
        <f t="shared" si="6"/>
        <v>1.839392588359047</v>
      </c>
      <c r="M68" s="41">
        <f t="shared" si="6"/>
        <v>0.26297067892273651</v>
      </c>
      <c r="N68" s="41">
        <f t="shared" si="6"/>
        <v>5.8151185721752254</v>
      </c>
      <c r="O68" s="67"/>
      <c r="P68" s="41">
        <f t="shared" si="13"/>
        <v>2.8000000000000001E-2</v>
      </c>
      <c r="R68" s="27">
        <f t="shared" si="22"/>
        <v>2.5225022497222778</v>
      </c>
      <c r="S68" s="27">
        <f t="shared" si="22"/>
        <v>1.4593383793527288</v>
      </c>
      <c r="T68" s="27">
        <f t="shared" si="22"/>
        <v>0.84883272653917197</v>
      </c>
      <c r="U68" s="27">
        <f t="shared" si="22"/>
        <v>0.49634563103179502</v>
      </c>
      <c r="V68" s="27">
        <f t="shared" si="22"/>
        <v>0.29174129124438258</v>
      </c>
      <c r="W68" s="27">
        <f t="shared" si="22"/>
        <v>0.17235350249917702</v>
      </c>
      <c r="X68" s="27">
        <f t="shared" si="22"/>
        <v>0.10233141340934061</v>
      </c>
      <c r="Y68" s="27">
        <f t="shared" si="22"/>
        <v>6.1055359049924506E-2</v>
      </c>
    </row>
    <row r="69" spans="1:25" x14ac:dyDescent="0.25">
      <c r="A69" s="21">
        <v>57</v>
      </c>
      <c r="C69" s="25">
        <f t="shared" si="19"/>
        <v>5.422979589734731</v>
      </c>
      <c r="D69" s="23">
        <f>FishHarvestTimeTrends!AC78*((1+'OriginalBCACalculations 0%'!D$10)^MIN('OriginalBCACalculations 0%'!$A69,20))</f>
        <v>1.8393939031710542</v>
      </c>
      <c r="E69" s="23">
        <f>FishHarvestTimeTrends!AD78*((1+'OriginalBCACalculations 0%'!E$10)^MIN('OriginalBCACalculations 0%'!$A69,20))</f>
        <v>0.26297081760204677</v>
      </c>
      <c r="F69" s="23">
        <f t="shared" si="20"/>
        <v>5.8180261314613126</v>
      </c>
      <c r="H69" s="22">
        <f t="shared" si="14"/>
        <v>2.8000000000000001E-2</v>
      </c>
      <c r="I69" s="22"/>
      <c r="J69" s="41"/>
      <c r="K69" s="41">
        <f t="shared" si="6"/>
        <v>5.422979589734731</v>
      </c>
      <c r="L69" s="41">
        <f t="shared" si="6"/>
        <v>1.8393939031710542</v>
      </c>
      <c r="M69" s="41">
        <f t="shared" si="6"/>
        <v>0.26297081760204677</v>
      </c>
      <c r="N69" s="41">
        <f t="shared" si="6"/>
        <v>5.8180261314613126</v>
      </c>
      <c r="O69" s="67"/>
      <c r="P69" s="41">
        <f t="shared" si="13"/>
        <v>2.8000000000000001E-2</v>
      </c>
      <c r="R69" s="27">
        <f t="shared" si="22"/>
        <v>2.5254112624996825</v>
      </c>
      <c r="S69" s="27">
        <f t="shared" si="22"/>
        <v>1.4465557672524278</v>
      </c>
      <c r="T69" s="27">
        <f t="shared" si="22"/>
        <v>0.83314864872624839</v>
      </c>
      <c r="U69" s="27">
        <f t="shared" si="22"/>
        <v>0.48244468858820005</v>
      </c>
      <c r="V69" s="27">
        <f t="shared" si="22"/>
        <v>0.28084397558549112</v>
      </c>
      <c r="W69" s="27">
        <f t="shared" si="22"/>
        <v>0.16433549035745509</v>
      </c>
      <c r="X69" s="27">
        <f t="shared" si="22"/>
        <v>9.6650400526845967E-2</v>
      </c>
      <c r="Y69" s="27">
        <f t="shared" si="22"/>
        <v>5.7126887494654874E-2</v>
      </c>
    </row>
    <row r="70" spans="1:25" x14ac:dyDescent="0.25">
      <c r="A70" s="21">
        <v>58</v>
      </c>
      <c r="C70" s="25">
        <f t="shared" si="19"/>
        <v>5.422979589734731</v>
      </c>
      <c r="D70" s="23">
        <f>FishHarvestTimeTrends!AC79*((1+'OriginalBCACalculations 0%'!D$10)^MIN('OriginalBCACalculations 0%'!$A70,20))</f>
        <v>1.8393952179830615</v>
      </c>
      <c r="E70" s="23">
        <f>FishHarvestTimeTrends!AD79*((1+'OriginalBCACalculations 0%'!E$10)^MIN('OriginalBCACalculations 0%'!$A70,20))</f>
        <v>0.26297095628135703</v>
      </c>
      <c r="F70" s="23">
        <f t="shared" si="20"/>
        <v>5.8209351445270432</v>
      </c>
      <c r="H70" s="22">
        <f t="shared" si="14"/>
        <v>2.8000000000000001E-2</v>
      </c>
      <c r="I70" s="22"/>
      <c r="J70" s="41"/>
      <c r="K70" s="41">
        <f t="shared" si="6"/>
        <v>5.422979589734731</v>
      </c>
      <c r="L70" s="41">
        <f t="shared" si="6"/>
        <v>1.8393952179830615</v>
      </c>
      <c r="M70" s="41">
        <f t="shared" si="6"/>
        <v>0.26297095628135703</v>
      </c>
      <c r="N70" s="41">
        <f t="shared" si="6"/>
        <v>5.8209351445270432</v>
      </c>
      <c r="O70" s="67"/>
      <c r="P70" s="41">
        <f t="shared" si="13"/>
        <v>2.8000000000000001E-2</v>
      </c>
      <c r="R70" s="27">
        <f t="shared" si="22"/>
        <v>2.5283217290567297</v>
      </c>
      <c r="S70" s="27">
        <f t="shared" si="22"/>
        <v>1.4338840422993027</v>
      </c>
      <c r="T70" s="27">
        <f t="shared" si="22"/>
        <v>0.81775375438812214</v>
      </c>
      <c r="U70" s="27">
        <f t="shared" si="22"/>
        <v>0.46893271139221809</v>
      </c>
      <c r="V70" s="27">
        <f t="shared" si="22"/>
        <v>0.27035350047251194</v>
      </c>
      <c r="W70" s="27">
        <f t="shared" si="22"/>
        <v>0.1566903642476288</v>
      </c>
      <c r="X70" s="27">
        <f t="shared" si="22"/>
        <v>9.1284705129641472E-2</v>
      </c>
      <c r="Y70" s="27">
        <f t="shared" si="22"/>
        <v>5.3451144533436308E-2</v>
      </c>
    </row>
    <row r="71" spans="1:25" x14ac:dyDescent="0.25">
      <c r="A71" s="21">
        <v>59</v>
      </c>
      <c r="C71" s="25">
        <f t="shared" si="19"/>
        <v>5.422979589734731</v>
      </c>
      <c r="D71" s="23">
        <f>FishHarvestTimeTrends!AC80*((1+'OriginalBCACalculations 0%'!D$10)^MIN('OriginalBCACalculations 0%'!$A71,20))</f>
        <v>1.8393965327950688</v>
      </c>
      <c r="E71" s="23">
        <f>FishHarvestTimeTrends!AD80*((1+'OriginalBCACalculations 0%'!E$10)^MIN('OriginalBCACalculations 0%'!$A71,20))</f>
        <v>0.26297109496066717</v>
      </c>
      <c r="F71" s="23">
        <f t="shared" si="20"/>
        <v>5.8238456120993067</v>
      </c>
      <c r="H71" s="22">
        <f t="shared" si="14"/>
        <v>2.8000000000000001E-2</v>
      </c>
      <c r="I71" s="22"/>
      <c r="J71" s="41"/>
      <c r="K71" s="41">
        <f t="shared" si="6"/>
        <v>5.422979589734731</v>
      </c>
      <c r="L71" s="41">
        <f t="shared" si="6"/>
        <v>1.8393965327950688</v>
      </c>
      <c r="M71" s="41">
        <f t="shared" si="6"/>
        <v>0.26297109496066717</v>
      </c>
      <c r="N71" s="41">
        <f t="shared" si="6"/>
        <v>5.8238456120993067</v>
      </c>
      <c r="O71" s="67"/>
      <c r="P71" s="41">
        <f t="shared" si="13"/>
        <v>2.8000000000000001E-2</v>
      </c>
      <c r="R71" s="27">
        <f t="shared" si="22"/>
        <v>2.5312336501203117</v>
      </c>
      <c r="S71" s="27">
        <f t="shared" si="22"/>
        <v>1.4213222540276638</v>
      </c>
      <c r="T71" s="27">
        <f t="shared" si="22"/>
        <v>0.80264272402550785</v>
      </c>
      <c r="U71" s="27">
        <f t="shared" si="22"/>
        <v>0.45579882622585338</v>
      </c>
      <c r="V71" s="27">
        <f t="shared" si="22"/>
        <v>0.26025468486406034</v>
      </c>
      <c r="W71" s="27">
        <f t="shared" si="22"/>
        <v>0.14940078840029522</v>
      </c>
      <c r="X71" s="27">
        <f t="shared" si="22"/>
        <v>8.6216829844816587E-2</v>
      </c>
      <c r="Y71" s="27">
        <f t="shared" si="22"/>
        <v>5.001187414537283E-2</v>
      </c>
    </row>
    <row r="72" spans="1:25" x14ac:dyDescent="0.25">
      <c r="A72" s="21">
        <v>60</v>
      </c>
      <c r="C72" s="25">
        <f t="shared" si="19"/>
        <v>5.422979589734731</v>
      </c>
      <c r="D72" s="23">
        <f>FishHarvestTimeTrends!AC81*((1+'OriginalBCACalculations 0%'!D$10)^MIN('OriginalBCACalculations 0%'!$A72,20))</f>
        <v>1.8393978476070763</v>
      </c>
      <c r="E72" s="23">
        <f>FishHarvestTimeTrends!AD81*((1+'OriginalBCACalculations 0%'!E$10)^MIN('OriginalBCACalculations 0%'!$A72,20))</f>
        <v>0.26297123363997749</v>
      </c>
      <c r="F72" s="23">
        <f t="shared" si="20"/>
        <v>5.8267575349053562</v>
      </c>
      <c r="H72" s="22">
        <f t="shared" si="14"/>
        <v>2.8000000000000001E-2</v>
      </c>
      <c r="I72" s="22"/>
      <c r="J72" s="41"/>
      <c r="K72" s="41">
        <f t="shared" si="6"/>
        <v>5.422979589734731</v>
      </c>
      <c r="L72" s="41">
        <f t="shared" si="6"/>
        <v>1.8393978476070763</v>
      </c>
      <c r="M72" s="41">
        <f t="shared" si="6"/>
        <v>0.26297123363997749</v>
      </c>
      <c r="N72" s="41">
        <f t="shared" si="6"/>
        <v>5.8267575349053562</v>
      </c>
      <c r="O72" s="67"/>
      <c r="P72" s="41">
        <f t="shared" si="13"/>
        <v>2.8000000000000001E-2</v>
      </c>
      <c r="R72" s="27">
        <f t="shared" si="22"/>
        <v>2.5341470264176786</v>
      </c>
      <c r="S72" s="27">
        <f t="shared" si="22"/>
        <v>1.4088694599956413</v>
      </c>
      <c r="T72" s="27">
        <f t="shared" si="22"/>
        <v>0.78781033573713566</v>
      </c>
      <c r="U72" s="27">
        <f t="shared" si="22"/>
        <v>0.44303246351028275</v>
      </c>
      <c r="V72" s="27">
        <f t="shared" si="22"/>
        <v>0.25053291388028431</v>
      </c>
      <c r="W72" s="27">
        <f t="shared" si="22"/>
        <v>0.14245023272538596</v>
      </c>
      <c r="X72" s="27">
        <f t="shared" si="22"/>
        <v>8.1430248026329213E-2</v>
      </c>
      <c r="Y72" s="27">
        <f t="shared" si="22"/>
        <v>4.6793865754824401E-2</v>
      </c>
    </row>
    <row r="73" spans="1:25" x14ac:dyDescent="0.25">
      <c r="A73" s="21">
        <v>61</v>
      </c>
      <c r="C73" s="25">
        <f t="shared" si="19"/>
        <v>5.422979589734731</v>
      </c>
      <c r="D73" s="23">
        <f>FishHarvestTimeTrends!AC82*((1+'OriginalBCACalculations 0%'!D$10)^MIN('OriginalBCACalculations 0%'!$A73,20))</f>
        <v>1.8393991624190837</v>
      </c>
      <c r="E73" s="23">
        <f>FishHarvestTimeTrends!AD82*((1+'OriginalBCACalculations 0%'!E$10)^MIN('OriginalBCACalculations 0%'!$A73,20))</f>
        <v>0.26297137231928763</v>
      </c>
      <c r="F73" s="23">
        <f t="shared" si="20"/>
        <v>5.8296709136728087</v>
      </c>
      <c r="H73" s="22">
        <f t="shared" si="14"/>
        <v>2.8000000000000001E-2</v>
      </c>
      <c r="I73" s="22"/>
      <c r="J73" s="41"/>
      <c r="K73" s="41">
        <f t="shared" si="6"/>
        <v>5.422979589734731</v>
      </c>
      <c r="L73" s="41">
        <f t="shared" si="6"/>
        <v>1.8393991624190837</v>
      </c>
      <c r="M73" s="41">
        <f t="shared" si="6"/>
        <v>0.26297137231928763</v>
      </c>
      <c r="N73" s="41">
        <f t="shared" si="6"/>
        <v>5.8296709136728087</v>
      </c>
      <c r="O73" s="67"/>
      <c r="P73" s="41">
        <f t="shared" si="13"/>
        <v>2.8000000000000001E-2</v>
      </c>
      <c r="R73" s="27">
        <f t="shared" si="22"/>
        <v>2.5370618586764486</v>
      </c>
      <c r="S73" s="27">
        <f t="shared" si="22"/>
        <v>1.3965247257187898</v>
      </c>
      <c r="T73" s="27">
        <f t="shared" si="22"/>
        <v>0.77325146343426954</v>
      </c>
      <c r="U73" s="27">
        <f t="shared" si="22"/>
        <v>0.43062334883594966</v>
      </c>
      <c r="V73" s="27">
        <f t="shared" si="22"/>
        <v>0.24117411770062372</v>
      </c>
      <c r="W73" s="27">
        <f t="shared" si="22"/>
        <v>0.13582293538149784</v>
      </c>
      <c r="X73" s="27">
        <f t="shared" si="22"/>
        <v>7.6909349913473757E-2</v>
      </c>
      <c r="Y73" s="27">
        <f t="shared" si="22"/>
        <v>4.3782887009082526E-2</v>
      </c>
    </row>
    <row r="74" spans="1:25" x14ac:dyDescent="0.25">
      <c r="A74" s="21">
        <v>62</v>
      </c>
      <c r="C74" s="25">
        <f t="shared" si="19"/>
        <v>5.422979589734731</v>
      </c>
      <c r="D74" s="23">
        <f>FishHarvestTimeTrends!AC83*((1+'OriginalBCACalculations 0%'!D$10)^MIN('OriginalBCACalculations 0%'!$A74,20))</f>
        <v>1.8394004772310912</v>
      </c>
      <c r="E74" s="23">
        <f>FishHarvestTimeTrends!AD83*((1+'OriginalBCACalculations 0%'!E$10)^MIN('OriginalBCACalculations 0%'!$A74,20))</f>
        <v>0.26297151099859789</v>
      </c>
      <c r="F74" s="23">
        <f t="shared" si="20"/>
        <v>5.8325857491296444</v>
      </c>
      <c r="H74" s="22">
        <f t="shared" si="14"/>
        <v>2.8000000000000001E-2</v>
      </c>
      <c r="I74" s="22"/>
      <c r="J74" s="41"/>
      <c r="K74" s="41">
        <f t="shared" si="6"/>
        <v>5.422979589734731</v>
      </c>
      <c r="L74" s="41">
        <f t="shared" si="6"/>
        <v>1.8394004772310912</v>
      </c>
      <c r="M74" s="41">
        <f t="shared" si="6"/>
        <v>0.26297151099859789</v>
      </c>
      <c r="N74" s="41">
        <f t="shared" si="6"/>
        <v>5.8325857491296444</v>
      </c>
      <c r="O74" s="67"/>
      <c r="P74" s="41">
        <f t="shared" si="13"/>
        <v>2.8000000000000001E-2</v>
      </c>
      <c r="R74" s="27">
        <f t="shared" si="22"/>
        <v>2.5399781476246019</v>
      </c>
      <c r="S74" s="27">
        <f t="shared" si="22"/>
        <v>1.3842871246042221</v>
      </c>
      <c r="T74" s="27">
        <f t="shared" si="22"/>
        <v>0.75896107508778177</v>
      </c>
      <c r="U74" s="27">
        <f t="shared" si="22"/>
        <v>0.41856149472864129</v>
      </c>
      <c r="V74" s="27">
        <f t="shared" si="22"/>
        <v>0.23216475124762306</v>
      </c>
      <c r="W74" s="27">
        <f t="shared" si="22"/>
        <v>0.12950386708355552</v>
      </c>
      <c r="X74" s="27">
        <f t="shared" si="22"/>
        <v>7.2639391774940734E-2</v>
      </c>
      <c r="Y74" s="27">
        <f t="shared" si="22"/>
        <v>4.0965620877688042E-2</v>
      </c>
    </row>
    <row r="75" spans="1:25" x14ac:dyDescent="0.25">
      <c r="A75" s="21">
        <v>63</v>
      </c>
      <c r="C75" s="25">
        <f t="shared" si="19"/>
        <v>5.422979589734731</v>
      </c>
      <c r="D75" s="23">
        <f>FishHarvestTimeTrends!AC84*((1+'OriginalBCACalculations 0%'!D$10)^MIN('OriginalBCACalculations 0%'!$A75,20))</f>
        <v>1.8394017920430983</v>
      </c>
      <c r="E75" s="23">
        <f>FishHarvestTimeTrends!AD84*((1+'OriginalBCACalculations 0%'!E$10)^MIN('OriginalBCACalculations 0%'!$A75,20))</f>
        <v>0.26297164967790809</v>
      </c>
      <c r="F75" s="23">
        <f t="shared" si="20"/>
        <v>5.835502042004209</v>
      </c>
      <c r="H75" s="22">
        <f t="shared" si="14"/>
        <v>2.8000000000000001E-2</v>
      </c>
      <c r="I75" s="22"/>
      <c r="J75" s="41"/>
      <c r="K75" s="41">
        <f t="shared" si="6"/>
        <v>5.422979589734731</v>
      </c>
      <c r="L75" s="41">
        <f t="shared" si="6"/>
        <v>1.8394017920430983</v>
      </c>
      <c r="M75" s="41">
        <f t="shared" si="6"/>
        <v>0.26297164967790809</v>
      </c>
      <c r="N75" s="41">
        <f t="shared" si="6"/>
        <v>5.835502042004209</v>
      </c>
      <c r="O75" s="67"/>
      <c r="P75" s="41">
        <f t="shared" si="13"/>
        <v>2.8000000000000001E-2</v>
      </c>
      <c r="R75" s="27">
        <f t="shared" si="22"/>
        <v>2.542895893990484</v>
      </c>
      <c r="S75" s="27">
        <f t="shared" si="22"/>
        <v>1.3721557378852736</v>
      </c>
      <c r="T75" s="27">
        <f t="shared" si="22"/>
        <v>0.74493423100719292</v>
      </c>
      <c r="U75" s="27">
        <f t="shared" si="22"/>
        <v>0.40683719264498619</v>
      </c>
      <c r="V75" s="27">
        <f t="shared" si="22"/>
        <v>0.22349177462753889</v>
      </c>
      <c r="W75" s="27">
        <f t="shared" si="22"/>
        <v>0.12347869706810911</v>
      </c>
      <c r="X75" s="27">
        <f t="shared" si="22"/>
        <v>6.8606447872956403E-2</v>
      </c>
      <c r="Y75" s="27">
        <f t="shared" si="22"/>
        <v>3.8329606795609421E-2</v>
      </c>
    </row>
    <row r="76" spans="1:25" x14ac:dyDescent="0.25">
      <c r="A76" s="21">
        <v>64</v>
      </c>
      <c r="C76" s="25">
        <f t="shared" si="19"/>
        <v>5.422979589734731</v>
      </c>
      <c r="D76" s="23">
        <f>FishHarvestTimeTrends!AC85*((1+'OriginalBCACalculations 0%'!D$10)^MIN('OriginalBCACalculations 0%'!$A76,20))</f>
        <v>1.8394031068551058</v>
      </c>
      <c r="E76" s="23">
        <f>FishHarvestTimeTrends!AD85*((1+'OriginalBCACalculations 0%'!E$10)^MIN('OriginalBCACalculations 0%'!$A76,20))</f>
        <v>0.26297178835721835</v>
      </c>
      <c r="F76" s="23">
        <f t="shared" si="20"/>
        <v>5.8384197930252109</v>
      </c>
      <c r="H76" s="22">
        <f t="shared" si="14"/>
        <v>2.8000000000000001E-2</v>
      </c>
      <c r="I76" s="22"/>
      <c r="J76" s="41"/>
      <c r="K76" s="41">
        <f t="shared" si="6"/>
        <v>5.422979589734731</v>
      </c>
      <c r="L76" s="41">
        <f t="shared" si="6"/>
        <v>1.8394031068551058</v>
      </c>
      <c r="M76" s="41">
        <f t="shared" si="6"/>
        <v>0.26297178835721835</v>
      </c>
      <c r="N76" s="41">
        <f t="shared" si="6"/>
        <v>5.8384197930252109</v>
      </c>
      <c r="O76" s="67"/>
      <c r="P76" s="41">
        <f t="shared" si="13"/>
        <v>2.8000000000000001E-2</v>
      </c>
      <c r="R76" s="27">
        <f t="shared" si="22"/>
        <v>2.5458150985028034</v>
      </c>
      <c r="S76" s="27">
        <f t="shared" si="22"/>
        <v>1.3601296545566957</v>
      </c>
      <c r="T76" s="27">
        <f t="shared" si="22"/>
        <v>0.73116608215110135</v>
      </c>
      <c r="U76" s="27">
        <f t="shared" si="22"/>
        <v>0.39544100519098696</v>
      </c>
      <c r="V76" s="27">
        <f t="shared" si="22"/>
        <v>0.21514263429956793</v>
      </c>
      <c r="W76" s="27">
        <f t="shared" si="22"/>
        <v>0.11773376063930927</v>
      </c>
      <c r="X76" s="27">
        <f t="shared" si="22"/>
        <v>6.4797365091160755E-2</v>
      </c>
      <c r="Y76" s="27">
        <f t="shared" si="22"/>
        <v>3.5863185590350004E-2</v>
      </c>
    </row>
    <row r="77" spans="1:25" x14ac:dyDescent="0.25">
      <c r="A77" s="21">
        <v>65</v>
      </c>
      <c r="C77" s="25">
        <f t="shared" si="19"/>
        <v>5.422979589734731</v>
      </c>
      <c r="D77" s="23">
        <f>FishHarvestTimeTrends!AC86*((1+'OriginalBCACalculations 0%'!D$10)^MIN('OriginalBCACalculations 0%'!$A77,20))</f>
        <v>1.8394044216671133</v>
      </c>
      <c r="E77" s="23">
        <f>FishHarvestTimeTrends!AD86*((1+'OriginalBCACalculations 0%'!E$10)^MIN('OriginalBCACalculations 0%'!$A77,20))</f>
        <v>0.26297192703652855</v>
      </c>
      <c r="F77" s="23">
        <f t="shared" si="20"/>
        <v>5.8413390029217229</v>
      </c>
      <c r="H77" s="22">
        <f t="shared" si="14"/>
        <v>2.8000000000000001E-2</v>
      </c>
      <c r="I77" s="22"/>
      <c r="J77" s="41"/>
      <c r="K77" s="41">
        <f t="shared" ref="K77:N112" si="23">C77/((1+$M$9)^($A77-1))</f>
        <v>5.422979589734731</v>
      </c>
      <c r="L77" s="41">
        <f t="shared" si="23"/>
        <v>1.8394044216671133</v>
      </c>
      <c r="M77" s="41">
        <f t="shared" si="23"/>
        <v>0.26297192703652855</v>
      </c>
      <c r="N77" s="41">
        <f t="shared" si="23"/>
        <v>5.8413390029217229</v>
      </c>
      <c r="O77" s="67"/>
      <c r="P77" s="41">
        <f t="shared" si="13"/>
        <v>2.8000000000000001E-2</v>
      </c>
      <c r="R77" s="27">
        <f t="shared" si="22"/>
        <v>2.548735761890633</v>
      </c>
      <c r="S77" s="27">
        <f t="shared" si="22"/>
        <v>1.3482079713103661</v>
      </c>
      <c r="T77" s="27">
        <f t="shared" si="22"/>
        <v>0.71765186846842444</v>
      </c>
      <c r="U77" s="27">
        <f t="shared" si="22"/>
        <v>0.38436375855738159</v>
      </c>
      <c r="V77" s="27">
        <f t="shared" si="22"/>
        <v>0.2071052449465714</v>
      </c>
      <c r="W77" s="27">
        <f t="shared" si="22"/>
        <v>0.11225602822217907</v>
      </c>
      <c r="X77" s="27">
        <f t="shared" si="22"/>
        <v>6.1199720078550117E-2</v>
      </c>
      <c r="Y77" s="27">
        <f t="shared" si="22"/>
        <v>3.3555447949758267E-2</v>
      </c>
    </row>
    <row r="78" spans="1:25" x14ac:dyDescent="0.25">
      <c r="A78" s="21">
        <v>66</v>
      </c>
      <c r="C78" s="25">
        <f t="shared" si="19"/>
        <v>5.422979589734731</v>
      </c>
      <c r="D78" s="23">
        <f>FishHarvestTimeTrends!AC87*((1+'OriginalBCACalculations 0%'!D$10)^MIN('OriginalBCACalculations 0%'!$A78,20))</f>
        <v>1.8394057364791205</v>
      </c>
      <c r="E78" s="23">
        <f>FishHarvestTimeTrends!AD87*((1+'OriginalBCACalculations 0%'!E$10)^MIN('OriginalBCACalculations 0%'!$A78,20))</f>
        <v>0.26297206571583881</v>
      </c>
      <c r="F78" s="23">
        <f t="shared" si="20"/>
        <v>5.8442596724231839</v>
      </c>
      <c r="H78" s="22">
        <f t="shared" si="14"/>
        <v>2.8000000000000001E-2</v>
      </c>
      <c r="I78" s="22"/>
      <c r="J78" s="41"/>
      <c r="K78" s="41">
        <f t="shared" si="23"/>
        <v>5.422979589734731</v>
      </c>
      <c r="L78" s="41">
        <f t="shared" si="23"/>
        <v>1.8394057364791205</v>
      </c>
      <c r="M78" s="41">
        <f t="shared" si="23"/>
        <v>0.26297206571583881</v>
      </c>
      <c r="N78" s="41">
        <f t="shared" si="23"/>
        <v>5.8442596724231839</v>
      </c>
      <c r="O78" s="67"/>
      <c r="P78" s="41">
        <f t="shared" si="13"/>
        <v>2.8000000000000001E-2</v>
      </c>
      <c r="R78" s="27">
        <f t="shared" ref="R78:Y93" si="24">(SUM($D78:$H78)-SUM($B78:$C78))/((1+R$10)^($A78-1))</f>
        <v>2.5516578848834115</v>
      </c>
      <c r="S78" s="27">
        <f t="shared" si="24"/>
        <v>1.3363897924715284</v>
      </c>
      <c r="T78" s="27">
        <f t="shared" si="24"/>
        <v>0.70438691726990055</v>
      </c>
      <c r="U78" s="27">
        <f t="shared" si="24"/>
        <v>0.37359653516579827</v>
      </c>
      <c r="V78" s="27">
        <f t="shared" si="24"/>
        <v>0.19936797202117884</v>
      </c>
      <c r="W78" s="27">
        <f t="shared" si="24"/>
        <v>0.10703307585320157</v>
      </c>
      <c r="X78" s="27">
        <f t="shared" si="24"/>
        <v>5.7801778769992929E-2</v>
      </c>
      <c r="Y78" s="27">
        <f t="shared" si="24"/>
        <v>3.1396186202946007E-2</v>
      </c>
    </row>
    <row r="79" spans="1:25" x14ac:dyDescent="0.25">
      <c r="A79" s="21">
        <v>67</v>
      </c>
      <c r="C79" s="25">
        <f t="shared" si="19"/>
        <v>5.422979589734731</v>
      </c>
      <c r="D79" s="23">
        <f>FishHarvestTimeTrends!AC88*((1+'OriginalBCACalculations 0%'!D$10)^MIN('OriginalBCACalculations 0%'!$A79,20))</f>
        <v>1.839407051291128</v>
      </c>
      <c r="E79" s="23">
        <f>FishHarvestTimeTrends!AD88*((1+'OriginalBCACalculations 0%'!E$10)^MIN('OriginalBCACalculations 0%'!$A79,20))</f>
        <v>0.26297220439514901</v>
      </c>
      <c r="F79" s="23">
        <f t="shared" si="20"/>
        <v>5.8471818022593949</v>
      </c>
      <c r="H79" s="22">
        <f t="shared" si="14"/>
        <v>2.8000000000000001E-2</v>
      </c>
      <c r="I79" s="22"/>
      <c r="J79" s="41"/>
      <c r="K79" s="41">
        <f t="shared" si="23"/>
        <v>5.422979589734731</v>
      </c>
      <c r="L79" s="41">
        <f t="shared" si="23"/>
        <v>1.839407051291128</v>
      </c>
      <c r="M79" s="41">
        <f t="shared" si="23"/>
        <v>0.26297220439514901</v>
      </c>
      <c r="N79" s="41">
        <f t="shared" si="23"/>
        <v>5.8471818022593949</v>
      </c>
      <c r="O79" s="67"/>
      <c r="P79" s="41">
        <f t="shared" si="13"/>
        <v>2.8000000000000001E-2</v>
      </c>
      <c r="R79" s="27">
        <f t="shared" si="24"/>
        <v>2.5545814682109409</v>
      </c>
      <c r="S79" s="27">
        <f t="shared" si="24"/>
        <v>1.3246742299355327</v>
      </c>
      <c r="T79" s="27">
        <f t="shared" si="24"/>
        <v>0.69136664162929184</v>
      </c>
      <c r="U79" s="27">
        <f t="shared" si="24"/>
        <v>0.363130666519839</v>
      </c>
      <c r="V79" s="27">
        <f t="shared" si="24"/>
        <v>0.19191961494212684</v>
      </c>
      <c r="W79" s="27">
        <f t="shared" si="24"/>
        <v>0.10205305704149427</v>
      </c>
      <c r="X79" s="27">
        <f t="shared" si="24"/>
        <v>5.4592458151560379E-2</v>
      </c>
      <c r="Y79" s="27">
        <f t="shared" si="24"/>
        <v>2.9375849201346761E-2</v>
      </c>
    </row>
    <row r="80" spans="1:25" x14ac:dyDescent="0.25">
      <c r="A80" s="21">
        <v>68</v>
      </c>
      <c r="C80" s="25">
        <f t="shared" si="19"/>
        <v>5.422979589734731</v>
      </c>
      <c r="D80" s="23">
        <f>FishHarvestTimeTrends!AC89*((1+'OriginalBCACalculations 0%'!D$10)^MIN('OriginalBCACalculations 0%'!$A80,20))</f>
        <v>1.8394083661031355</v>
      </c>
      <c r="E80" s="23">
        <f>FishHarvestTimeTrends!AD89*((1+'OriginalBCACalculations 0%'!E$10)^MIN('OriginalBCACalculations 0%'!$A80,20))</f>
        <v>0.26297234307445921</v>
      </c>
      <c r="F80" s="23">
        <f t="shared" si="20"/>
        <v>5.8501053931605247</v>
      </c>
      <c r="H80" s="22">
        <f t="shared" si="14"/>
        <v>2.8000000000000001E-2</v>
      </c>
      <c r="I80" s="22"/>
      <c r="J80" s="41"/>
      <c r="K80" s="41">
        <f t="shared" si="23"/>
        <v>5.422979589734731</v>
      </c>
      <c r="L80" s="41">
        <f t="shared" si="23"/>
        <v>1.8394083661031355</v>
      </c>
      <c r="M80" s="41">
        <f t="shared" si="23"/>
        <v>0.26297234307445921</v>
      </c>
      <c r="N80" s="41">
        <f t="shared" si="23"/>
        <v>5.8501053931605247</v>
      </c>
      <c r="O80" s="67"/>
      <c r="P80" s="41">
        <f t="shared" si="13"/>
        <v>2.8000000000000001E-2</v>
      </c>
      <c r="R80" s="27">
        <f t="shared" si="24"/>
        <v>2.5575065126033873</v>
      </c>
      <c r="S80" s="27">
        <f t="shared" si="24"/>
        <v>1.313060403105095</v>
      </c>
      <c r="T80" s="27">
        <f t="shared" si="24"/>
        <v>0.67858653881375597</v>
      </c>
      <c r="U80" s="27">
        <f t="shared" si="24"/>
        <v>0.35295772625538652</v>
      </c>
      <c r="V80" s="27">
        <f t="shared" si="24"/>
        <v>0.18474939091662501</v>
      </c>
      <c r="W80" s="27">
        <f t="shared" si="24"/>
        <v>9.7304675936936133E-2</v>
      </c>
      <c r="X80" s="27">
        <f t="shared" si="24"/>
        <v>5.1561290146215445E-2</v>
      </c>
      <c r="Y80" s="27">
        <f t="shared" si="24"/>
        <v>2.7485500100633459E-2</v>
      </c>
    </row>
    <row r="81" spans="1:25" x14ac:dyDescent="0.25">
      <c r="A81" s="21">
        <v>69</v>
      </c>
      <c r="C81" s="25">
        <f t="shared" si="19"/>
        <v>5.422979589734731</v>
      </c>
      <c r="D81" s="23">
        <f>FishHarvestTimeTrends!AC90*((1+'OriginalBCACalculations 0%'!D$10)^MIN('OriginalBCACalculations 0%'!$A81,20))</f>
        <v>1.8394096809151428</v>
      </c>
      <c r="E81" s="23">
        <f>FishHarvestTimeTrends!AD90*((1+'OriginalBCACalculations 0%'!E$10)^MIN('OriginalBCACalculations 0%'!$A81,20))</f>
        <v>0.26297248175376947</v>
      </c>
      <c r="F81" s="23">
        <f t="shared" si="20"/>
        <v>5.8530304458571045</v>
      </c>
      <c r="H81" s="22">
        <f t="shared" si="14"/>
        <v>2.8000000000000001E-2</v>
      </c>
      <c r="I81" s="22"/>
      <c r="J81" s="41"/>
      <c r="K81" s="41">
        <f t="shared" si="23"/>
        <v>5.422979589734731</v>
      </c>
      <c r="L81" s="41">
        <f t="shared" si="23"/>
        <v>1.8394096809151428</v>
      </c>
      <c r="M81" s="41">
        <f t="shared" si="23"/>
        <v>0.26297248175376947</v>
      </c>
      <c r="N81" s="41">
        <f t="shared" si="23"/>
        <v>5.8530304458571045</v>
      </c>
      <c r="O81" s="67"/>
      <c r="P81" s="41">
        <f t="shared" si="13"/>
        <v>2.8000000000000001E-2</v>
      </c>
      <c r="R81" s="27">
        <f t="shared" si="24"/>
        <v>2.5604330187912847</v>
      </c>
      <c r="S81" s="27">
        <f t="shared" si="24"/>
        <v>1.3015474388280626</v>
      </c>
      <c r="T81" s="27">
        <f t="shared" si="24"/>
        <v>0.6660421887428547</v>
      </c>
      <c r="U81" s="27">
        <f t="shared" si="24"/>
        <v>0.34306952338459129</v>
      </c>
      <c r="V81" s="27">
        <f t="shared" si="24"/>
        <v>0.1778469193654402</v>
      </c>
      <c r="W81" s="27">
        <f t="shared" si="24"/>
        <v>9.2777161744566905E-2</v>
      </c>
      <c r="X81" s="27">
        <f t="shared" si="24"/>
        <v>4.8698387502302626E-2</v>
      </c>
      <c r="Y81" s="27">
        <f t="shared" si="24"/>
        <v>2.5716776857022412E-2</v>
      </c>
    </row>
    <row r="82" spans="1:25" x14ac:dyDescent="0.25">
      <c r="A82" s="21">
        <v>70</v>
      </c>
      <c r="C82" s="25">
        <f t="shared" si="19"/>
        <v>5.422979589734731</v>
      </c>
      <c r="D82" s="23">
        <f>FishHarvestTimeTrends!AC91*((1+'OriginalBCACalculations 0%'!D$10)^MIN('OriginalBCACalculations 0%'!$A82,20))</f>
        <v>1.8394109957271503</v>
      </c>
      <c r="E82" s="23">
        <f>FishHarvestTimeTrends!AD91*((1+'OriginalBCACalculations 0%'!E$10)^MIN('OriginalBCACalculations 0%'!$A82,20))</f>
        <v>0.26297262043307967</v>
      </c>
      <c r="F82" s="23">
        <f t="shared" si="20"/>
        <v>5.8559569610800324</v>
      </c>
      <c r="H82" s="22">
        <f t="shared" si="14"/>
        <v>2.8000000000000001E-2</v>
      </c>
      <c r="I82" s="22"/>
      <c r="J82" s="41"/>
      <c r="K82" s="41">
        <f t="shared" si="23"/>
        <v>5.422979589734731</v>
      </c>
      <c r="L82" s="41">
        <f t="shared" si="23"/>
        <v>1.8394109957271503</v>
      </c>
      <c r="M82" s="41">
        <f t="shared" si="23"/>
        <v>0.26297262043307967</v>
      </c>
      <c r="N82" s="41">
        <f t="shared" si="23"/>
        <v>5.8559569610800324</v>
      </c>
      <c r="O82" s="67"/>
      <c r="P82" s="41">
        <f t="shared" si="13"/>
        <v>2.8000000000000001E-2</v>
      </c>
      <c r="R82" s="27">
        <f t="shared" si="24"/>
        <v>2.563360987505531</v>
      </c>
      <c r="S82" s="27">
        <f t="shared" si="24"/>
        <v>1.2901344713356788</v>
      </c>
      <c r="T82" s="27">
        <f t="shared" si="24"/>
        <v>0.65372925247567404</v>
      </c>
      <c r="U82" s="27">
        <f t="shared" si="24"/>
        <v>0.33345809572814578</v>
      </c>
      <c r="V82" s="27">
        <f t="shared" si="24"/>
        <v>0.1712022069282578</v>
      </c>
      <c r="W82" s="27">
        <f t="shared" si="24"/>
        <v>8.8460244327393689E-2</v>
      </c>
      <c r="X82" s="27">
        <f t="shared" si="24"/>
        <v>4.5994411573796287E-2</v>
      </c>
      <c r="Y82" s="27">
        <f t="shared" si="24"/>
        <v>2.4061855263474857E-2</v>
      </c>
    </row>
    <row r="83" spans="1:25" x14ac:dyDescent="0.25">
      <c r="A83" s="21">
        <v>71</v>
      </c>
      <c r="C83" s="25">
        <f t="shared" si="19"/>
        <v>5.422979589734731</v>
      </c>
      <c r="D83" s="23">
        <f>FishHarvestTimeTrends!AC92*((1+'OriginalBCACalculations 0%'!D$10)^MIN('OriginalBCACalculations 0%'!$A83,20))</f>
        <v>1.8394123105391578</v>
      </c>
      <c r="E83" s="23">
        <f>FishHarvestTimeTrends!AD92*((1+'OriginalBCACalculations 0%'!E$10)^MIN('OriginalBCACalculations 0%'!$A83,20))</f>
        <v>0.26297275911238988</v>
      </c>
      <c r="F83" s="23">
        <f t="shared" si="20"/>
        <v>5.8588849395605722</v>
      </c>
      <c r="H83" s="22">
        <f t="shared" si="14"/>
        <v>2.8000000000000001E-2</v>
      </c>
      <c r="I83" s="22"/>
      <c r="J83" s="41"/>
      <c r="K83" s="41">
        <f t="shared" si="23"/>
        <v>5.422979589734731</v>
      </c>
      <c r="L83" s="41">
        <f t="shared" si="23"/>
        <v>1.8394123105391578</v>
      </c>
      <c r="M83" s="41">
        <f t="shared" si="23"/>
        <v>0.26297275911238988</v>
      </c>
      <c r="N83" s="41">
        <f t="shared" si="23"/>
        <v>5.8588849395605722</v>
      </c>
      <c r="O83" s="67"/>
      <c r="P83" s="41">
        <f t="shared" si="13"/>
        <v>2.8000000000000001E-2</v>
      </c>
      <c r="R83" s="27">
        <f t="shared" si="24"/>
        <v>2.5662904194773883</v>
      </c>
      <c r="S83" s="27">
        <f t="shared" si="24"/>
        <v>1.2788206421813462</v>
      </c>
      <c r="T83" s="27">
        <f t="shared" si="24"/>
        <v>0.64164347072555161</v>
      </c>
      <c r="U83" s="27">
        <f t="shared" si="24"/>
        <v>0.32411570353060687</v>
      </c>
      <c r="V83" s="27">
        <f t="shared" si="24"/>
        <v>0.16480563302771489</v>
      </c>
      <c r="W83" s="27">
        <f t="shared" si="24"/>
        <v>8.4344130942427056E-2</v>
      </c>
      <c r="X83" s="27">
        <f t="shared" si="24"/>
        <v>4.344054188742083E-2</v>
      </c>
      <c r="Y83" s="27">
        <f t="shared" si="24"/>
        <v>2.2513414362522369E-2</v>
      </c>
    </row>
    <row r="84" spans="1:25" x14ac:dyDescent="0.25">
      <c r="A84" s="21">
        <v>72</v>
      </c>
      <c r="C84" s="25">
        <f t="shared" si="19"/>
        <v>5.422979589734731</v>
      </c>
      <c r="D84" s="23">
        <f>FishHarvestTimeTrends!AC93*((1+'OriginalBCACalculations 0%'!D$10)^MIN('OriginalBCACalculations 0%'!$A84,20))</f>
        <v>1.839413625351165</v>
      </c>
      <c r="E84" s="23">
        <f>FishHarvestTimeTrends!AD93*((1+'OriginalBCACalculations 0%'!E$10)^MIN('OriginalBCACalculations 0%'!$A84,20))</f>
        <v>0.26297289779170013</v>
      </c>
      <c r="F84" s="23">
        <f t="shared" si="20"/>
        <v>5.8618143820303521</v>
      </c>
      <c r="H84" s="22">
        <f t="shared" si="14"/>
        <v>2.8000000000000001E-2</v>
      </c>
      <c r="I84" s="22"/>
      <c r="J84" s="41"/>
      <c r="K84" s="41">
        <f t="shared" si="23"/>
        <v>5.422979589734731</v>
      </c>
      <c r="L84" s="41">
        <f t="shared" si="23"/>
        <v>1.839413625351165</v>
      </c>
      <c r="M84" s="41">
        <f t="shared" si="23"/>
        <v>0.26297289779170013</v>
      </c>
      <c r="N84" s="41">
        <f t="shared" si="23"/>
        <v>5.8618143820303521</v>
      </c>
      <c r="O84" s="67"/>
      <c r="P84" s="41">
        <f t="shared" ref="P84:P112" si="25">H84/((1+$M$9)^($A84-1))</f>
        <v>2.8000000000000001E-2</v>
      </c>
      <c r="R84" s="27">
        <f t="shared" si="24"/>
        <v>2.5692213154384858</v>
      </c>
      <c r="S84" s="27">
        <f t="shared" si="24"/>
        <v>1.2676051001798896</v>
      </c>
      <c r="T84" s="27">
        <f t="shared" si="24"/>
        <v>0.629780662401906</v>
      </c>
      <c r="U84" s="27">
        <f t="shared" si="24"/>
        <v>0.31503482325367033</v>
      </c>
      <c r="V84" s="27">
        <f t="shared" si="24"/>
        <v>0.15864793597130314</v>
      </c>
      <c r="W84" s="27">
        <f t="shared" si="24"/>
        <v>8.0419484057328419E-2</v>
      </c>
      <c r="X84" s="27">
        <f t="shared" si="24"/>
        <v>4.1028447397569681E-2</v>
      </c>
      <c r="Y84" s="27">
        <f t="shared" si="24"/>
        <v>2.1064604082935954E-2</v>
      </c>
    </row>
    <row r="85" spans="1:25" x14ac:dyDescent="0.25">
      <c r="A85" s="21">
        <v>73</v>
      </c>
      <c r="C85" s="25">
        <f t="shared" si="19"/>
        <v>5.422979589734731</v>
      </c>
      <c r="D85" s="23">
        <f>FishHarvestTimeTrends!AC94*((1+'OriginalBCACalculations 0%'!D$10)^MIN('OriginalBCACalculations 0%'!$A85,20))</f>
        <v>1.8394149401631723</v>
      </c>
      <c r="E85" s="23">
        <f>FishHarvestTimeTrends!AD94*((1+'OriginalBCACalculations 0%'!E$10)^MIN('OriginalBCACalculations 0%'!$A85,20))</f>
        <v>0.26297303647101039</v>
      </c>
      <c r="F85" s="23">
        <f t="shared" si="20"/>
        <v>5.864745289221367</v>
      </c>
      <c r="H85" s="22">
        <f t="shared" ref="H85:H112" si="26">B$8</f>
        <v>2.8000000000000001E-2</v>
      </c>
      <c r="I85" s="22"/>
      <c r="J85" s="41"/>
      <c r="K85" s="41">
        <f t="shared" si="23"/>
        <v>5.422979589734731</v>
      </c>
      <c r="L85" s="41">
        <f t="shared" si="23"/>
        <v>1.8394149401631723</v>
      </c>
      <c r="M85" s="41">
        <f t="shared" si="23"/>
        <v>0.26297303647101039</v>
      </c>
      <c r="N85" s="41">
        <f t="shared" si="23"/>
        <v>5.864745289221367</v>
      </c>
      <c r="O85" s="67"/>
      <c r="P85" s="41">
        <f t="shared" si="25"/>
        <v>2.8000000000000001E-2</v>
      </c>
      <c r="R85" s="27">
        <f t="shared" si="24"/>
        <v>2.5721536761208181</v>
      </c>
      <c r="S85" s="27">
        <f t="shared" si="24"/>
        <v>1.2564870013473008</v>
      </c>
      <c r="T85" s="27">
        <f t="shared" si="24"/>
        <v>0.61813672317867374</v>
      </c>
      <c r="U85" s="27">
        <f t="shared" si="24"/>
        <v>0.30620814154244358</v>
      </c>
      <c r="V85" s="27">
        <f t="shared" si="24"/>
        <v>0.15272019957111282</v>
      </c>
      <c r="W85" s="27">
        <f t="shared" si="24"/>
        <v>7.6677400197493126E-2</v>
      </c>
      <c r="X85" s="27">
        <f t="shared" si="24"/>
        <v>3.8750259335441455E-2</v>
      </c>
      <c r="Y85" s="27">
        <f t="shared" si="24"/>
        <v>1.9709014957278479E-2</v>
      </c>
    </row>
    <row r="86" spans="1:25" x14ac:dyDescent="0.25">
      <c r="A86" s="21">
        <v>74</v>
      </c>
      <c r="C86" s="25">
        <f t="shared" si="19"/>
        <v>5.422979589734731</v>
      </c>
      <c r="D86" s="23">
        <f>FishHarvestTimeTrends!AC95*((1+'OriginalBCACalculations 0%'!D$10)^MIN('OriginalBCACalculations 0%'!$A86,20))</f>
        <v>1.83941625497518</v>
      </c>
      <c r="E86" s="23">
        <f>FishHarvestTimeTrends!AD95*((1+'OriginalBCACalculations 0%'!E$10)^MIN('OriginalBCACalculations 0%'!$A86,20))</f>
        <v>0.26297317515032054</v>
      </c>
      <c r="F86" s="23">
        <f t="shared" ref="F86:F112" si="27">F85*(1+F$10)</f>
        <v>5.8676776618659776</v>
      </c>
      <c r="H86" s="22">
        <f t="shared" si="26"/>
        <v>2.8000000000000001E-2</v>
      </c>
      <c r="I86" s="22"/>
      <c r="J86" s="41"/>
      <c r="K86" s="41">
        <f t="shared" si="23"/>
        <v>5.422979589734731</v>
      </c>
      <c r="L86" s="41">
        <f t="shared" si="23"/>
        <v>1.83941625497518</v>
      </c>
      <c r="M86" s="41">
        <f t="shared" si="23"/>
        <v>0.26297317515032054</v>
      </c>
      <c r="N86" s="41">
        <f t="shared" si="23"/>
        <v>5.8676776618659776</v>
      </c>
      <c r="O86" s="67"/>
      <c r="P86" s="41">
        <f t="shared" si="25"/>
        <v>2.8000000000000001E-2</v>
      </c>
      <c r="R86" s="27">
        <f t="shared" si="24"/>
        <v>2.5750875022567463</v>
      </c>
      <c r="S86" s="27">
        <f t="shared" si="24"/>
        <v>1.2454655088409829</v>
      </c>
      <c r="T86" s="27">
        <f t="shared" si="24"/>
        <v>0.60670762408887469</v>
      </c>
      <c r="U86" s="27">
        <f t="shared" si="24"/>
        <v>0.29762854935990035</v>
      </c>
      <c r="V86" s="27">
        <f t="shared" si="24"/>
        <v>0.14701384026213646</v>
      </c>
      <c r="W86" s="27">
        <f t="shared" si="24"/>
        <v>7.3109389775722664E-2</v>
      </c>
      <c r="X86" s="27">
        <f t="shared" si="24"/>
        <v>3.6598545563999337E-2</v>
      </c>
      <c r="Y86" s="27">
        <f t="shared" si="24"/>
        <v>1.8440649786568435E-2</v>
      </c>
    </row>
    <row r="87" spans="1:25" x14ac:dyDescent="0.25">
      <c r="A87" s="21">
        <v>75</v>
      </c>
      <c r="C87" s="25">
        <f t="shared" si="19"/>
        <v>5.422979589734731</v>
      </c>
      <c r="D87" s="23">
        <f>FishHarvestTimeTrends!AC96*((1+'OriginalBCACalculations 0%'!D$10)^MIN('OriginalBCACalculations 0%'!$A87,20))</f>
        <v>1.8394175697871873</v>
      </c>
      <c r="E87" s="23">
        <f>FishHarvestTimeTrends!AD96*((1+'OriginalBCACalculations 0%'!E$10)^MIN('OriginalBCACalculations 0%'!$A87,20))</f>
        <v>0.26297331382963085</v>
      </c>
      <c r="F87" s="23">
        <f t="shared" si="27"/>
        <v>5.87061150069691</v>
      </c>
      <c r="H87" s="22">
        <f t="shared" si="26"/>
        <v>2.8000000000000001E-2</v>
      </c>
      <c r="I87" s="22"/>
      <c r="J87" s="41"/>
      <c r="K87" s="41">
        <f t="shared" si="23"/>
        <v>5.422979589734731</v>
      </c>
      <c r="L87" s="41">
        <f t="shared" si="23"/>
        <v>1.8394175697871873</v>
      </c>
      <c r="M87" s="41">
        <f t="shared" si="23"/>
        <v>0.26297331382963085</v>
      </c>
      <c r="N87" s="41">
        <f t="shared" si="23"/>
        <v>5.87061150069691</v>
      </c>
      <c r="O87" s="67"/>
      <c r="P87" s="41">
        <f t="shared" si="25"/>
        <v>2.8000000000000001E-2</v>
      </c>
      <c r="R87" s="27">
        <f t="shared" si="24"/>
        <v>2.578022794578998</v>
      </c>
      <c r="S87" s="27">
        <f t="shared" si="24"/>
        <v>1.2345397929004647</v>
      </c>
      <c r="T87" s="27">
        <f t="shared" si="24"/>
        <v>0.59548941014482515</v>
      </c>
      <c r="U87" s="27">
        <f t="shared" si="24"/>
        <v>0.28928913628483671</v>
      </c>
      <c r="V87" s="27">
        <f t="shared" si="24"/>
        <v>0.14152059470056555</v>
      </c>
      <c r="W87" s="27">
        <f t="shared" si="24"/>
        <v>6.9707357858860119E-2</v>
      </c>
      <c r="X87" s="27">
        <f t="shared" si="24"/>
        <v>3.4566286355259615E-2</v>
      </c>
      <c r="Y87" s="27">
        <f t="shared" si="24"/>
        <v>1.7253897126881391E-2</v>
      </c>
    </row>
    <row r="88" spans="1:25" x14ac:dyDescent="0.25">
      <c r="A88" s="21">
        <v>76</v>
      </c>
      <c r="C88" s="25">
        <f t="shared" si="19"/>
        <v>5.422979589734731</v>
      </c>
      <c r="D88" s="23">
        <f>FishHarvestTimeTrends!AC97*((1+'OriginalBCACalculations 0%'!D$10)^MIN('OriginalBCACalculations 0%'!$A88,20))</f>
        <v>1.8394188845991946</v>
      </c>
      <c r="E88" s="23">
        <f>FishHarvestTimeTrends!AD97*((1+'OriginalBCACalculations 0%'!E$10)^MIN('OriginalBCACalculations 0%'!$A88,20))</f>
        <v>0.262973452508941</v>
      </c>
      <c r="F88" s="23">
        <f t="shared" si="27"/>
        <v>5.8735468064472585</v>
      </c>
      <c r="H88" s="22">
        <f t="shared" si="26"/>
        <v>2.8000000000000001E-2</v>
      </c>
      <c r="I88" s="22"/>
      <c r="J88" s="41"/>
      <c r="K88" s="41">
        <f t="shared" si="23"/>
        <v>5.422979589734731</v>
      </c>
      <c r="L88" s="41">
        <f t="shared" si="23"/>
        <v>1.8394188845991946</v>
      </c>
      <c r="M88" s="41">
        <f t="shared" si="23"/>
        <v>0.262973452508941</v>
      </c>
      <c r="N88" s="41">
        <f t="shared" si="23"/>
        <v>5.8735468064472585</v>
      </c>
      <c r="O88" s="67"/>
      <c r="P88" s="41">
        <f t="shared" si="25"/>
        <v>2.8000000000000001E-2</v>
      </c>
      <c r="R88" s="27">
        <f t="shared" si="24"/>
        <v>2.5809595538206631</v>
      </c>
      <c r="S88" s="27">
        <f t="shared" si="24"/>
        <v>1.2237090307886009</v>
      </c>
      <c r="T88" s="27">
        <f t="shared" si="24"/>
        <v>0.58447819898353692</v>
      </c>
      <c r="U88" s="27">
        <f t="shared" si="24"/>
        <v>0.28118318496877415</v>
      </c>
      <c r="V88" s="27">
        <f t="shared" si="24"/>
        <v>0.13623250782420721</v>
      </c>
      <c r="W88" s="27">
        <f t="shared" si="24"/>
        <v>6.6463585827880742E-2</v>
      </c>
      <c r="X88" s="27">
        <f t="shared" si="24"/>
        <v>3.2646851511043427E-2</v>
      </c>
      <c r="Y88" s="27">
        <f t="shared" si="24"/>
        <v>1.6143506480760739E-2</v>
      </c>
    </row>
    <row r="89" spans="1:25" x14ac:dyDescent="0.25">
      <c r="A89" s="21">
        <v>77</v>
      </c>
      <c r="C89" s="25">
        <f t="shared" si="19"/>
        <v>5.422979589734731</v>
      </c>
      <c r="D89" s="23">
        <f>FishHarvestTimeTrends!AC98*((1+'OriginalBCACalculations 0%'!D$10)^MIN('OriginalBCACalculations 0%'!$A89,20))</f>
        <v>1.8394201994112023</v>
      </c>
      <c r="E89" s="23">
        <f>FishHarvestTimeTrends!AD98*((1+'OriginalBCACalculations 0%'!E$10)^MIN('OriginalBCACalculations 0%'!$A89,20))</f>
        <v>0.26297359118825125</v>
      </c>
      <c r="F89" s="23">
        <f t="shared" si="27"/>
        <v>5.8764835798504818</v>
      </c>
      <c r="H89" s="22">
        <f t="shared" si="26"/>
        <v>2.8000000000000001E-2</v>
      </c>
      <c r="I89" s="22"/>
      <c r="J89" s="41"/>
      <c r="K89" s="41">
        <f t="shared" si="23"/>
        <v>5.422979589734731</v>
      </c>
      <c r="L89" s="41">
        <f t="shared" si="23"/>
        <v>1.8394201994112023</v>
      </c>
      <c r="M89" s="41">
        <f t="shared" si="23"/>
        <v>0.26297359118825125</v>
      </c>
      <c r="N89" s="41">
        <f t="shared" si="23"/>
        <v>5.8764835798504818</v>
      </c>
      <c r="O89" s="67"/>
      <c r="P89" s="41">
        <f t="shared" si="25"/>
        <v>2.8000000000000001E-2</v>
      </c>
      <c r="R89" s="27">
        <f t="shared" si="24"/>
        <v>2.5838977807152039</v>
      </c>
      <c r="S89" s="27">
        <f t="shared" si="24"/>
        <v>1.2129724067332515</v>
      </c>
      <c r="T89" s="27">
        <f t="shared" si="24"/>
        <v>0.57367017953684207</v>
      </c>
      <c r="U89" s="27">
        <f t="shared" si="24"/>
        <v>0.27330416574738797</v>
      </c>
      <c r="V89" s="27">
        <f t="shared" si="24"/>
        <v>0.13114192135781161</v>
      </c>
      <c r="W89" s="27">
        <f t="shared" si="24"/>
        <v>6.3370713889949332E-2</v>
      </c>
      <c r="X89" s="27">
        <f t="shared" si="24"/>
        <v>3.0833978752697971E-2</v>
      </c>
      <c r="Y89" s="27">
        <f t="shared" si="24"/>
        <v>1.5104565083838313E-2</v>
      </c>
    </row>
    <row r="90" spans="1:25" x14ac:dyDescent="0.25">
      <c r="A90" s="21">
        <v>78</v>
      </c>
      <c r="C90" s="25">
        <f t="shared" si="19"/>
        <v>5.422979589734731</v>
      </c>
      <c r="D90" s="23">
        <f>FishHarvestTimeTrends!AC99*((1+'OriginalBCACalculations 0%'!D$10)^MIN('OriginalBCACalculations 0%'!$A90,20))</f>
        <v>1.8394215142232098</v>
      </c>
      <c r="E90" s="23">
        <f>FishHarvestTimeTrends!AD99*((1+'OriginalBCACalculations 0%'!E$10)^MIN('OriginalBCACalculations 0%'!$A90,20))</f>
        <v>0.26297372986756146</v>
      </c>
      <c r="F90" s="23">
        <f t="shared" si="27"/>
        <v>5.8794218216404071</v>
      </c>
      <c r="H90" s="22">
        <f t="shared" si="26"/>
        <v>2.8000000000000001E-2</v>
      </c>
      <c r="I90" s="22"/>
      <c r="J90" s="41"/>
      <c r="K90" s="41">
        <f t="shared" si="23"/>
        <v>5.422979589734731</v>
      </c>
      <c r="L90" s="41">
        <f t="shared" si="23"/>
        <v>1.8394215142232098</v>
      </c>
      <c r="M90" s="41">
        <f t="shared" si="23"/>
        <v>0.26297372986756146</v>
      </c>
      <c r="N90" s="41">
        <f t="shared" si="23"/>
        <v>5.8794218216404071</v>
      </c>
      <c r="O90" s="67"/>
      <c r="P90" s="41">
        <f t="shared" si="25"/>
        <v>2.8000000000000001E-2</v>
      </c>
      <c r="R90" s="27">
        <f t="shared" si="24"/>
        <v>2.5868374759964476</v>
      </c>
      <c r="S90" s="27">
        <f t="shared" si="24"/>
        <v>1.2023291118694266</v>
      </c>
      <c r="T90" s="27">
        <f t="shared" si="24"/>
        <v>0.56306161072579408</v>
      </c>
      <c r="U90" s="27">
        <f t="shared" si="24"/>
        <v>0.26564573140215414</v>
      </c>
      <c r="V90" s="27">
        <f t="shared" si="24"/>
        <v>0.12624146274674064</v>
      </c>
      <c r="W90" s="27">
        <f t="shared" si="24"/>
        <v>6.0421724402881044E-2</v>
      </c>
      <c r="X90" s="27">
        <f t="shared" si="24"/>
        <v>2.9121753309422398E-2</v>
      </c>
      <c r="Y90" s="27">
        <f t="shared" si="24"/>
        <v>1.4132476184109568E-2</v>
      </c>
    </row>
    <row r="91" spans="1:25" x14ac:dyDescent="0.25">
      <c r="A91" s="21">
        <v>79</v>
      </c>
      <c r="C91" s="25">
        <f t="shared" si="19"/>
        <v>5.422979589734731</v>
      </c>
      <c r="D91" s="23">
        <f>FishHarvestTimeTrends!AC100*((1+'OriginalBCACalculations 0%'!D$10)^MIN('OriginalBCACalculations 0%'!$A91,20))</f>
        <v>1.8394228290352168</v>
      </c>
      <c r="E91" s="23">
        <f>FishHarvestTimeTrends!AD100*((1+'OriginalBCACalculations 0%'!E$10)^MIN('OriginalBCACalculations 0%'!$A91,20))</f>
        <v>0.26297386854687171</v>
      </c>
      <c r="F91" s="23">
        <f t="shared" si="27"/>
        <v>5.8823615325512266</v>
      </c>
      <c r="H91" s="22">
        <f t="shared" si="26"/>
        <v>2.8000000000000001E-2</v>
      </c>
      <c r="I91" s="22"/>
      <c r="J91" s="41"/>
      <c r="K91" s="41">
        <f t="shared" si="23"/>
        <v>5.422979589734731</v>
      </c>
      <c r="L91" s="41">
        <f t="shared" si="23"/>
        <v>1.8394228290352168</v>
      </c>
      <c r="M91" s="41">
        <f t="shared" si="23"/>
        <v>0.26297386854687171</v>
      </c>
      <c r="N91" s="41">
        <f t="shared" si="23"/>
        <v>5.8823615325512266</v>
      </c>
      <c r="O91" s="67"/>
      <c r="P91" s="41">
        <f t="shared" si="25"/>
        <v>2.8000000000000001E-2</v>
      </c>
      <c r="R91" s="27">
        <f t="shared" si="24"/>
        <v>2.5897786403985839</v>
      </c>
      <c r="S91" s="27">
        <f t="shared" si="24"/>
        <v>1.1917783441819003</v>
      </c>
      <c r="T91" s="27">
        <f t="shared" si="24"/>
        <v>0.55264882017890116</v>
      </c>
      <c r="U91" s="27">
        <f t="shared" si="24"/>
        <v>0.25820171206803488</v>
      </c>
      <c r="V91" s="27">
        <f t="shared" si="24"/>
        <v>0.12152403450302633</v>
      </c>
      <c r="W91" s="27">
        <f t="shared" si="24"/>
        <v>5.7609925974280059E-2</v>
      </c>
      <c r="X91" s="27">
        <f t="shared" si="24"/>
        <v>2.7504588638735124E-2</v>
      </c>
      <c r="Y91" s="27">
        <f t="shared" si="24"/>
        <v>1.3222938717900628E-2</v>
      </c>
    </row>
    <row r="92" spans="1:25" x14ac:dyDescent="0.25">
      <c r="A92" s="21">
        <v>80</v>
      </c>
      <c r="C92" s="25">
        <f t="shared" si="19"/>
        <v>5.422979589734731</v>
      </c>
      <c r="D92" s="23">
        <f>FishHarvestTimeTrends!AC101*((1+'OriginalBCACalculations 0%'!D$10)^MIN('OriginalBCACalculations 0%'!$A92,20))</f>
        <v>1.8394241438472243</v>
      </c>
      <c r="E92" s="23">
        <f>FishHarvestTimeTrends!AD101*((1+'OriginalBCACalculations 0%'!E$10)^MIN('OriginalBCACalculations 0%'!$A92,20))</f>
        <v>0.26297400722618192</v>
      </c>
      <c r="F92" s="23">
        <f t="shared" si="27"/>
        <v>5.8853027133175022</v>
      </c>
      <c r="H92" s="22">
        <f t="shared" si="26"/>
        <v>2.8000000000000001E-2</v>
      </c>
      <c r="I92" s="22"/>
      <c r="J92" s="41"/>
      <c r="K92" s="41">
        <f t="shared" si="23"/>
        <v>5.422979589734731</v>
      </c>
      <c r="L92" s="41">
        <f t="shared" si="23"/>
        <v>1.8394241438472243</v>
      </c>
      <c r="M92" s="41">
        <f t="shared" si="23"/>
        <v>0.26297400722618192</v>
      </c>
      <c r="N92" s="41">
        <f t="shared" si="23"/>
        <v>5.8853027133175022</v>
      </c>
      <c r="O92" s="67"/>
      <c r="P92" s="41">
        <f t="shared" si="25"/>
        <v>2.8000000000000001E-2</v>
      </c>
      <c r="R92" s="27">
        <f t="shared" si="24"/>
        <v>2.592721274656177</v>
      </c>
      <c r="S92" s="27">
        <f t="shared" si="24"/>
        <v>1.1813193084482976</v>
      </c>
      <c r="T92" s="27">
        <f t="shared" si="24"/>
        <v>0.5424282029737667</v>
      </c>
      <c r="U92" s="27">
        <f t="shared" si="24"/>
        <v>0.25096611028313831</v>
      </c>
      <c r="V92" s="27">
        <f t="shared" si="24"/>
        <v>0.11698280394846169</v>
      </c>
      <c r="W92" s="27">
        <f t="shared" si="24"/>
        <v>5.4928938299380732E-2</v>
      </c>
      <c r="X92" s="27">
        <f t="shared" si="24"/>
        <v>2.5977208216303335E-2</v>
      </c>
      <c r="Y92" s="27">
        <f t="shared" si="24"/>
        <v>1.237192829273249E-2</v>
      </c>
    </row>
    <row r="93" spans="1:25" x14ac:dyDescent="0.25">
      <c r="A93" s="21">
        <v>81</v>
      </c>
      <c r="C93" s="25">
        <f t="shared" si="19"/>
        <v>5.422979589734731</v>
      </c>
      <c r="D93" s="23">
        <f>FishHarvestTimeTrends!AC102*((1+'OriginalBCACalculations 0%'!D$10)^MIN('OriginalBCACalculations 0%'!$A93,20))</f>
        <v>1.8394254586592318</v>
      </c>
      <c r="E93" s="23">
        <f>FishHarvestTimeTrends!AD102*((1+'OriginalBCACalculations 0%'!E$10)^MIN('OriginalBCACalculations 0%'!$A93,20))</f>
        <v>0.26297414590549217</v>
      </c>
      <c r="F93" s="23">
        <f t="shared" si="27"/>
        <v>5.8882453646741606</v>
      </c>
      <c r="H93" s="22">
        <f t="shared" si="26"/>
        <v>2.8000000000000001E-2</v>
      </c>
      <c r="I93" s="22"/>
      <c r="J93" s="41"/>
      <c r="K93" s="41">
        <f t="shared" si="23"/>
        <v>5.422979589734731</v>
      </c>
      <c r="L93" s="41">
        <f t="shared" si="23"/>
        <v>1.8394254586592318</v>
      </c>
      <c r="M93" s="41">
        <f t="shared" si="23"/>
        <v>0.26297414590549217</v>
      </c>
      <c r="N93" s="41">
        <f t="shared" si="23"/>
        <v>5.8882453646741606</v>
      </c>
      <c r="O93" s="67"/>
      <c r="P93" s="41">
        <f t="shared" si="25"/>
        <v>2.8000000000000001E-2</v>
      </c>
      <c r="R93" s="27">
        <f t="shared" si="24"/>
        <v>2.5956653795041538</v>
      </c>
      <c r="S93" s="27">
        <f t="shared" si="24"/>
        <v>1.1709512161826272</v>
      </c>
      <c r="T93" s="27">
        <f t="shared" si="24"/>
        <v>0.53239622040169654</v>
      </c>
      <c r="U93" s="27">
        <f t="shared" si="24"/>
        <v>0.24393309617639286</v>
      </c>
      <c r="V93" s="27">
        <f t="shared" si="24"/>
        <v>0.11261119333993484</v>
      </c>
      <c r="W93" s="27">
        <f t="shared" si="24"/>
        <v>5.2372677703286179E-2</v>
      </c>
      <c r="X93" s="27">
        <f t="shared" si="24"/>
        <v>2.4534628335835602E-2</v>
      </c>
      <c r="Y93" s="27">
        <f t="shared" si="24"/>
        <v>1.1575679393059601E-2</v>
      </c>
    </row>
    <row r="94" spans="1:25" x14ac:dyDescent="0.25">
      <c r="A94" s="21">
        <v>82</v>
      </c>
      <c r="C94" s="25">
        <f t="shared" si="19"/>
        <v>5.422979589734731</v>
      </c>
      <c r="D94" s="23">
        <f>FishHarvestTimeTrends!AC103*((1+'OriginalBCACalculations 0%'!D$10)^MIN('OriginalBCACalculations 0%'!$A94,20))</f>
        <v>1.8394267734712393</v>
      </c>
      <c r="E94" s="23">
        <f>FishHarvestTimeTrends!AD103*((1+'OriginalBCACalculations 0%'!E$10)^MIN('OriginalBCACalculations 0%'!$A94,20))</f>
        <v>0.26297428458480238</v>
      </c>
      <c r="F94" s="23">
        <f t="shared" si="27"/>
        <v>5.8911894873564972</v>
      </c>
      <c r="H94" s="22">
        <f t="shared" si="26"/>
        <v>2.8000000000000001E-2</v>
      </c>
      <c r="I94" s="22"/>
      <c r="J94" s="41"/>
      <c r="K94" s="41">
        <f t="shared" si="23"/>
        <v>5.422979589734731</v>
      </c>
      <c r="L94" s="41">
        <f t="shared" si="23"/>
        <v>1.8394267734712393</v>
      </c>
      <c r="M94" s="41">
        <f t="shared" si="23"/>
        <v>0.26297428458480238</v>
      </c>
      <c r="N94" s="41">
        <f t="shared" si="23"/>
        <v>5.8911894873564972</v>
      </c>
      <c r="O94" s="67"/>
      <c r="P94" s="41">
        <f t="shared" si="25"/>
        <v>2.8000000000000001E-2</v>
      </c>
      <c r="R94" s="27">
        <f t="shared" ref="R94:Y109" si="28">(SUM($D94:$H94)-SUM($B94:$C94))/((1+R$10)^($A94-1))</f>
        <v>2.5986109556778088</v>
      </c>
      <c r="S94" s="27">
        <f t="shared" si="28"/>
        <v>1.1606732855792874</v>
      </c>
      <c r="T94" s="27">
        <f t="shared" si="28"/>
        <v>0.52254939875487172</v>
      </c>
      <c r="U94" s="27">
        <f t="shared" si="28"/>
        <v>0.23709700278939935</v>
      </c>
      <c r="V94" s="27">
        <f t="shared" si="28"/>
        <v>0.10840287036277253</v>
      </c>
      <c r="W94" s="27">
        <f t="shared" si="28"/>
        <v>4.9935343354891665E-2</v>
      </c>
      <c r="X94" s="27">
        <f t="shared" si="28"/>
        <v>2.3172141863026432E-2</v>
      </c>
      <c r="Y94" s="27">
        <f t="shared" si="28"/>
        <v>1.083066873026124E-2</v>
      </c>
    </row>
    <row r="95" spans="1:25" x14ac:dyDescent="0.25">
      <c r="A95" s="21">
        <v>83</v>
      </c>
      <c r="C95" s="25">
        <f t="shared" si="19"/>
        <v>5.422979589734731</v>
      </c>
      <c r="D95" s="23">
        <f>FishHarvestTimeTrends!AC104*((1+'OriginalBCACalculations 0%'!D$10)^MIN('OriginalBCACalculations 0%'!$A95,20))</f>
        <v>1.8394280882832466</v>
      </c>
      <c r="E95" s="23">
        <f>FishHarvestTimeTrends!AD104*((1+'OriginalBCACalculations 0%'!E$10)^MIN('OriginalBCACalculations 0%'!$A95,20))</f>
        <v>0.26297442326411263</v>
      </c>
      <c r="F95" s="23">
        <f t="shared" si="27"/>
        <v>5.894135082100175</v>
      </c>
      <c r="H95" s="22">
        <f t="shared" si="26"/>
        <v>2.8000000000000001E-2</v>
      </c>
      <c r="I95" s="22"/>
      <c r="J95" s="41"/>
      <c r="K95" s="41">
        <f t="shared" si="23"/>
        <v>5.422979589734731</v>
      </c>
      <c r="L95" s="41">
        <f t="shared" si="23"/>
        <v>1.8394280882832466</v>
      </c>
      <c r="M95" s="41">
        <f t="shared" si="23"/>
        <v>0.26297442326411263</v>
      </c>
      <c r="N95" s="41">
        <f t="shared" si="23"/>
        <v>5.894135082100175</v>
      </c>
      <c r="O95" s="67"/>
      <c r="P95" s="41">
        <f t="shared" si="25"/>
        <v>2.8000000000000001E-2</v>
      </c>
      <c r="R95" s="27">
        <f t="shared" si="28"/>
        <v>2.6015580039128041</v>
      </c>
      <c r="S95" s="27">
        <f t="shared" si="28"/>
        <v>1.150484741457515</v>
      </c>
      <c r="T95" s="27">
        <f t="shared" si="28"/>
        <v>0.51288432813566232</v>
      </c>
      <c r="U95" s="27">
        <f t="shared" si="28"/>
        <v>0.23045232152872153</v>
      </c>
      <c r="V95" s="27">
        <f t="shared" si="28"/>
        <v>0.10435173897838507</v>
      </c>
      <c r="W95" s="27">
        <f t="shared" si="28"/>
        <v>4.7611404121299272E-2</v>
      </c>
      <c r="X95" s="27">
        <f t="shared" si="28"/>
        <v>2.1885302890646677E-2</v>
      </c>
      <c r="Y95" s="27">
        <f t="shared" si="28"/>
        <v>1.0133599663317845E-2</v>
      </c>
    </row>
    <row r="96" spans="1:25" x14ac:dyDescent="0.25">
      <c r="A96" s="21">
        <v>84</v>
      </c>
      <c r="C96" s="25">
        <f t="shared" si="19"/>
        <v>5.422979589734731</v>
      </c>
      <c r="D96" s="23">
        <f>FishHarvestTimeTrends!AC105*((1+'OriginalBCACalculations 0%'!D$10)^MIN('OriginalBCACalculations 0%'!$A96,20))</f>
        <v>1.839429403095254</v>
      </c>
      <c r="E96" s="23">
        <f>FishHarvestTimeTrends!AD105*((1+'OriginalBCACalculations 0%'!E$10)^MIN('OriginalBCACalculations 0%'!$A96,20))</f>
        <v>0.26297456194342284</v>
      </c>
      <c r="F96" s="23">
        <f t="shared" si="27"/>
        <v>5.8970821496412249</v>
      </c>
      <c r="H96" s="22">
        <f t="shared" si="26"/>
        <v>2.8000000000000001E-2</v>
      </c>
      <c r="I96" s="22"/>
      <c r="J96" s="41"/>
      <c r="K96" s="41">
        <f t="shared" si="23"/>
        <v>5.422979589734731</v>
      </c>
      <c r="L96" s="41">
        <f t="shared" si="23"/>
        <v>1.839429403095254</v>
      </c>
      <c r="M96" s="41">
        <f t="shared" si="23"/>
        <v>0.26297456194342284</v>
      </c>
      <c r="N96" s="41">
        <f t="shared" si="23"/>
        <v>5.8970821496412249</v>
      </c>
      <c r="O96" s="67"/>
      <c r="P96" s="41">
        <f t="shared" si="25"/>
        <v>2.8000000000000001E-2</v>
      </c>
      <c r="R96" s="27">
        <f t="shared" si="28"/>
        <v>2.6045065249451715</v>
      </c>
      <c r="S96" s="27">
        <f t="shared" si="28"/>
        <v>1.1403848152062916</v>
      </c>
      <c r="T96" s="27">
        <f t="shared" si="28"/>
        <v>0.50339766128768881</v>
      </c>
      <c r="U96" s="27">
        <f t="shared" si="28"/>
        <v>0.22399369774498204</v>
      </c>
      <c r="V96" s="27">
        <f t="shared" si="28"/>
        <v>0.10045193061301691</v>
      </c>
      <c r="W96" s="27">
        <f t="shared" si="28"/>
        <v>4.5395586032977588E-2</v>
      </c>
      <c r="X96" s="27">
        <f t="shared" si="28"/>
        <v>2.0669912244806486E-2</v>
      </c>
      <c r="Y96" s="27">
        <f t="shared" si="28"/>
        <v>9.4813876213334907E-3</v>
      </c>
    </row>
    <row r="97" spans="1:25" x14ac:dyDescent="0.25">
      <c r="A97" s="21">
        <v>85</v>
      </c>
      <c r="C97" s="25">
        <f t="shared" si="19"/>
        <v>5.422979589734731</v>
      </c>
      <c r="D97" s="23">
        <f>FishHarvestTimeTrends!AC106*((1+'OriginalBCACalculations 0%'!D$10)^MIN('OriginalBCACalculations 0%'!$A97,20))</f>
        <v>1.8394307179072613</v>
      </c>
      <c r="E97" s="23">
        <f>FishHarvestTimeTrends!AD106*((1+'OriginalBCACalculations 0%'!E$10)^MIN('OriginalBCACalculations 0%'!$A97,20))</f>
        <v>0.26297470062273304</v>
      </c>
      <c r="F97" s="23">
        <f t="shared" si="27"/>
        <v>5.9000306907160454</v>
      </c>
      <c r="H97" s="22">
        <f t="shared" si="26"/>
        <v>2.8000000000000001E-2</v>
      </c>
      <c r="I97" s="22"/>
      <c r="J97" s="41"/>
      <c r="K97" s="41">
        <f t="shared" si="23"/>
        <v>5.422979589734731</v>
      </c>
      <c r="L97" s="41">
        <f t="shared" si="23"/>
        <v>1.8394307179072613</v>
      </c>
      <c r="M97" s="41">
        <f t="shared" si="23"/>
        <v>0.26297470062273304</v>
      </c>
      <c r="N97" s="41">
        <f t="shared" si="23"/>
        <v>5.9000306907160454</v>
      </c>
      <c r="O97" s="67"/>
      <c r="P97" s="41">
        <f t="shared" si="25"/>
        <v>2.8000000000000001E-2</v>
      </c>
      <c r="R97" s="27">
        <f t="shared" si="28"/>
        <v>2.6074565195113086</v>
      </c>
      <c r="S97" s="27">
        <f t="shared" si="28"/>
        <v>1.1303727447296887</v>
      </c>
      <c r="T97" s="27">
        <f t="shared" si="28"/>
        <v>0.4940861124482287</v>
      </c>
      <c r="U97" s="27">
        <f t="shared" si="28"/>
        <v>0.21771592643523305</v>
      </c>
      <c r="V97" s="27">
        <f t="shared" si="28"/>
        <v>9.6697795674897349E-2</v>
      </c>
      <c r="W97" s="27">
        <f t="shared" si="28"/>
        <v>4.3282860331301631E-2</v>
      </c>
      <c r="X97" s="27">
        <f t="shared" si="28"/>
        <v>1.9522003795188529E-2</v>
      </c>
      <c r="Y97" s="27">
        <f t="shared" si="28"/>
        <v>8.8711464634909209E-3</v>
      </c>
    </row>
    <row r="98" spans="1:25" x14ac:dyDescent="0.25">
      <c r="A98" s="21">
        <v>86</v>
      </c>
      <c r="C98" s="25">
        <f t="shared" ref="C98:C112" si="29">C97</f>
        <v>5.422979589734731</v>
      </c>
      <c r="D98" s="23">
        <f>FishHarvestTimeTrends!AC107*((1+'OriginalBCACalculations 0%'!D$10)^MIN('OriginalBCACalculations 0%'!$A98,20))</f>
        <v>1.8394320327192688</v>
      </c>
      <c r="E98" s="23">
        <f>FishHarvestTimeTrends!AD107*((1+'OriginalBCACalculations 0%'!E$10)^MIN('OriginalBCACalculations 0%'!$A98,20))</f>
        <v>0.2629748393020433</v>
      </c>
      <c r="F98" s="23">
        <f t="shared" si="27"/>
        <v>5.9029807060614035</v>
      </c>
      <c r="H98" s="22">
        <f t="shared" si="26"/>
        <v>2.8000000000000001E-2</v>
      </c>
      <c r="I98" s="22"/>
      <c r="J98" s="41"/>
      <c r="K98" s="41">
        <f t="shared" si="23"/>
        <v>5.422979589734731</v>
      </c>
      <c r="L98" s="41">
        <f t="shared" si="23"/>
        <v>1.8394320327192688</v>
      </c>
      <c r="M98" s="41">
        <f t="shared" si="23"/>
        <v>0.2629748393020433</v>
      </c>
      <c r="N98" s="41">
        <f t="shared" si="23"/>
        <v>5.9029807060614035</v>
      </c>
      <c r="O98" s="67"/>
      <c r="P98" s="41">
        <f t="shared" si="25"/>
        <v>2.8000000000000001E-2</v>
      </c>
      <c r="R98" s="27">
        <f t="shared" si="28"/>
        <v>2.6104079883479843</v>
      </c>
      <c r="S98" s="27">
        <f t="shared" si="28"/>
        <v>1.1204477743926673</v>
      </c>
      <c r="T98" s="27">
        <f t="shared" si="28"/>
        <v>0.48494645622158566</v>
      </c>
      <c r="U98" s="27">
        <f t="shared" si="28"/>
        <v>0.21161394806516923</v>
      </c>
      <c r="V98" s="27">
        <f t="shared" si="28"/>
        <v>9.3083895387559679E-2</v>
      </c>
      <c r="W98" s="27">
        <f t="shared" si="28"/>
        <v>4.1268432071425311E-2</v>
      </c>
      <c r="X98" s="27">
        <f t="shared" si="28"/>
        <v>1.8437831524665931E-2</v>
      </c>
      <c r="Y98" s="27">
        <f t="shared" si="28"/>
        <v>8.3001757161662616E-3</v>
      </c>
    </row>
    <row r="99" spans="1:25" x14ac:dyDescent="0.25">
      <c r="A99" s="21">
        <v>87</v>
      </c>
      <c r="C99" s="25">
        <f t="shared" si="29"/>
        <v>5.422979589734731</v>
      </c>
      <c r="D99" s="23">
        <f>FishHarvestTimeTrends!AC108*((1+'OriginalBCACalculations 0%'!D$10)^MIN('OriginalBCACalculations 0%'!$A99,20))</f>
        <v>1.8394333475312763</v>
      </c>
      <c r="E99" s="23">
        <f>FishHarvestTimeTrends!AD108*((1+'OriginalBCACalculations 0%'!E$10)^MIN('OriginalBCACalculations 0%'!$A99,20))</f>
        <v>0.2629749779813535</v>
      </c>
      <c r="F99" s="23">
        <f t="shared" si="27"/>
        <v>5.905932196414434</v>
      </c>
      <c r="H99" s="22">
        <f t="shared" si="26"/>
        <v>2.8000000000000001E-2</v>
      </c>
      <c r="I99" s="22"/>
      <c r="J99" s="41"/>
      <c r="K99" s="41">
        <f t="shared" si="23"/>
        <v>5.422979589734731</v>
      </c>
      <c r="L99" s="41">
        <f t="shared" si="23"/>
        <v>1.8394333475312763</v>
      </c>
      <c r="M99" s="41">
        <f t="shared" si="23"/>
        <v>0.2629749779813535</v>
      </c>
      <c r="N99" s="41">
        <f t="shared" si="23"/>
        <v>5.905932196414434</v>
      </c>
      <c r="O99" s="67"/>
      <c r="P99" s="41">
        <f t="shared" si="25"/>
        <v>2.8000000000000001E-2</v>
      </c>
      <c r="R99" s="27">
        <f t="shared" si="28"/>
        <v>2.6133609321923332</v>
      </c>
      <c r="S99" s="27">
        <f t="shared" si="28"/>
        <v>1.1106091549673038</v>
      </c>
      <c r="T99" s="27">
        <f t="shared" si="28"/>
        <v>0.47597552647303376</v>
      </c>
      <c r="U99" s="27">
        <f t="shared" si="28"/>
        <v>0.20568284450784249</v>
      </c>
      <c r="V99" s="27">
        <f t="shared" si="28"/>
        <v>8.960499392755128E-2</v>
      </c>
      <c r="W99" s="27">
        <f t="shared" si="28"/>
        <v>3.9347729254693556E-2</v>
      </c>
      <c r="X99" s="27">
        <f t="shared" si="28"/>
        <v>1.7413857316191342E-2</v>
      </c>
      <c r="Y99" s="27">
        <f t="shared" si="28"/>
        <v>7.76594863080508E-3</v>
      </c>
    </row>
    <row r="100" spans="1:25" x14ac:dyDescent="0.25">
      <c r="A100" s="21">
        <v>88</v>
      </c>
      <c r="C100" s="25">
        <f t="shared" si="29"/>
        <v>5.422979589734731</v>
      </c>
      <c r="D100" s="23">
        <f>FishHarvestTimeTrends!AC109*((1+'OriginalBCACalculations 0%'!D$10)^MIN('OriginalBCACalculations 0%'!$A100,20))</f>
        <v>1.8394346623432836</v>
      </c>
      <c r="E100" s="23">
        <f>FishHarvestTimeTrends!AD109*((1+'OriginalBCACalculations 0%'!E$10)^MIN('OriginalBCACalculations 0%'!$A100,20))</f>
        <v>0.26297511666066375</v>
      </c>
      <c r="F100" s="23">
        <f t="shared" si="27"/>
        <v>5.9088851625126413</v>
      </c>
      <c r="H100" s="22">
        <f t="shared" si="26"/>
        <v>2.8000000000000001E-2</v>
      </c>
      <c r="I100" s="22"/>
      <c r="J100" s="41"/>
      <c r="K100" s="41">
        <f t="shared" si="23"/>
        <v>5.422979589734731</v>
      </c>
      <c r="L100" s="41">
        <f t="shared" si="23"/>
        <v>1.8394346623432836</v>
      </c>
      <c r="M100" s="41">
        <f t="shared" si="23"/>
        <v>0.26297511666066375</v>
      </c>
      <c r="N100" s="41">
        <f t="shared" si="23"/>
        <v>5.9088851625126413</v>
      </c>
      <c r="O100" s="67"/>
      <c r="P100" s="41">
        <f t="shared" si="25"/>
        <v>2.8000000000000001E-2</v>
      </c>
      <c r="R100" s="27">
        <f t="shared" si="28"/>
        <v>2.616315351781858</v>
      </c>
      <c r="S100" s="27">
        <f t="shared" si="28"/>
        <v>1.1008561435794657</v>
      </c>
      <c r="T100" s="27">
        <f t="shared" si="28"/>
        <v>0.46717021524296715</v>
      </c>
      <c r="U100" s="27">
        <f t="shared" si="28"/>
        <v>0.1999178350956369</v>
      </c>
      <c r="V100" s="27">
        <f t="shared" si="28"/>
        <v>8.6256050855196637E-2</v>
      </c>
      <c r="W100" s="27">
        <f t="shared" si="28"/>
        <v>3.7516392465999894E-2</v>
      </c>
      <c r="X100" s="27">
        <f t="shared" si="28"/>
        <v>1.644673941717854E-2</v>
      </c>
      <c r="Y100" s="27">
        <f t="shared" si="28"/>
        <v>7.266101009787064E-3</v>
      </c>
    </row>
    <row r="101" spans="1:25" x14ac:dyDescent="0.25">
      <c r="A101" s="21">
        <v>89</v>
      </c>
      <c r="C101" s="25">
        <f t="shared" si="29"/>
        <v>5.422979589734731</v>
      </c>
      <c r="D101" s="23">
        <f>FishHarvestTimeTrends!AC110*((1+'OriginalBCACalculations 0%'!D$10)^MIN('OriginalBCACalculations 0%'!$A101,20))</f>
        <v>1.8394359771552908</v>
      </c>
      <c r="E101" s="23">
        <f>FishHarvestTimeTrends!AD110*((1+'OriginalBCACalculations 0%'!E$10)^MIN('OriginalBCACalculations 0%'!$A101,20))</f>
        <v>0.26297525533997396</v>
      </c>
      <c r="F101" s="23">
        <f t="shared" si="27"/>
        <v>5.9118396050938973</v>
      </c>
      <c r="H101" s="22">
        <f t="shared" si="26"/>
        <v>2.8000000000000001E-2</v>
      </c>
      <c r="I101" s="22"/>
      <c r="J101" s="41"/>
      <c r="K101" s="41">
        <f t="shared" si="23"/>
        <v>5.422979589734731</v>
      </c>
      <c r="L101" s="41">
        <f t="shared" si="23"/>
        <v>1.8394359771552908</v>
      </c>
      <c r="M101" s="41">
        <f t="shared" si="23"/>
        <v>0.26297525533997396</v>
      </c>
      <c r="N101" s="41">
        <f t="shared" si="23"/>
        <v>5.9118396050938973</v>
      </c>
      <c r="O101" s="67"/>
      <c r="P101" s="41">
        <f t="shared" si="25"/>
        <v>2.8000000000000001E-2</v>
      </c>
      <c r="R101" s="27">
        <f t="shared" si="28"/>
        <v>2.6192712478544324</v>
      </c>
      <c r="S101" s="27">
        <f t="shared" si="28"/>
        <v>1.091188003655909</v>
      </c>
      <c r="T101" s="27">
        <f t="shared" si="28"/>
        <v>0.45852747168088548</v>
      </c>
      <c r="U101" s="27">
        <f t="shared" si="28"/>
        <v>0.19431427278234703</v>
      </c>
      <c r="V101" s="27">
        <f t="shared" si="28"/>
        <v>8.3032213827496787E-2</v>
      </c>
      <c r="W101" s="27">
        <f t="shared" si="28"/>
        <v>3.5770264992636185E-2</v>
      </c>
      <c r="X101" s="27">
        <f t="shared" si="28"/>
        <v>1.5533321543803477E-2</v>
      </c>
      <c r="Y101" s="27">
        <f t="shared" si="28"/>
        <v>6.7984207508991626E-3</v>
      </c>
    </row>
    <row r="102" spans="1:25" x14ac:dyDescent="0.25">
      <c r="A102" s="21">
        <v>90</v>
      </c>
      <c r="C102" s="25">
        <f t="shared" si="29"/>
        <v>5.422979589734731</v>
      </c>
      <c r="D102" s="23">
        <f>FishHarvestTimeTrends!AC111*((1+'OriginalBCACalculations 0%'!D$10)^MIN('OriginalBCACalculations 0%'!$A102,20))</f>
        <v>1.8394372919672983</v>
      </c>
      <c r="E102" s="23">
        <f>FishHarvestTimeTrends!AD111*((1+'OriginalBCACalculations 0%'!E$10)^MIN('OriginalBCACalculations 0%'!$A102,20))</f>
        <v>0.26297539401928421</v>
      </c>
      <c r="F102" s="23">
        <f t="shared" si="27"/>
        <v>5.9147955248964443</v>
      </c>
      <c r="H102" s="22">
        <f t="shared" si="26"/>
        <v>2.8000000000000001E-2</v>
      </c>
      <c r="I102" s="22"/>
      <c r="J102" s="41"/>
      <c r="K102" s="41">
        <f t="shared" si="23"/>
        <v>5.422979589734731</v>
      </c>
      <c r="L102" s="41">
        <f t="shared" si="23"/>
        <v>1.8394372919672983</v>
      </c>
      <c r="M102" s="41">
        <f t="shared" si="23"/>
        <v>0.26297539401928421</v>
      </c>
      <c r="N102" s="41">
        <f t="shared" si="23"/>
        <v>5.9147955248964443</v>
      </c>
      <c r="O102" s="67"/>
      <c r="P102" s="41">
        <f t="shared" si="25"/>
        <v>2.8000000000000001E-2</v>
      </c>
      <c r="R102" s="27">
        <f t="shared" si="28"/>
        <v>2.6222286211482961</v>
      </c>
      <c r="S102" s="27">
        <f t="shared" si="28"/>
        <v>1.0816040048718134</v>
      </c>
      <c r="T102" s="27">
        <f t="shared" si="28"/>
        <v>0.45004430099885312</v>
      </c>
      <c r="U102" s="27">
        <f t="shared" si="28"/>
        <v>0.18886764041229226</v>
      </c>
      <c r="V102" s="27">
        <f t="shared" si="28"/>
        <v>7.9928811582654954E-2</v>
      </c>
      <c r="W102" s="27">
        <f t="shared" si="28"/>
        <v>3.4105383402270394E-2</v>
      </c>
      <c r="X102" s="27">
        <f t="shared" si="28"/>
        <v>1.4670622589734748E-2</v>
      </c>
      <c r="Y102" s="27">
        <f t="shared" si="28"/>
        <v>6.3608380642114076E-3</v>
      </c>
    </row>
    <row r="103" spans="1:25" x14ac:dyDescent="0.25">
      <c r="A103" s="21">
        <v>91</v>
      </c>
      <c r="C103" s="25">
        <f t="shared" si="29"/>
        <v>5.422979589734731</v>
      </c>
      <c r="D103" s="23">
        <f>FishHarvestTimeTrends!AC112*((1+'OriginalBCACalculations 0%'!D$10)^MIN('OriginalBCACalculations 0%'!$A103,20))</f>
        <v>1.8394386067793058</v>
      </c>
      <c r="E103" s="23">
        <f>FishHarvestTimeTrends!AD112*((1+'OriginalBCACalculations 0%'!E$10)^MIN('OriginalBCACalculations 0%'!$A103,20))</f>
        <v>0.26297553269859436</v>
      </c>
      <c r="F103" s="23">
        <f t="shared" si="27"/>
        <v>5.9177529226588925</v>
      </c>
      <c r="H103" s="22">
        <f t="shared" si="26"/>
        <v>2.8000000000000001E-2</v>
      </c>
      <c r="I103" s="22"/>
      <c r="J103" s="41"/>
      <c r="K103" s="41">
        <f t="shared" si="23"/>
        <v>5.422979589734731</v>
      </c>
      <c r="L103" s="41">
        <f t="shared" si="23"/>
        <v>1.8394386067793058</v>
      </c>
      <c r="M103" s="41">
        <f t="shared" si="23"/>
        <v>0.26297553269859436</v>
      </c>
      <c r="N103" s="41">
        <f t="shared" si="23"/>
        <v>5.9177529226588925</v>
      </c>
      <c r="O103" s="67"/>
      <c r="P103" s="41">
        <f t="shared" si="25"/>
        <v>2.8000000000000001E-2</v>
      </c>
      <c r="R103" s="27">
        <f t="shared" si="28"/>
        <v>2.6251874724020619</v>
      </c>
      <c r="S103" s="27">
        <f t="shared" si="28"/>
        <v>1.0721034230987401</v>
      </c>
      <c r="T103" s="27">
        <f t="shared" si="28"/>
        <v>0.4417177634440797</v>
      </c>
      <c r="U103" s="27">
        <f t="shared" si="28"/>
        <v>0.18357354709348811</v>
      </c>
      <c r="V103" s="27">
        <f t="shared" si="28"/>
        <v>7.694134718611001E-2</v>
      </c>
      <c r="W103" s="27">
        <f t="shared" si="28"/>
        <v>3.2517968558727142E-2</v>
      </c>
      <c r="X103" s="27">
        <f t="shared" si="28"/>
        <v>1.385582690577159E-2</v>
      </c>
      <c r="Y103" s="27">
        <f t="shared" si="28"/>
        <v>5.9514163181202369E-3</v>
      </c>
    </row>
    <row r="104" spans="1:25" x14ac:dyDescent="0.25">
      <c r="A104" s="21">
        <v>92</v>
      </c>
      <c r="C104" s="25">
        <f t="shared" si="29"/>
        <v>5.422979589734731</v>
      </c>
      <c r="D104" s="23">
        <f>FishHarvestTimeTrends!AC113*((1+'OriginalBCACalculations 0%'!D$10)^MIN('OriginalBCACalculations 0%'!$A104,20))</f>
        <v>1.8394399215913129</v>
      </c>
      <c r="E104" s="23">
        <f>FishHarvestTimeTrends!AD113*((1+'OriginalBCACalculations 0%'!E$10)^MIN('OriginalBCACalculations 0%'!$A104,20))</f>
        <v>0.26297567137790467</v>
      </c>
      <c r="F104" s="23">
        <f t="shared" si="27"/>
        <v>5.9207117991202214</v>
      </c>
      <c r="H104" s="22">
        <f t="shared" si="26"/>
        <v>2.8000000000000001E-2</v>
      </c>
      <c r="I104" s="22"/>
      <c r="J104" s="41"/>
      <c r="K104" s="41">
        <f t="shared" si="23"/>
        <v>5.422979589734731</v>
      </c>
      <c r="L104" s="41">
        <f t="shared" si="23"/>
        <v>1.8394399215913129</v>
      </c>
      <c r="M104" s="41">
        <f t="shared" si="23"/>
        <v>0.26297567137790467</v>
      </c>
      <c r="N104" s="41">
        <f t="shared" si="23"/>
        <v>5.9207117991202214</v>
      </c>
      <c r="O104" s="67"/>
      <c r="P104" s="41">
        <f t="shared" si="25"/>
        <v>2.8000000000000001E-2</v>
      </c>
      <c r="R104" s="27">
        <f t="shared" si="28"/>
        <v>2.6281478023547082</v>
      </c>
      <c r="S104" s="27">
        <f t="shared" si="28"/>
        <v>1.0626855403530107</v>
      </c>
      <c r="T104" s="27">
        <f t="shared" si="28"/>
        <v>0.43354497329027064</v>
      </c>
      <c r="U104" s="27">
        <f t="shared" si="28"/>
        <v>0.17842772467197282</v>
      </c>
      <c r="V104" s="27">
        <f t="shared" si="28"/>
        <v>7.406549152833504E-2</v>
      </c>
      <c r="W104" s="27">
        <f t="shared" si="28"/>
        <v>3.1004417055234955E-2</v>
      </c>
      <c r="X104" s="27">
        <f t="shared" si="28"/>
        <v>1.3086275118725768E-2</v>
      </c>
      <c r="Y104" s="27">
        <f t="shared" si="28"/>
        <v>5.5683434741034942E-3</v>
      </c>
    </row>
    <row r="105" spans="1:25" x14ac:dyDescent="0.25">
      <c r="A105" s="21">
        <v>93</v>
      </c>
      <c r="C105" s="25">
        <f t="shared" si="29"/>
        <v>5.422979589734731</v>
      </c>
      <c r="D105" s="23">
        <f>FishHarvestTimeTrends!AC114*((1+'OriginalBCACalculations 0%'!D$10)^MIN('OriginalBCACalculations 0%'!$A105,20))</f>
        <v>1.8394412364033204</v>
      </c>
      <c r="E105" s="23">
        <f>FishHarvestTimeTrends!AD114*((1+'OriginalBCACalculations 0%'!E$10)^MIN('OriginalBCACalculations 0%'!$A105,20))</f>
        <v>0.26297581005721482</v>
      </c>
      <c r="F105" s="23">
        <f t="shared" si="27"/>
        <v>5.9236721550197808</v>
      </c>
      <c r="H105" s="22">
        <f t="shared" si="26"/>
        <v>2.8000000000000001E-2</v>
      </c>
      <c r="I105" s="22"/>
      <c r="J105" s="41"/>
      <c r="K105" s="41">
        <f t="shared" si="23"/>
        <v>5.422979589734731</v>
      </c>
      <c r="L105" s="41">
        <f t="shared" si="23"/>
        <v>1.8394412364033204</v>
      </c>
      <c r="M105" s="41">
        <f t="shared" si="23"/>
        <v>0.26297581005721482</v>
      </c>
      <c r="N105" s="41">
        <f t="shared" si="23"/>
        <v>5.9236721550197808</v>
      </c>
      <c r="O105" s="67"/>
      <c r="P105" s="41">
        <f t="shared" si="25"/>
        <v>2.8000000000000001E-2</v>
      </c>
      <c r="R105" s="27">
        <f t="shared" si="28"/>
        <v>2.6311096117455852</v>
      </c>
      <c r="S105" s="27">
        <f t="shared" si="28"/>
        <v>1.0533496447445088</v>
      </c>
      <c r="T105" s="27">
        <f t="shared" si="28"/>
        <v>0.42552309784740966</v>
      </c>
      <c r="U105" s="27">
        <f t="shared" si="28"/>
        <v>0.17342602430447307</v>
      </c>
      <c r="V105" s="27">
        <f t="shared" si="28"/>
        <v>7.1297077065022585E-2</v>
      </c>
      <c r="W105" s="27">
        <f t="shared" si="28"/>
        <v>2.9561293045749459E-2</v>
      </c>
      <c r="X105" s="27">
        <f t="shared" si="28"/>
        <v>1.2359455459639812E-2</v>
      </c>
      <c r="Y105" s="27">
        <f t="shared" si="28"/>
        <v>5.2099240723323115E-3</v>
      </c>
    </row>
    <row r="106" spans="1:25" x14ac:dyDescent="0.25">
      <c r="A106" s="21">
        <v>94</v>
      </c>
      <c r="C106" s="25">
        <f t="shared" si="29"/>
        <v>5.422979589734731</v>
      </c>
      <c r="D106" s="23">
        <f>FishHarvestTimeTrends!AC115*((1+'OriginalBCACalculations 0%'!D$10)^MIN('OriginalBCACalculations 0%'!$A106,20))</f>
        <v>1.8394425512153281</v>
      </c>
      <c r="E106" s="23">
        <f>FishHarvestTimeTrends!AD115*((1+'OriginalBCACalculations 0%'!E$10)^MIN('OriginalBCACalculations 0%'!$A106,20))</f>
        <v>0.26297594873652508</v>
      </c>
      <c r="F106" s="23">
        <f t="shared" si="27"/>
        <v>5.9266339910972903</v>
      </c>
      <c r="H106" s="22">
        <f t="shared" si="26"/>
        <v>2.8000000000000001E-2</v>
      </c>
      <c r="I106" s="22"/>
      <c r="J106" s="41"/>
      <c r="K106" s="41">
        <f t="shared" si="23"/>
        <v>5.422979589734731</v>
      </c>
      <c r="L106" s="41">
        <f t="shared" si="23"/>
        <v>1.8394425512153281</v>
      </c>
      <c r="M106" s="41">
        <f t="shared" si="23"/>
        <v>0.26297594873652508</v>
      </c>
      <c r="N106" s="41">
        <f t="shared" si="23"/>
        <v>5.9266339910972903</v>
      </c>
      <c r="O106" s="67"/>
      <c r="P106" s="41">
        <f t="shared" si="25"/>
        <v>2.8000000000000001E-2</v>
      </c>
      <c r="R106" s="27">
        <f t="shared" si="28"/>
        <v>2.6340729013144122</v>
      </c>
      <c r="S106" s="27">
        <f t="shared" si="28"/>
        <v>1.044095030425898</v>
      </c>
      <c r="T106" s="27">
        <f t="shared" si="28"/>
        <v>0.41764935648963541</v>
      </c>
      <c r="U106" s="27">
        <f t="shared" si="28"/>
        <v>0.16856441312666889</v>
      </c>
      <c r="V106" s="27">
        <f t="shared" si="28"/>
        <v>6.8632091790625654E-2</v>
      </c>
      <c r="W106" s="27">
        <f t="shared" si="28"/>
        <v>2.8185320455861078E-2</v>
      </c>
      <c r="X106" s="27">
        <f t="shared" si="28"/>
        <v>1.1672995573092036E-2</v>
      </c>
      <c r="Y106" s="27">
        <f t="shared" si="28"/>
        <v>4.8745717327185936E-3</v>
      </c>
    </row>
    <row r="107" spans="1:25" x14ac:dyDescent="0.25">
      <c r="A107" s="21">
        <v>95</v>
      </c>
      <c r="C107" s="25">
        <f t="shared" si="29"/>
        <v>5.422979589734731</v>
      </c>
      <c r="D107" s="23">
        <f>FishHarvestTimeTrends!AC116*((1+'OriginalBCACalculations 0%'!D$10)^MIN('OriginalBCACalculations 0%'!$A107,20))</f>
        <v>1.8394438660273351</v>
      </c>
      <c r="E107" s="23">
        <f>FishHarvestTimeTrends!AD116*((1+'OriginalBCACalculations 0%'!E$10)^MIN('OriginalBCACalculations 0%'!$A107,20))</f>
        <v>0.26297608741583534</v>
      </c>
      <c r="F107" s="23">
        <f t="shared" si="27"/>
        <v>5.9295973080928386</v>
      </c>
      <c r="H107" s="22">
        <f t="shared" si="26"/>
        <v>2.8000000000000001E-2</v>
      </c>
      <c r="I107" s="22"/>
      <c r="J107" s="41"/>
      <c r="K107" s="41">
        <f t="shared" si="23"/>
        <v>5.422979589734731</v>
      </c>
      <c r="L107" s="41">
        <f t="shared" si="23"/>
        <v>1.8394438660273351</v>
      </c>
      <c r="M107" s="41">
        <f t="shared" si="23"/>
        <v>0.26297608741583534</v>
      </c>
      <c r="N107" s="41">
        <f t="shared" si="23"/>
        <v>5.9295973080928386</v>
      </c>
      <c r="O107" s="67"/>
      <c r="P107" s="41">
        <f t="shared" si="25"/>
        <v>2.8000000000000001E-2</v>
      </c>
      <c r="R107" s="27">
        <f t="shared" si="28"/>
        <v>2.637037671801278</v>
      </c>
      <c r="S107" s="27">
        <f t="shared" si="28"/>
        <v>1.0349209975422502</v>
      </c>
      <c r="T107" s="27">
        <f t="shared" si="28"/>
        <v>0.40992101970088213</v>
      </c>
      <c r="U107" s="27">
        <f t="shared" si="28"/>
        <v>0.16383897101439379</v>
      </c>
      <c r="V107" s="27">
        <f t="shared" si="28"/>
        <v>6.6066673436560891E-2</v>
      </c>
      <c r="W107" s="27">
        <f t="shared" si="28"/>
        <v>2.6873375555655395E-2</v>
      </c>
      <c r="X107" s="27">
        <f t="shared" si="28"/>
        <v>1.1024654780905471E-2</v>
      </c>
      <c r="Y107" s="27">
        <f t="shared" si="28"/>
        <v>4.5608021382542328E-3</v>
      </c>
    </row>
    <row r="108" spans="1:25" x14ac:dyDescent="0.25">
      <c r="A108" s="21">
        <v>96</v>
      </c>
      <c r="C108" s="25">
        <f t="shared" si="29"/>
        <v>5.422979589734731</v>
      </c>
      <c r="D108" s="23">
        <f>FishHarvestTimeTrends!AC117*((1+'OriginalBCACalculations 0%'!D$10)^MIN('OriginalBCACalculations 0%'!$A108,20))</f>
        <v>1.8394451808393426</v>
      </c>
      <c r="E108" s="23">
        <f>FishHarvestTimeTrends!AD117*((1+'OriginalBCACalculations 0%'!E$10)^MIN('OriginalBCACalculations 0%'!$A108,20))</f>
        <v>0.26297622609514554</v>
      </c>
      <c r="F108" s="23">
        <f t="shared" si="27"/>
        <v>5.932562106746885</v>
      </c>
      <c r="H108" s="22">
        <f t="shared" si="26"/>
        <v>2.8000000000000001E-2</v>
      </c>
      <c r="I108" s="22"/>
      <c r="J108" s="41"/>
      <c r="K108" s="41">
        <f t="shared" si="23"/>
        <v>5.422979589734731</v>
      </c>
      <c r="L108" s="41">
        <f t="shared" si="23"/>
        <v>1.8394451808393426</v>
      </c>
      <c r="M108" s="41">
        <f t="shared" si="23"/>
        <v>0.26297622609514554</v>
      </c>
      <c r="N108" s="41">
        <f t="shared" si="23"/>
        <v>5.932562106746885</v>
      </c>
      <c r="O108" s="67"/>
      <c r="P108" s="41">
        <f t="shared" si="25"/>
        <v>2.8000000000000001E-2</v>
      </c>
      <c r="R108" s="27">
        <f t="shared" si="28"/>
        <v>2.6400039239466428</v>
      </c>
      <c r="S108" s="27">
        <f t="shared" si="28"/>
        <v>1.0258268521810867</v>
      </c>
      <c r="T108" s="27">
        <f t="shared" si="28"/>
        <v>0.40233540813796304</v>
      </c>
      <c r="U108" s="27">
        <f t="shared" si="28"/>
        <v>0.15924588743518167</v>
      </c>
      <c r="V108" s="27">
        <f t="shared" si="28"/>
        <v>6.3597103885703582E-2</v>
      </c>
      <c r="W108" s="27">
        <f t="shared" si="28"/>
        <v>2.5622479877712153E-2</v>
      </c>
      <c r="X108" s="27">
        <f t="shared" si="28"/>
        <v>1.0412316775057225E-2</v>
      </c>
      <c r="Y108" s="27">
        <f t="shared" si="28"/>
        <v>4.2672264696289354E-3</v>
      </c>
    </row>
    <row r="109" spans="1:25" x14ac:dyDescent="0.25">
      <c r="A109" s="21">
        <v>97</v>
      </c>
      <c r="C109" s="25">
        <f t="shared" si="29"/>
        <v>5.422979589734731</v>
      </c>
      <c r="D109" s="23">
        <f>FishHarvestTimeTrends!AC118*((1+'OriginalBCACalculations 0%'!D$10)^MIN('OriginalBCACalculations 0%'!$A109,20))</f>
        <v>1.8394464956513501</v>
      </c>
      <c r="E109" s="23">
        <f>FishHarvestTimeTrends!AD118*((1+'OriginalBCACalculations 0%'!E$10)^MIN('OriginalBCACalculations 0%'!$A109,20))</f>
        <v>0.26297636477445574</v>
      </c>
      <c r="F109" s="23">
        <f t="shared" si="27"/>
        <v>5.9355283878002583</v>
      </c>
      <c r="H109" s="22">
        <f t="shared" si="26"/>
        <v>2.8000000000000001E-2</v>
      </c>
      <c r="I109" s="22"/>
      <c r="J109" s="41"/>
      <c r="K109" s="41">
        <f t="shared" si="23"/>
        <v>5.422979589734731</v>
      </c>
      <c r="L109" s="41">
        <f t="shared" si="23"/>
        <v>1.8394464956513501</v>
      </c>
      <c r="M109" s="41">
        <f t="shared" si="23"/>
        <v>0.26297636477445574</v>
      </c>
      <c r="N109" s="41">
        <f t="shared" si="23"/>
        <v>5.9355283878002583</v>
      </c>
      <c r="O109" s="67"/>
      <c r="P109" s="41">
        <f t="shared" si="25"/>
        <v>2.8000000000000001E-2</v>
      </c>
      <c r="R109" s="27">
        <f t="shared" si="28"/>
        <v>2.6429716584913345</v>
      </c>
      <c r="S109" s="27">
        <f t="shared" si="28"/>
        <v>1.0168119063228205</v>
      </c>
      <c r="T109" s="27">
        <f t="shared" si="28"/>
        <v>0.3948898917107761</v>
      </c>
      <c r="U109" s="27">
        <f t="shared" si="28"/>
        <v>0.15478145838764232</v>
      </c>
      <c r="V109" s="27">
        <f t="shared" si="28"/>
        <v>6.1219803795115948E-2</v>
      </c>
      <c r="W109" s="27">
        <f t="shared" si="28"/>
        <v>2.442979346421046E-2</v>
      </c>
      <c r="X109" s="27">
        <f t="shared" si="28"/>
        <v>9.8339827159824433E-3</v>
      </c>
      <c r="Y109" s="27">
        <f t="shared" si="28"/>
        <v>3.9925452621075172E-3</v>
      </c>
    </row>
    <row r="110" spans="1:25" x14ac:dyDescent="0.25">
      <c r="A110" s="21">
        <v>98</v>
      </c>
      <c r="C110" s="25">
        <f t="shared" si="29"/>
        <v>5.422979589734731</v>
      </c>
      <c r="D110" s="23">
        <f>FishHarvestTimeTrends!AC119*((1+'OriginalBCACalculations 0%'!D$10)^MIN('OriginalBCACalculations 0%'!$A110,20))</f>
        <v>1.8394478104633576</v>
      </c>
      <c r="E110" s="23">
        <f>FishHarvestTimeTrends!AD119*((1+'OriginalBCACalculations 0%'!E$10)^MIN('OriginalBCACalculations 0%'!$A110,20))</f>
        <v>0.262976503453766</v>
      </c>
      <c r="F110" s="23">
        <f t="shared" si="27"/>
        <v>5.9384961519941584</v>
      </c>
      <c r="H110" s="22">
        <f t="shared" si="26"/>
        <v>2.8000000000000001E-2</v>
      </c>
      <c r="I110" s="22"/>
      <c r="J110" s="41"/>
      <c r="K110" s="41">
        <f t="shared" si="23"/>
        <v>5.422979589734731</v>
      </c>
      <c r="L110" s="41">
        <f t="shared" si="23"/>
        <v>1.8394478104633576</v>
      </c>
      <c r="M110" s="41">
        <f t="shared" si="23"/>
        <v>0.262976503453766</v>
      </c>
      <c r="N110" s="41">
        <f t="shared" si="23"/>
        <v>5.9384961519941584</v>
      </c>
      <c r="O110" s="67"/>
      <c r="P110" s="41">
        <f t="shared" si="25"/>
        <v>2.8000000000000001E-2</v>
      </c>
      <c r="R110" s="27">
        <f t="shared" ref="R110:Y112" si="30">(SUM($D110:$H110)-SUM($B110:$C110))/((1+R$10)^($A110-1))</f>
        <v>2.6459408761765504</v>
      </c>
      <c r="S110" s="27">
        <f t="shared" si="30"/>
        <v>1.0078754777916092</v>
      </c>
      <c r="T110" s="27">
        <f t="shared" si="30"/>
        <v>0.38758188867932297</v>
      </c>
      <c r="U110" s="27">
        <f t="shared" si="30"/>
        <v>0.15044208342621909</v>
      </c>
      <c r="V110" s="27">
        <f t="shared" si="30"/>
        <v>5.8931327419250196E-2</v>
      </c>
      <c r="W110" s="27">
        <f t="shared" si="30"/>
        <v>2.3292608427851455E-2</v>
      </c>
      <c r="X110" s="27">
        <f t="shared" si="30"/>
        <v>9.2877647137870785E-3</v>
      </c>
      <c r="Y110" s="27">
        <f t="shared" si="30"/>
        <v>3.7355426575132046E-3</v>
      </c>
    </row>
    <row r="111" spans="1:25" x14ac:dyDescent="0.25">
      <c r="A111" s="21">
        <v>99</v>
      </c>
      <c r="C111" s="25">
        <f t="shared" si="29"/>
        <v>5.422979589734731</v>
      </c>
      <c r="D111" s="23">
        <f>FishHarvestTimeTrends!AC120*((1+'OriginalBCACalculations 0%'!D$10)^MIN('OriginalBCACalculations 0%'!$A111,20))</f>
        <v>1.8394491252753649</v>
      </c>
      <c r="E111" s="23">
        <f>FishHarvestTimeTrends!AD120*((1+'OriginalBCACalculations 0%'!E$10)^MIN('OriginalBCACalculations 0%'!$A111,20))</f>
        <v>0.2629766421330762</v>
      </c>
      <c r="F111" s="23">
        <f t="shared" si="27"/>
        <v>5.9414654000701548</v>
      </c>
      <c r="H111" s="22">
        <f t="shared" si="26"/>
        <v>2.8000000000000001E-2</v>
      </c>
      <c r="I111" s="22"/>
      <c r="J111" s="41"/>
      <c r="K111" s="41">
        <f t="shared" si="23"/>
        <v>5.422979589734731</v>
      </c>
      <c r="L111" s="41">
        <f t="shared" si="23"/>
        <v>1.8394491252753649</v>
      </c>
      <c r="M111" s="41">
        <f t="shared" si="23"/>
        <v>0.2629766421330762</v>
      </c>
      <c r="N111" s="41">
        <f t="shared" si="23"/>
        <v>5.9414654000701548</v>
      </c>
      <c r="O111" s="67"/>
      <c r="P111" s="41">
        <f t="shared" si="25"/>
        <v>2.8000000000000001E-2</v>
      </c>
      <c r="R111" s="27">
        <f t="shared" si="30"/>
        <v>2.6489115777438643</v>
      </c>
      <c r="S111" s="27">
        <f t="shared" si="30"/>
        <v>0.99901689020660556</v>
      </c>
      <c r="T111" s="27">
        <f t="shared" si="30"/>
        <v>0.38040886476723379</v>
      </c>
      <c r="U111" s="27">
        <f t="shared" si="30"/>
        <v>0.14622426276895004</v>
      </c>
      <c r="V111" s="27">
        <f t="shared" si="30"/>
        <v>5.6728357626156752E-2</v>
      </c>
      <c r="W111" s="27">
        <f t="shared" si="30"/>
        <v>2.2208342812020491E-2</v>
      </c>
      <c r="X111" s="27">
        <f t="shared" si="30"/>
        <v>8.7718796711306543E-3</v>
      </c>
      <c r="Y111" s="27">
        <f t="shared" si="30"/>
        <v>3.4950810259093516E-3</v>
      </c>
    </row>
    <row r="112" spans="1:25" x14ac:dyDescent="0.25">
      <c r="A112" s="21">
        <v>100</v>
      </c>
      <c r="C112" s="25">
        <f t="shared" si="29"/>
        <v>5.422979589734731</v>
      </c>
      <c r="D112" s="23">
        <f>FishHarvestTimeTrends!AC121*((1+'OriginalBCACalculations 0%'!D$10)^MIN('OriginalBCACalculations 0%'!$A112,20))</f>
        <v>1.8394504400873724</v>
      </c>
      <c r="E112" s="23">
        <f>FishHarvestTimeTrends!AD121*((1+'OriginalBCACalculations 0%'!E$10)^MIN('OriginalBCACalculations 0%'!$A112,20))</f>
        <v>0.2629767808123864</v>
      </c>
      <c r="F112" s="23">
        <f t="shared" si="27"/>
        <v>5.9444361327701891</v>
      </c>
      <c r="H112" s="22">
        <f t="shared" si="26"/>
        <v>2.8000000000000001E-2</v>
      </c>
      <c r="I112" s="22"/>
      <c r="J112" s="41"/>
      <c r="K112" s="41">
        <f t="shared" si="23"/>
        <v>5.422979589734731</v>
      </c>
      <c r="L112" s="41">
        <f t="shared" si="23"/>
        <v>1.8394504400873724</v>
      </c>
      <c r="M112" s="41">
        <f t="shared" si="23"/>
        <v>0.2629767808123864</v>
      </c>
      <c r="N112" s="41">
        <f t="shared" si="23"/>
        <v>5.9444361327701891</v>
      </c>
      <c r="O112" s="67"/>
      <c r="P112" s="41">
        <f t="shared" si="25"/>
        <v>2.8000000000000001E-2</v>
      </c>
      <c r="R112" s="27">
        <f t="shared" si="30"/>
        <v>2.651883763935218</v>
      </c>
      <c r="S112" s="27">
        <f t="shared" si="30"/>
        <v>0.99023547293360037</v>
      </c>
      <c r="T112" s="27">
        <f t="shared" si="30"/>
        <v>0.37336833229149452</v>
      </c>
      <c r="U112" s="27">
        <f t="shared" si="30"/>
        <v>0.14212459448591747</v>
      </c>
      <c r="V112" s="27">
        <f t="shared" si="30"/>
        <v>5.4607701099505843E-2</v>
      </c>
      <c r="W112" s="27">
        <f t="shared" si="30"/>
        <v>2.1174534736286915E-2</v>
      </c>
      <c r="X112" s="27">
        <f t="shared" si="30"/>
        <v>8.2846434677177842E-3</v>
      </c>
      <c r="Y112" s="27">
        <f t="shared" si="30"/>
        <v>3.2700959332054285E-3</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12"/>
  <sheetViews>
    <sheetView topLeftCell="B1" workbookViewId="0">
      <selection activeCell="F12" sqref="F12"/>
    </sheetView>
  </sheetViews>
  <sheetFormatPr defaultRowHeight="15" x14ac:dyDescent="0.25"/>
  <cols>
    <col min="1" max="1" width="36.42578125" style="21" customWidth="1"/>
    <col min="2" max="2" width="14.28515625" style="21" customWidth="1"/>
    <col min="3" max="3" width="11.85546875" style="21" customWidth="1"/>
    <col min="4" max="4" width="13.140625" style="21" customWidth="1"/>
    <col min="5" max="5" width="13.28515625" style="21" customWidth="1"/>
    <col min="6" max="6" width="14.28515625" style="21" customWidth="1"/>
    <col min="7" max="7" width="13.42578125" style="21" customWidth="1"/>
    <col min="8" max="9" width="11.5703125" style="21" customWidth="1"/>
    <col min="10" max="10" width="12.42578125" style="21" customWidth="1"/>
    <col min="11" max="16" width="11.5703125" style="21" customWidth="1"/>
    <col min="17" max="17" width="9.140625" style="21"/>
    <col min="18" max="25" width="12.5703125" style="21" bestFit="1" customWidth="1"/>
    <col min="26" max="16384" width="9.140625" style="21"/>
  </cols>
  <sheetData>
    <row r="1" spans="1:25" x14ac:dyDescent="0.25">
      <c r="B1" s="21" t="s">
        <v>26</v>
      </c>
      <c r="R1" s="28" t="s">
        <v>51</v>
      </c>
    </row>
    <row r="2" spans="1:25" x14ac:dyDescent="0.25">
      <c r="A2" s="29" t="s">
        <v>1</v>
      </c>
      <c r="B2" s="30">
        <v>131.5</v>
      </c>
      <c r="R2" s="28">
        <v>0</v>
      </c>
      <c r="S2" s="28">
        <v>0.01</v>
      </c>
      <c r="T2" s="28">
        <v>0.02</v>
      </c>
      <c r="U2" s="28">
        <v>0.03</v>
      </c>
      <c r="V2" s="28">
        <v>0.04</v>
      </c>
      <c r="W2" s="28">
        <v>0.05</v>
      </c>
      <c r="X2" s="28">
        <v>0.06</v>
      </c>
      <c r="Y2" s="28">
        <v>7.0000000000000007E-2</v>
      </c>
    </row>
    <row r="3" spans="1:25" x14ac:dyDescent="0.25">
      <c r="A3" s="60" t="s">
        <v>99</v>
      </c>
      <c r="B3" s="32">
        <v>3.7225000000000001</v>
      </c>
      <c r="C3" s="66">
        <f>B3/0.172</f>
        <v>21.642441860465119</v>
      </c>
      <c r="D3" s="28" t="s">
        <v>109</v>
      </c>
      <c r="Q3" s="28" t="s">
        <v>54</v>
      </c>
      <c r="R3" s="42">
        <f>SUM(R13:R42)</f>
        <v>34632.694096116313</v>
      </c>
      <c r="S3" s="42">
        <f t="shared" ref="S3:Y3" si="0">SUM(S13:S42)</f>
        <v>33123.682868884913</v>
      </c>
      <c r="T3" s="42">
        <f t="shared" si="0"/>
        <v>31720.682177121191</v>
      </c>
      <c r="U3" s="42">
        <f t="shared" si="0"/>
        <v>30414.550472071729</v>
      </c>
      <c r="V3" s="42">
        <f t="shared" si="0"/>
        <v>29197.07089225145</v>
      </c>
      <c r="W3" s="42">
        <f t="shared" si="0"/>
        <v>28060.842252162278</v>
      </c>
      <c r="X3" s="42">
        <f t="shared" si="0"/>
        <v>26999.185197284914</v>
      </c>
      <c r="Y3" s="42">
        <f t="shared" si="0"/>
        <v>26006.061000767091</v>
      </c>
    </row>
    <row r="4" spans="1:25" x14ac:dyDescent="0.25">
      <c r="A4" s="31" t="s">
        <v>27</v>
      </c>
      <c r="B4" s="37">
        <v>1.3</v>
      </c>
      <c r="C4" s="21">
        <v>2.94</v>
      </c>
      <c r="Q4" s="28" t="s">
        <v>55</v>
      </c>
      <c r="R4" s="42">
        <f>SUM(R13:R52)</f>
        <v>34657.196031307743</v>
      </c>
      <c r="S4" s="42">
        <f t="shared" ref="S4:Y4" si="1">SUM(S13:S52)</f>
        <v>33141.069282607787</v>
      </c>
      <c r="T4" s="42">
        <f t="shared" si="1"/>
        <v>31733.071196202538</v>
      </c>
      <c r="U4" s="42">
        <f t="shared" si="1"/>
        <v>30423.414718943015</v>
      </c>
      <c r="V4" s="42">
        <f t="shared" si="1"/>
        <v>29203.438647849085</v>
      </c>
      <c r="W4" s="42">
        <f t="shared" si="1"/>
        <v>28065.434581705431</v>
      </c>
      <c r="X4" s="42">
        <f t="shared" si="1"/>
        <v>27002.509841507337</v>
      </c>
      <c r="Y4" s="42">
        <f t="shared" si="1"/>
        <v>26008.476945479037</v>
      </c>
    </row>
    <row r="5" spans="1:25" x14ac:dyDescent="0.25">
      <c r="A5" s="31" t="s">
        <v>45</v>
      </c>
      <c r="B5" s="33">
        <v>0.28999999999999998</v>
      </c>
      <c r="C5" s="21">
        <v>0.52</v>
      </c>
      <c r="Q5" s="28" t="s">
        <v>56</v>
      </c>
      <c r="R5" s="42">
        <f>SUM(R13:R62)</f>
        <v>34682.111570630965</v>
      </c>
      <c r="S5" s="42">
        <f t="shared" ref="S5:Y5" si="2">SUM(S13:S62)</f>
        <v>33157.076046659058</v>
      </c>
      <c r="T5" s="42">
        <f t="shared" si="2"/>
        <v>31743.407837529387</v>
      </c>
      <c r="U5" s="42">
        <f t="shared" si="2"/>
        <v>30430.123604563822</v>
      </c>
      <c r="V5" s="42">
        <f t="shared" si="2"/>
        <v>29207.81457302202</v>
      </c>
      <c r="W5" s="42">
        <f t="shared" si="2"/>
        <v>28068.302670410136</v>
      </c>
      <c r="X5" s="42">
        <f t="shared" si="2"/>
        <v>27004.398590247856</v>
      </c>
      <c r="Y5" s="42">
        <f t="shared" si="2"/>
        <v>26009.726546883408</v>
      </c>
    </row>
    <row r="6" spans="1:25" x14ac:dyDescent="0.25">
      <c r="A6" s="31" t="s">
        <v>46</v>
      </c>
      <c r="B6" s="32">
        <v>5.7</v>
      </c>
      <c r="Q6" s="28" t="s">
        <v>57</v>
      </c>
      <c r="R6" s="42">
        <f>R11</f>
        <v>34811.093759288102</v>
      </c>
      <c r="S6" s="42">
        <f t="shared" ref="S6:Y6" si="3">S11</f>
        <v>33219.02502716559</v>
      </c>
      <c r="T6" s="42">
        <f t="shared" si="3"/>
        <v>31773.98499643863</v>
      </c>
      <c r="U6" s="42">
        <f t="shared" si="3"/>
        <v>30445.612670361479</v>
      </c>
      <c r="V6" s="42">
        <f t="shared" si="3"/>
        <v>29215.853347743996</v>
      </c>
      <c r="W6" s="42">
        <f t="shared" si="3"/>
        <v>28072.5692653527</v>
      </c>
      <c r="X6" s="42">
        <f t="shared" si="3"/>
        <v>27006.709916944317</v>
      </c>
      <c r="Y6" s="42">
        <f t="shared" si="3"/>
        <v>26011.002120151716</v>
      </c>
    </row>
    <row r="7" spans="1:25" x14ac:dyDescent="0.25">
      <c r="A7" s="31" t="s">
        <v>48</v>
      </c>
      <c r="B7" s="34">
        <v>3469.4</v>
      </c>
      <c r="C7" s="25">
        <v>37.6</v>
      </c>
    </row>
    <row r="8" spans="1:25" x14ac:dyDescent="0.25">
      <c r="A8" s="35" t="s">
        <v>50</v>
      </c>
      <c r="B8" s="36">
        <v>2.8000000000000001E-2</v>
      </c>
      <c r="L8" s="47"/>
      <c r="M8" s="48"/>
    </row>
    <row r="9" spans="1:25" x14ac:dyDescent="0.25">
      <c r="B9" s="28" t="s">
        <v>58</v>
      </c>
      <c r="J9" s="47" t="s">
        <v>52</v>
      </c>
      <c r="L9" s="39" t="s">
        <v>53</v>
      </c>
      <c r="M9" s="40">
        <v>7.0000000000000007E-2</v>
      </c>
      <c r="R9" s="28" t="s">
        <v>51</v>
      </c>
    </row>
    <row r="10" spans="1:25" x14ac:dyDescent="0.25">
      <c r="A10" s="21" t="s">
        <v>3</v>
      </c>
      <c r="C10" s="21">
        <v>0.02</v>
      </c>
      <c r="D10" s="21">
        <v>8.0000000000000004E-4</v>
      </c>
      <c r="E10" s="38">
        <v>5.0000000000000001E-4</v>
      </c>
      <c r="F10" s="21">
        <v>5.0000000000000001E-4</v>
      </c>
      <c r="G10" s="38">
        <v>5.0000000000000001E-4</v>
      </c>
      <c r="J10" s="28"/>
      <c r="K10" s="28"/>
      <c r="L10" s="28"/>
      <c r="M10" s="28"/>
      <c r="N10" s="28"/>
      <c r="O10" s="28"/>
      <c r="R10" s="28">
        <v>0</v>
      </c>
      <c r="S10" s="28">
        <v>0.01</v>
      </c>
      <c r="T10" s="28">
        <v>0.02</v>
      </c>
      <c r="U10" s="28">
        <v>0.03</v>
      </c>
      <c r="V10" s="28">
        <v>0.04</v>
      </c>
      <c r="W10" s="28">
        <v>0.05</v>
      </c>
      <c r="X10" s="28">
        <v>0.06</v>
      </c>
      <c r="Y10" s="28">
        <v>7.0000000000000007E-2</v>
      </c>
    </row>
    <row r="11" spans="1:25" x14ac:dyDescent="0.25">
      <c r="B11" s="22"/>
      <c r="C11" s="22"/>
      <c r="D11" s="22"/>
      <c r="J11" s="41">
        <f>SUM(J13:J112)</f>
        <v>95.128973137450004</v>
      </c>
      <c r="K11" s="41">
        <f t="shared" ref="K11:P11" si="4">SUM(K13:K112)</f>
        <v>70.397603047278736</v>
      </c>
      <c r="L11" s="41">
        <f t="shared" si="4"/>
        <v>7.3386265540174032</v>
      </c>
      <c r="M11" s="41">
        <f t="shared" si="4"/>
        <v>0.68033390754841028</v>
      </c>
      <c r="N11" s="41">
        <f t="shared" si="4"/>
        <v>43.373370522207011</v>
      </c>
      <c r="O11" s="41">
        <f>SUM(O13:O112)</f>
        <v>26124.854624063111</v>
      </c>
      <c r="P11" s="41">
        <f t="shared" si="4"/>
        <v>0.26604364076846893</v>
      </c>
      <c r="R11" s="27">
        <f>SUM(R13:R112)</f>
        <v>34811.093759288102</v>
      </c>
      <c r="S11" s="27">
        <f t="shared" ref="S11:Y11" si="5">SUM(S13:S112)</f>
        <v>33219.02502716559</v>
      </c>
      <c r="T11" s="27">
        <f t="shared" si="5"/>
        <v>31773.98499643863</v>
      </c>
      <c r="U11" s="27">
        <f t="shared" si="5"/>
        <v>30445.612670361479</v>
      </c>
      <c r="V11" s="27">
        <f t="shared" si="5"/>
        <v>29215.853347743996</v>
      </c>
      <c r="W11" s="27">
        <f t="shared" si="5"/>
        <v>28072.5692653527</v>
      </c>
      <c r="X11" s="27">
        <f t="shared" si="5"/>
        <v>27006.709916944317</v>
      </c>
      <c r="Y11" s="27">
        <f t="shared" si="5"/>
        <v>26011.002120151716</v>
      </c>
    </row>
    <row r="12" spans="1:25" ht="60" x14ac:dyDescent="0.25">
      <c r="A12" s="21" t="s">
        <v>0</v>
      </c>
      <c r="B12" s="24" t="s">
        <v>4</v>
      </c>
      <c r="C12" s="24" t="s">
        <v>5</v>
      </c>
      <c r="D12" s="24" t="s">
        <v>6</v>
      </c>
      <c r="E12" s="24" t="s">
        <v>44</v>
      </c>
      <c r="F12" s="24" t="s">
        <v>7</v>
      </c>
      <c r="G12" s="26" t="s">
        <v>47</v>
      </c>
      <c r="H12" s="26" t="s">
        <v>49</v>
      </c>
      <c r="I12" s="26"/>
      <c r="J12" s="24" t="s">
        <v>4</v>
      </c>
      <c r="K12" s="24" t="s">
        <v>5</v>
      </c>
      <c r="L12" s="24" t="s">
        <v>6</v>
      </c>
      <c r="M12" s="24" t="s">
        <v>44</v>
      </c>
      <c r="N12" s="24" t="s">
        <v>7</v>
      </c>
      <c r="O12" s="26" t="s">
        <v>47</v>
      </c>
      <c r="P12" s="26" t="s">
        <v>49</v>
      </c>
      <c r="R12" s="27"/>
      <c r="S12" s="27"/>
      <c r="T12" s="27"/>
      <c r="U12" s="27"/>
      <c r="V12" s="27"/>
      <c r="W12" s="27"/>
      <c r="X12" s="27"/>
      <c r="Y12" s="27"/>
    </row>
    <row r="13" spans="1:25" x14ac:dyDescent="0.25">
      <c r="A13" s="21">
        <v>1</v>
      </c>
      <c r="B13" s="22">
        <f>B$2*'Cost Distribution By Year'!C20</f>
        <v>3.2795012165450119</v>
      </c>
      <c r="C13" s="25">
        <f>B3</f>
        <v>3.7225000000000001</v>
      </c>
      <c r="D13" s="23">
        <f>FishHarvestTimeTrends!AC22*((1+' OriginalBCACalculation 7%'!D$10)^MIN(' OriginalBCACalculation 7%'!$A13,20))</f>
        <v>-0.45009477652942353</v>
      </c>
      <c r="E13" s="23">
        <f>FishHarvestTimeTrends!AD22*((1+' OriginalBCACalculation 7%'!E$10)^MIN(' OriginalBCACalculation 7%'!$A13,20))</f>
        <v>-9.968905080817865E-2</v>
      </c>
      <c r="G13" s="27">
        <f>B7</f>
        <v>3469.4</v>
      </c>
      <c r="J13" s="41">
        <f>B13/((1+$M$9)^($A13-1))</f>
        <v>3.2795012165450119</v>
      </c>
      <c r="K13" s="41">
        <f t="shared" ref="K13:K76" si="6">C13/((1+$M$9)^($A13-1))</f>
        <v>3.7225000000000001</v>
      </c>
      <c r="L13" s="41">
        <f t="shared" ref="L13:L31" si="7">D13/((1+$M$9)^($A13-1))</f>
        <v>-0.45009477652942353</v>
      </c>
      <c r="M13" s="41">
        <f t="shared" ref="M13:M31" si="8">E13/((1+$M$9)^($A13-1))</f>
        <v>-9.968905080817865E-2</v>
      </c>
      <c r="N13" s="41"/>
      <c r="O13" s="41">
        <f>B7</f>
        <v>3469.4</v>
      </c>
      <c r="P13" s="41"/>
      <c r="R13" s="27">
        <f>(SUM($D13:$H13)-SUM($B13:$C13))/((1+R$10)^($A13-1))</f>
        <v>3461.8482149561173</v>
      </c>
      <c r="S13" s="27">
        <f t="shared" ref="S13:Y28" si="9">(SUM($D13:$H13)-SUM($B13:$C13))/((1+S$10)^($A13-1))</f>
        <v>3461.8482149561173</v>
      </c>
      <c r="T13" s="27">
        <f t="shared" si="9"/>
        <v>3461.8482149561173</v>
      </c>
      <c r="U13" s="27">
        <f t="shared" si="9"/>
        <v>3461.8482149561173</v>
      </c>
      <c r="V13" s="27">
        <f t="shared" si="9"/>
        <v>3461.8482149561173</v>
      </c>
      <c r="W13" s="27">
        <f t="shared" si="9"/>
        <v>3461.8482149561173</v>
      </c>
      <c r="X13" s="27">
        <f t="shared" si="9"/>
        <v>3461.8482149561173</v>
      </c>
      <c r="Y13" s="27">
        <f t="shared" si="9"/>
        <v>3461.8482149561173</v>
      </c>
    </row>
    <row r="14" spans="1:25" x14ac:dyDescent="0.25">
      <c r="A14" s="21">
        <v>2</v>
      </c>
      <c r="B14" s="22">
        <f>B$2*'Cost Distribution By Year'!C21</f>
        <v>3.6394464720194639</v>
      </c>
      <c r="C14" s="25">
        <f>C13*(1+C$10)</f>
        <v>3.7969500000000003</v>
      </c>
      <c r="D14" s="23">
        <f>FishHarvestTimeTrends!AC23*((1+' OriginalBCACalculation 7%'!D$10)^MIN(' OriginalBCACalculation 7%'!$A14,20))</f>
        <v>-0.45045485235064703</v>
      </c>
      <c r="E14" s="23">
        <f>FishHarvestTimeTrends!AD23*((1+' OriginalBCACalculation 7%'!E$10)^MIN(' OriginalBCACalculation 7%'!$A14,20))</f>
        <v>-9.9738895333582739E-2</v>
      </c>
      <c r="G14" s="27">
        <f t="shared" ref="G14:G22" si="10">G13*(1+G$10)</f>
        <v>3471.1347000000001</v>
      </c>
      <c r="J14" s="41">
        <f t="shared" ref="J14:J31" si="11">B14/((1+$M$9)^($A14-1))</f>
        <v>3.4013518430088445</v>
      </c>
      <c r="K14" s="41">
        <f t="shared" si="6"/>
        <v>3.5485514018691591</v>
      </c>
      <c r="L14" s="41">
        <f t="shared" si="7"/>
        <v>-0.4209858433183617</v>
      </c>
      <c r="M14" s="41">
        <f t="shared" si="8"/>
        <v>-9.3213920872507225E-2</v>
      </c>
      <c r="N14" s="41"/>
      <c r="O14" s="41">
        <f t="shared" ref="O14:O19" si="12">G14/((1+$M$9)^($A14-1))</f>
        <v>3244.0511214953272</v>
      </c>
      <c r="P14" s="41"/>
      <c r="R14" s="27">
        <f t="shared" ref="R14:Y29" si="13">(SUM($D14:$H14)-SUM($B14:$C14))/((1+R$10)^($A14-1))</f>
        <v>3463.1481097802962</v>
      </c>
      <c r="S14" s="27">
        <f t="shared" si="9"/>
        <v>3428.8595146339567</v>
      </c>
      <c r="T14" s="27">
        <f t="shared" si="9"/>
        <v>3395.2432448826435</v>
      </c>
      <c r="U14" s="27">
        <f t="shared" si="9"/>
        <v>3362.279718233297</v>
      </c>
      <c r="V14" s="27">
        <f t="shared" si="9"/>
        <v>3329.9501055579772</v>
      </c>
      <c r="W14" s="27">
        <f t="shared" si="9"/>
        <v>3298.2362950288534</v>
      </c>
      <c r="X14" s="27">
        <f t="shared" si="9"/>
        <v>3267.1208582832983</v>
      </c>
      <c r="Y14" s="27">
        <f t="shared" si="9"/>
        <v>3236.5870184862579</v>
      </c>
    </row>
    <row r="15" spans="1:25" x14ac:dyDescent="0.25">
      <c r="A15" s="21">
        <v>3</v>
      </c>
      <c r="B15" s="22">
        <f>B$2*'Cost Distribution By Year'!C22</f>
        <v>6.7489735401459834</v>
      </c>
      <c r="C15" s="25">
        <f t="shared" ref="C15:C32" si="14">C14*(1+C$10)</f>
        <v>3.8728890000000002</v>
      </c>
      <c r="D15" s="23">
        <f>FishHarvestTimeTrends!AC24*((1+' OriginalBCACalculation 7%'!D$10)^MIN(' OriginalBCACalculation 7%'!$A15,20))</f>
        <v>-0.40817195254769112</v>
      </c>
      <c r="E15" s="23">
        <f>FishHarvestTimeTrends!AD24*((1+' OriginalBCACalculation 7%'!E$10)^MIN(' OriginalBCACalculation 7%'!$A15,20))</f>
        <v>-9.9788764781249525E-2</v>
      </c>
      <c r="G15" s="27">
        <f t="shared" si="10"/>
        <v>3472.8702673499997</v>
      </c>
      <c r="J15" s="41">
        <f t="shared" si="11"/>
        <v>5.8948148660546629</v>
      </c>
      <c r="K15" s="41">
        <f t="shared" si="6"/>
        <v>3.3827312429033105</v>
      </c>
      <c r="L15" s="41">
        <f t="shared" si="7"/>
        <v>-0.35651319115004898</v>
      </c>
      <c r="M15" s="41">
        <f t="shared" si="8"/>
        <v>-8.7159371806489236E-2</v>
      </c>
      <c r="N15" s="41"/>
      <c r="O15" s="41">
        <f t="shared" si="12"/>
        <v>3033.3393897720321</v>
      </c>
      <c r="P15" s="41"/>
      <c r="R15" s="27">
        <f t="shared" si="13"/>
        <v>3461.7404440925247</v>
      </c>
      <c r="S15" s="27">
        <f t="shared" si="9"/>
        <v>3393.5304814160618</v>
      </c>
      <c r="T15" s="27">
        <f t="shared" si="9"/>
        <v>3327.3168436106544</v>
      </c>
      <c r="U15" s="27">
        <f t="shared" si="9"/>
        <v>3263.02238108448</v>
      </c>
      <c r="V15" s="27">
        <f t="shared" si="9"/>
        <v>3200.5736354405735</v>
      </c>
      <c r="W15" s="27">
        <f t="shared" si="9"/>
        <v>3139.9006295623808</v>
      </c>
      <c r="X15" s="27">
        <f t="shared" si="9"/>
        <v>3080.9366714956604</v>
      </c>
      <c r="Y15" s="27">
        <f t="shared" si="9"/>
        <v>3023.6181711001177</v>
      </c>
    </row>
    <row r="16" spans="1:25" x14ac:dyDescent="0.25">
      <c r="A16" s="21">
        <v>4</v>
      </c>
      <c r="B16" s="22">
        <f>B$2*'Cost Distribution By Year'!C23</f>
        <v>11.078315085158149</v>
      </c>
      <c r="C16" s="25">
        <f t="shared" si="14"/>
        <v>3.9503467800000003</v>
      </c>
      <c r="D16" s="23">
        <f>FishHarvestTimeTrends!AC25*((1+' OriginalBCACalculation 7%'!D$10)^MIN(' OriginalBCACalculation 7%'!$A16,20))</f>
        <v>-0.40319854528381316</v>
      </c>
      <c r="E16" s="23">
        <f>FishHarvestTimeTrends!AD25*((1+' OriginalBCACalculation 7%'!E$10)^MIN(' OriginalBCACalculation 7%'!$A16,20))</f>
        <v>-9.9838659163640153E-2</v>
      </c>
      <c r="G16" s="27">
        <f t="shared" si="10"/>
        <v>3474.6067024836743</v>
      </c>
      <c r="J16" s="41">
        <f t="shared" si="11"/>
        <v>9.0432050835424942</v>
      </c>
      <c r="K16" s="41">
        <f t="shared" si="6"/>
        <v>3.2246596894966135</v>
      </c>
      <c r="L16" s="41">
        <f t="shared" si="7"/>
        <v>-0.32913011648065671</v>
      </c>
      <c r="M16" s="41">
        <f t="shared" si="8"/>
        <v>-8.149808550690886E-2</v>
      </c>
      <c r="N16" s="41"/>
      <c r="O16" s="41">
        <f t="shared" si="12"/>
        <v>2836.3140742681471</v>
      </c>
      <c r="P16" s="41"/>
      <c r="R16" s="27">
        <f t="shared" si="13"/>
        <v>3459.0750034140688</v>
      </c>
      <c r="S16" s="27">
        <f t="shared" si="9"/>
        <v>3357.3441192564783</v>
      </c>
      <c r="T16" s="27">
        <f t="shared" si="9"/>
        <v>3259.5636325904716</v>
      </c>
      <c r="U16" s="27">
        <f t="shared" si="9"/>
        <v>3165.5436384513869</v>
      </c>
      <c r="V16" s="27">
        <f t="shared" si="9"/>
        <v>3075.1050824046893</v>
      </c>
      <c r="W16" s="27">
        <f t="shared" si="9"/>
        <v>2988.0790440894662</v>
      </c>
      <c r="X16" s="27">
        <f t="shared" si="9"/>
        <v>2904.3060743214769</v>
      </c>
      <c r="Y16" s="27">
        <f t="shared" si="9"/>
        <v>2823.6355812931206</v>
      </c>
    </row>
    <row r="17" spans="1:25" x14ac:dyDescent="0.25">
      <c r="A17" s="21">
        <v>5</v>
      </c>
      <c r="B17" s="22">
        <f>B$2*'Cost Distribution By Year'!C24</f>
        <v>33.974832725060814</v>
      </c>
      <c r="C17" s="25">
        <f t="shared" si="14"/>
        <v>4.0293537156000001</v>
      </c>
      <c r="D17" s="23">
        <f>FishHarvestTimeTrends!AC26*((1+' OriginalBCACalculation 7%'!D$10)^MIN(' OriginalBCACalculation 7%'!$A17,20))</f>
        <v>-0.39461345716601587</v>
      </c>
      <c r="E17" s="23">
        <f>FishHarvestTimeTrends!AD26*((1+' OriginalBCACalculation 7%'!E$10)^MIN(' OriginalBCACalculation 7%'!$A17,20))</f>
        <v>-9.9407067189483431E-2</v>
      </c>
      <c r="G17" s="27">
        <f t="shared" si="10"/>
        <v>3476.3440058349161</v>
      </c>
      <c r="J17" s="41">
        <f t="shared" si="11"/>
        <v>25.91923721606447</v>
      </c>
      <c r="K17" s="41">
        <f t="shared" si="6"/>
        <v>3.0739746572771458</v>
      </c>
      <c r="L17" s="41">
        <f t="shared" si="7"/>
        <v>-0.30104871708147468</v>
      </c>
      <c r="M17" s="41">
        <f t="shared" si="8"/>
        <v>-7.583717560254355E-2</v>
      </c>
      <c r="N17" s="41"/>
      <c r="O17" s="41">
        <f t="shared" si="12"/>
        <v>2652.0861974815716</v>
      </c>
      <c r="P17" s="41"/>
      <c r="R17" s="27">
        <f t="shared" si="13"/>
        <v>3437.8457988698997</v>
      </c>
      <c r="S17" s="27">
        <f t="shared" si="9"/>
        <v>3303.7022400767987</v>
      </c>
      <c r="T17" s="27">
        <f t="shared" si="9"/>
        <v>3176.0381166704246</v>
      </c>
      <c r="U17" s="27">
        <f t="shared" si="9"/>
        <v>3054.4814650272706</v>
      </c>
      <c r="V17" s="27">
        <f t="shared" si="9"/>
        <v>2938.6849969879258</v>
      </c>
      <c r="W17" s="27">
        <f t="shared" si="9"/>
        <v>2828.3242466831412</v>
      </c>
      <c r="X17" s="27">
        <f t="shared" si="9"/>
        <v>2723.0958724742977</v>
      </c>
      <c r="Y17" s="27">
        <f t="shared" si="9"/>
        <v>2622.7160997155461</v>
      </c>
    </row>
    <row r="18" spans="1:25" x14ac:dyDescent="0.25">
      <c r="A18" s="21">
        <v>6</v>
      </c>
      <c r="B18" s="22">
        <f>B$2*'Cost Distribution By Year'!C25</f>
        <v>22.756538929440381</v>
      </c>
      <c r="C18" s="25">
        <f t="shared" si="14"/>
        <v>4.1099407899120006</v>
      </c>
      <c r="D18" s="23">
        <f>FishHarvestTimeTrends!AC27*((1+' OriginalBCACalculation 7%'!D$10)^MIN(' OriginalBCACalculation 7%'!$A18,20))</f>
        <v>-0.36609789732137704</v>
      </c>
      <c r="E18" s="23">
        <f>FishHarvestTimeTrends!AD27*((1+' OriginalBCACalculation 7%'!E$10)^MIN(' OriginalBCACalculation 7%'!$A18,20))</f>
        <v>-9.2998613393808327E-2</v>
      </c>
      <c r="G18" s="27">
        <f t="shared" si="10"/>
        <v>3478.0821778378331</v>
      </c>
      <c r="J18" s="41">
        <f t="shared" si="11"/>
        <v>16.225097749573067</v>
      </c>
      <c r="K18" s="41">
        <f t="shared" si="6"/>
        <v>2.9303309817034475</v>
      </c>
      <c r="L18" s="41">
        <f t="shared" si="7"/>
        <v>-0.26102274112817292</v>
      </c>
      <c r="M18" s="41">
        <f t="shared" si="8"/>
        <v>-6.6306726060930105E-2</v>
      </c>
      <c r="N18" s="41"/>
      <c r="O18" s="41">
        <f t="shared" si="12"/>
        <v>2479.8245239068333</v>
      </c>
      <c r="P18" s="41"/>
      <c r="R18" s="27">
        <f t="shared" si="13"/>
        <v>3450.7566016077658</v>
      </c>
      <c r="S18" s="27">
        <f t="shared" si="9"/>
        <v>3283.2765027122609</v>
      </c>
      <c r="T18" s="27">
        <f t="shared" si="9"/>
        <v>3125.4565713001302</v>
      </c>
      <c r="U18" s="27">
        <f t="shared" si="9"/>
        <v>2976.6529573185039</v>
      </c>
      <c r="V18" s="27">
        <f t="shared" si="9"/>
        <v>2836.270389690203</v>
      </c>
      <c r="W18" s="27">
        <f t="shared" si="9"/>
        <v>2703.7580914734599</v>
      </c>
      <c r="X18" s="27">
        <f t="shared" si="9"/>
        <v>2578.6060731229027</v>
      </c>
      <c r="Y18" s="27">
        <f t="shared" si="9"/>
        <v>2460.3417657083678</v>
      </c>
    </row>
    <row r="19" spans="1:25" x14ac:dyDescent="0.25">
      <c r="A19" s="21">
        <v>7</v>
      </c>
      <c r="B19" s="22">
        <f>B$2*'Cost Distribution By Year'!C26</f>
        <v>21.886671228710455</v>
      </c>
      <c r="C19" s="25">
        <f t="shared" si="14"/>
        <v>4.1921396057102411</v>
      </c>
      <c r="D19" s="23">
        <f>FishHarvestTimeTrends!AC28*((1+' OriginalBCACalculation 7%'!D$10)^MIN(' OriginalBCACalculation 7%'!$A19,20))</f>
        <v>-0.30824294902145893</v>
      </c>
      <c r="E19" s="23">
        <f>FishHarvestTimeTrends!AD28*((1+' OriginalBCACalculation 7%'!E$10)^MIN(' OriginalBCACalculation 7%'!$A19,20))</f>
        <v>-8.3994920579371024E-2</v>
      </c>
      <c r="F19" s="23">
        <f>B6/10</f>
        <v>0.57000000000000006</v>
      </c>
      <c r="G19" s="27">
        <f t="shared" si="10"/>
        <v>3479.821218926752</v>
      </c>
      <c r="J19" s="41">
        <f t="shared" si="11"/>
        <v>14.584013178479807</v>
      </c>
      <c r="K19" s="41">
        <f t="shared" si="6"/>
        <v>2.79339962741824</v>
      </c>
      <c r="L19" s="41">
        <f t="shared" si="7"/>
        <v>-0.20539529212671886</v>
      </c>
      <c r="M19" s="41">
        <f t="shared" si="8"/>
        <v>-5.596936216814944E-2</v>
      </c>
      <c r="N19" s="41"/>
      <c r="O19" s="41">
        <f t="shared" si="12"/>
        <v>2318.7518095035393</v>
      </c>
      <c r="P19" s="41"/>
      <c r="R19" s="27">
        <f t="shared" si="13"/>
        <v>3453.9201702227301</v>
      </c>
      <c r="S19" s="27">
        <f t="shared" si="9"/>
        <v>3253.749039306721</v>
      </c>
      <c r="T19" s="27">
        <f t="shared" si="9"/>
        <v>3066.9822675134451</v>
      </c>
      <c r="U19" s="27">
        <f t="shared" si="9"/>
        <v>2892.6037664036644</v>
      </c>
      <c r="V19" s="27">
        <f t="shared" si="9"/>
        <v>2729.6832812393609</v>
      </c>
      <c r="W19" s="27">
        <f t="shared" si="9"/>
        <v>2577.3684097740029</v>
      </c>
      <c r="X19" s="27">
        <f t="shared" si="9"/>
        <v>2434.8774298357143</v>
      </c>
      <c r="Y19" s="27">
        <f t="shared" si="9"/>
        <v>2301.4928471109215</v>
      </c>
    </row>
    <row r="20" spans="1:25" x14ac:dyDescent="0.25">
      <c r="A20" s="21">
        <v>8</v>
      </c>
      <c r="B20" s="22">
        <f>B$2*'Cost Distribution By Year'!C27</f>
        <v>21.906668187347925</v>
      </c>
      <c r="C20" s="25">
        <f t="shared" si="14"/>
        <v>4.2759823978244462</v>
      </c>
      <c r="D20" s="23">
        <f>FishHarvestTimeTrends!AC29*((1+' OriginalBCACalculation 7%'!D$10)^MIN(' OriginalBCACalculation 7%'!$A20,20))</f>
        <v>-0.31754299951791759</v>
      </c>
      <c r="E20" s="23">
        <f>FishHarvestTimeTrends!AD29*((1+' OriginalBCACalculation 7%'!E$10)^MIN(' OriginalBCACalculation 7%'!$A20,20))</f>
        <v>-8.534578261212164E-2</v>
      </c>
      <c r="F20" s="23">
        <f>2*(B6/10)</f>
        <v>1.1400000000000001</v>
      </c>
      <c r="G20" s="27">
        <f t="shared" si="10"/>
        <v>3481.561129536215</v>
      </c>
      <c r="H20" s="22">
        <f>B$8</f>
        <v>2.8000000000000001E-2</v>
      </c>
      <c r="I20" s="22"/>
      <c r="J20" s="41">
        <f t="shared" si="11"/>
        <v>13.642371959222304</v>
      </c>
      <c r="K20" s="41">
        <f t="shared" si="6"/>
        <v>2.6628669345482288</v>
      </c>
      <c r="L20" s="41">
        <f t="shared" si="7"/>
        <v>-0.19774982098704202</v>
      </c>
      <c r="M20" s="41">
        <f t="shared" si="8"/>
        <v>-5.3149064092637179E-2</v>
      </c>
      <c r="N20" s="41">
        <f t="shared" ref="N20:N76" si="15">F20/((1+$M$9)^($A20-1))</f>
        <v>0.70993470574843398</v>
      </c>
      <c r="O20" s="41">
        <f>(G20/((1+$M$9)^($A20-1)))</f>
        <v>2168.1412947741032</v>
      </c>
      <c r="P20" s="41">
        <f t="shared" ref="P20:P76" si="16">H20/((1+$M$9)^($A20-1))</f>
        <v>1.7436992772768552E-2</v>
      </c>
      <c r="R20" s="27">
        <f t="shared" si="13"/>
        <v>3456.1435901689124</v>
      </c>
      <c r="S20" s="27">
        <f t="shared" si="9"/>
        <v>3223.6075262108834</v>
      </c>
      <c r="T20" s="27">
        <f t="shared" si="9"/>
        <v>3008.780981172782</v>
      </c>
      <c r="U20" s="27">
        <f t="shared" si="9"/>
        <v>2810.1610151500854</v>
      </c>
      <c r="V20" s="27">
        <f t="shared" si="9"/>
        <v>2626.3850791534878</v>
      </c>
      <c r="W20" s="27">
        <f t="shared" si="9"/>
        <v>2456.2167237819358</v>
      </c>
      <c r="X20" s="27">
        <f t="shared" si="9"/>
        <v>2298.5328803420748</v>
      </c>
      <c r="Y20" s="27">
        <f t="shared" si="9"/>
        <v>2152.3125286937743</v>
      </c>
    </row>
    <row r="21" spans="1:25" x14ac:dyDescent="0.25">
      <c r="A21" s="21">
        <v>9</v>
      </c>
      <c r="B21" s="22">
        <f>B$2*'Cost Distribution By Year'!C28</f>
        <v>1.6797445255474448</v>
      </c>
      <c r="C21" s="25">
        <f t="shared" si="14"/>
        <v>4.3615020457809353</v>
      </c>
      <c r="D21" s="23">
        <f>FishHarvestTimeTrends!AC30*((1+' OriginalBCACalculation 7%'!D$10)^MIN(' OriginalBCACalculation 7%'!$A21,20))</f>
        <v>-0.24394231149703147</v>
      </c>
      <c r="E21" s="23">
        <f>FishHarvestTimeTrends!AD30*((1+' OriginalBCACalculation 7%'!E$10)^MIN(' OriginalBCACalculation 7%'!$A21,20))</f>
        <v>-7.2090804198112118E-2</v>
      </c>
      <c r="F21" s="23">
        <f>3*(B6/10)</f>
        <v>1.7100000000000002</v>
      </c>
      <c r="G21" s="27">
        <f t="shared" si="10"/>
        <v>3483.3019101009832</v>
      </c>
      <c r="H21" s="22">
        <f t="shared" ref="H21:H84" si="17">B$8</f>
        <v>2.8000000000000001E-2</v>
      </c>
      <c r="I21" s="22"/>
      <c r="J21" s="41">
        <f t="shared" si="11"/>
        <v>0.97762660721189365</v>
      </c>
      <c r="K21" s="41">
        <f t="shared" si="6"/>
        <v>2.5384339002235454</v>
      </c>
      <c r="L21" s="41">
        <f t="shared" si="7"/>
        <v>-0.14197664627991297</v>
      </c>
      <c r="M21" s="41">
        <f t="shared" si="8"/>
        <v>-4.1957504398716747E-2</v>
      </c>
      <c r="N21" s="41">
        <f t="shared" si="15"/>
        <v>0.99523556880621589</v>
      </c>
      <c r="O21" s="41">
        <f>G21/((1+$M$9)^($A21-1))</f>
        <v>2027.3134256275612</v>
      </c>
      <c r="P21" s="41">
        <f t="shared" si="16"/>
        <v>1.6296254927821077E-2</v>
      </c>
      <c r="R21" s="27">
        <f t="shared" si="13"/>
        <v>3478.6826304139595</v>
      </c>
      <c r="S21" s="27">
        <f t="shared" si="9"/>
        <v>3212.5050455279293</v>
      </c>
      <c r="T21" s="27">
        <f t="shared" si="9"/>
        <v>2969.0221294846042</v>
      </c>
      <c r="U21" s="27">
        <f t="shared" si="9"/>
        <v>2746.1041916962718</v>
      </c>
      <c r="V21" s="27">
        <f t="shared" si="9"/>
        <v>2541.8393243540163</v>
      </c>
      <c r="W21" s="27">
        <f t="shared" si="9"/>
        <v>2354.5093322696598</v>
      </c>
      <c r="X21" s="27">
        <f t="shared" si="9"/>
        <v>2182.568518293645</v>
      </c>
      <c r="Y21" s="27">
        <f t="shared" si="9"/>
        <v>2024.6249627931811</v>
      </c>
    </row>
    <row r="22" spans="1:25" x14ac:dyDescent="0.25">
      <c r="A22" s="21">
        <v>10</v>
      </c>
      <c r="B22" s="22">
        <f>B$2*'Cost Distribution By Year'!C29</f>
        <v>1.6797445255474448</v>
      </c>
      <c r="C22" s="25">
        <f t="shared" si="14"/>
        <v>4.4487320866965536</v>
      </c>
      <c r="D22" s="23">
        <f>FishHarvestTimeTrends!AC31*((1+' OriginalBCACalculation 7%'!D$10)^MIN(' OriginalBCACalculation 7%'!$A22,20))</f>
        <v>-0.19428149710205203</v>
      </c>
      <c r="E22" s="23">
        <f>FishHarvestTimeTrends!AD31*((1+' OriginalBCACalculation 7%'!E$10)^MIN(' OriginalBCACalculation 7%'!$A22,20))</f>
        <v>-6.6597232335975212E-2</v>
      </c>
      <c r="F22" s="23">
        <f>4*(B6/10)</f>
        <v>2.2800000000000002</v>
      </c>
      <c r="G22" s="27">
        <f t="shared" si="10"/>
        <v>3485.0435610560335</v>
      </c>
      <c r="H22" s="22">
        <f t="shared" si="17"/>
        <v>2.8000000000000001E-2</v>
      </c>
      <c r="I22" s="22"/>
      <c r="J22" s="41">
        <f t="shared" si="11"/>
        <v>0.91366972636625565</v>
      </c>
      <c r="K22" s="41">
        <f t="shared" si="6"/>
        <v>2.419815493671043</v>
      </c>
      <c r="L22" s="41">
        <f t="shared" si="7"/>
        <v>-0.10567626183357047</v>
      </c>
      <c r="M22" s="41">
        <f t="shared" si="8"/>
        <v>-3.6224481830253036E-2</v>
      </c>
      <c r="N22" s="41">
        <f t="shared" si="15"/>
        <v>1.2401689330918575</v>
      </c>
      <c r="O22" s="41">
        <f>G22/((1+$M$9)^($A22-1))</f>
        <v>1895.632787233995</v>
      </c>
      <c r="P22" s="41">
        <f t="shared" si="16"/>
        <v>1.5230144792356145E-2</v>
      </c>
      <c r="R22" s="27">
        <f t="shared" si="13"/>
        <v>3480.9622057143511</v>
      </c>
      <c r="S22" s="27">
        <f t="shared" si="9"/>
        <v>3182.7823713586395</v>
      </c>
      <c r="T22" s="27">
        <f t="shared" si="9"/>
        <v>2912.7134559351875</v>
      </c>
      <c r="U22" s="27">
        <f t="shared" si="9"/>
        <v>2667.867679115257</v>
      </c>
      <c r="V22" s="27">
        <f t="shared" si="9"/>
        <v>2445.6778727861315</v>
      </c>
      <c r="W22" s="27">
        <f t="shared" si="9"/>
        <v>2243.8592748206411</v>
      </c>
      <c r="X22" s="27">
        <f t="shared" si="9"/>
        <v>2060.3761811684112</v>
      </c>
      <c r="Y22" s="27">
        <f t="shared" si="9"/>
        <v>1893.4128003481778</v>
      </c>
    </row>
    <row r="23" spans="1:25" x14ac:dyDescent="0.25">
      <c r="A23" s="21">
        <v>11</v>
      </c>
      <c r="B23" s="22">
        <f>B$2*'Cost Distribution By Year'!C30</f>
        <v>0.65989963503649618</v>
      </c>
      <c r="C23" s="25">
        <f t="shared" si="14"/>
        <v>4.5377067284304848</v>
      </c>
      <c r="D23" s="23">
        <f>FishHarvestTimeTrends!AC32*((1+' OriginalBCACalculation 7%'!D$10)^MIN(' OriginalBCACalculation 7%'!$A23,20))</f>
        <v>8.6167725856419811E-3</v>
      </c>
      <c r="E23" s="23">
        <f>FishHarvestTimeTrends!AD32*((1+' OriginalBCACalculation 7%'!E$10)^MIN(' OriginalBCACalculation 7%'!$A23,20))</f>
        <v>-3.3324567397867599E-2</v>
      </c>
      <c r="F23" s="23">
        <f>5*(B6/10)</f>
        <v>2.8500000000000005</v>
      </c>
      <c r="H23" s="22">
        <f t="shared" si="17"/>
        <v>2.8000000000000001E-2</v>
      </c>
      <c r="I23" s="22"/>
      <c r="J23" s="41">
        <f t="shared" si="11"/>
        <v>0.33545951235076144</v>
      </c>
      <c r="K23" s="41">
        <f t="shared" si="6"/>
        <v>2.3067400033125831</v>
      </c>
      <c r="L23" s="41">
        <f t="shared" si="7"/>
        <v>4.3803302443969428E-3</v>
      </c>
      <c r="M23" s="41">
        <f t="shared" si="8"/>
        <v>-1.694052024740169E-2</v>
      </c>
      <c r="N23" s="41">
        <f t="shared" si="15"/>
        <v>1.448795482583946</v>
      </c>
      <c r="O23" s="67"/>
      <c r="P23" s="41">
        <f t="shared" si="16"/>
        <v>1.4233780179772098E-2</v>
      </c>
      <c r="R23" s="27">
        <f t="shared" si="13"/>
        <v>-2.3443141582792064</v>
      </c>
      <c r="S23" s="27">
        <f t="shared" si="9"/>
        <v>-2.1222770251922269</v>
      </c>
      <c r="T23" s="27">
        <f t="shared" si="9"/>
        <v>-1.9231541341176026</v>
      </c>
      <c r="U23" s="27">
        <f t="shared" si="9"/>
        <v>-1.7443898997817957</v>
      </c>
      <c r="V23" s="27">
        <f t="shared" si="9"/>
        <v>-1.5837346458044437</v>
      </c>
      <c r="W23" s="27">
        <f t="shared" si="9"/>
        <v>-1.4392055322308541</v>
      </c>
      <c r="X23" s="27">
        <f t="shared" si="9"/>
        <v>-1.3090527814312698</v>
      </c>
      <c r="Y23" s="27">
        <f t="shared" si="9"/>
        <v>-1.1917304429026314</v>
      </c>
    </row>
    <row r="24" spans="1:25" x14ac:dyDescent="0.25">
      <c r="A24" s="21">
        <v>12</v>
      </c>
      <c r="B24" s="22">
        <f>B$2*'Cost Distribution By Year'!C31</f>
        <v>0.6499011557177613</v>
      </c>
      <c r="C24" s="25">
        <f t="shared" si="14"/>
        <v>4.6284608629990949</v>
      </c>
      <c r="D24" s="23">
        <f>FishHarvestTimeTrends!AC33*((1+' OriginalBCACalculation 7%'!D$10)^MIN(' OriginalBCACalculation 7%'!$A24,20))</f>
        <v>0.21183980384499437</v>
      </c>
      <c r="E24" s="23">
        <f>FishHarvestTimeTrends!AD33*((1+' OriginalBCACalculation 7%'!E$10)^MIN(' OriginalBCACalculation 7%'!$A24,20))</f>
        <v>-1.8613145513795979E-5</v>
      </c>
      <c r="F24" s="23">
        <f>6*(B6/10)</f>
        <v>3.4200000000000004</v>
      </c>
      <c r="H24" s="22">
        <f t="shared" si="17"/>
        <v>2.8000000000000001E-2</v>
      </c>
      <c r="I24" s="22"/>
      <c r="J24" s="41">
        <f t="shared" si="11"/>
        <v>0.30876335744547562</v>
      </c>
      <c r="K24" s="41">
        <f t="shared" si="6"/>
        <v>2.1989484143727425</v>
      </c>
      <c r="L24" s="41">
        <f t="shared" si="7"/>
        <v>0.10064356479491621</v>
      </c>
      <c r="M24" s="41">
        <f t="shared" si="8"/>
        <v>-8.8429713517183956E-6</v>
      </c>
      <c r="N24" s="41">
        <f t="shared" si="15"/>
        <v>1.6248173636455465</v>
      </c>
      <c r="O24" s="67"/>
      <c r="P24" s="41">
        <f t="shared" si="16"/>
        <v>1.3302598298852426E-2</v>
      </c>
      <c r="R24" s="27">
        <f t="shared" si="13"/>
        <v>-1.618540828017375</v>
      </c>
      <c r="S24" s="27">
        <f t="shared" si="9"/>
        <v>-1.4507365319228802</v>
      </c>
      <c r="T24" s="27">
        <f t="shared" si="9"/>
        <v>-1.3017325652378235</v>
      </c>
      <c r="U24" s="27">
        <f t="shared" si="9"/>
        <v>-1.1692683312035299</v>
      </c>
      <c r="V24" s="27">
        <f t="shared" si="9"/>
        <v>-1.0513732588367093</v>
      </c>
      <c r="W24" s="27">
        <f t="shared" si="9"/>
        <v>-0.94632730068257254</v>
      </c>
      <c r="X24" s="27">
        <f t="shared" si="9"/>
        <v>-0.85262711753657749</v>
      </c>
      <c r="Y24" s="27">
        <f t="shared" si="9"/>
        <v>-0.76895708805025464</v>
      </c>
    </row>
    <row r="25" spans="1:25" x14ac:dyDescent="0.25">
      <c r="A25" s="21">
        <v>13</v>
      </c>
      <c r="B25" s="22">
        <f>B$2*'Cost Distribution By Year'!C32</f>
        <v>0.3599452554744525</v>
      </c>
      <c r="C25" s="25">
        <f t="shared" si="14"/>
        <v>4.7210300802590766</v>
      </c>
      <c r="D25" s="23">
        <f>FishHarvestTimeTrends!AC34*((1+' OriginalBCACalculation 7%'!D$10)^MIN(' OriginalBCACalculation 7%'!$A25,20))</f>
        <v>0.41538798643962715</v>
      </c>
      <c r="E25" s="23">
        <f>FishHarvestTimeTrends!AD34*((1+' OriginalBCACalculation 7%'!E$10)^MIN(' OriginalBCACalculation 7%'!$A25,20))</f>
        <v>3.3320655392234194E-2</v>
      </c>
      <c r="F25" s="23">
        <f>7*(B6/10)</f>
        <v>3.99</v>
      </c>
      <c r="H25" s="22">
        <f t="shared" si="17"/>
        <v>2.8000000000000001E-2</v>
      </c>
      <c r="I25" s="22"/>
      <c r="J25" s="41">
        <f t="shared" si="11"/>
        <v>0.15981999810261865</v>
      </c>
      <c r="K25" s="41">
        <f t="shared" si="6"/>
        <v>2.0961938155702784</v>
      </c>
      <c r="L25" s="41">
        <f t="shared" si="7"/>
        <v>0.18443723370412282</v>
      </c>
      <c r="M25" s="41">
        <f t="shared" si="8"/>
        <v>1.4794769483891275E-2</v>
      </c>
      <c r="N25" s="41">
        <f t="shared" si="15"/>
        <v>1.7716077173705338</v>
      </c>
      <c r="O25" s="67"/>
      <c r="P25" s="41">
        <f t="shared" si="16"/>
        <v>1.2432334858740589E-2</v>
      </c>
      <c r="R25" s="27">
        <f t="shared" si="13"/>
        <v>-0.61426669390166833</v>
      </c>
      <c r="S25" s="27">
        <f t="shared" si="9"/>
        <v>-0.54513050160922283</v>
      </c>
      <c r="T25" s="27">
        <f t="shared" si="9"/>
        <v>-0.48434509612857174</v>
      </c>
      <c r="U25" s="27">
        <f t="shared" si="9"/>
        <v>-0.4308343001752859</v>
      </c>
      <c r="V25" s="27">
        <f t="shared" si="9"/>
        <v>-0.38366916466628304</v>
      </c>
      <c r="W25" s="27">
        <f t="shared" si="9"/>
        <v>-0.34204667990467025</v>
      </c>
      <c r="X25" s="27">
        <f t="shared" si="9"/>
        <v>-0.30527172793486029</v>
      </c>
      <c r="Y25" s="27">
        <f t="shared" si="9"/>
        <v>-0.27274175825560876</v>
      </c>
    </row>
    <row r="26" spans="1:25" x14ac:dyDescent="0.25">
      <c r="A26" s="21">
        <v>14</v>
      </c>
      <c r="B26" s="22">
        <f>B$2*'Cost Distribution By Year'!C33</f>
        <v>0.32994981751824815</v>
      </c>
      <c r="C26" s="25">
        <f t="shared" si="14"/>
        <v>4.8154506818642577</v>
      </c>
      <c r="D26" s="23">
        <f>FishHarvestTimeTrends!AC35*((1+' OriginalBCACalculation 7%'!D$10)^MIN(' OriginalBCACalculation 7%'!$A26,20))</f>
        <v>0.61926171054893731</v>
      </c>
      <c r="E26" s="23">
        <f>FishHarvestTimeTrends!AD35*((1+' OriginalBCACalculation 7%'!E$10)^MIN(' OriginalBCACalculation 7%'!$A26,20))</f>
        <v>6.6693263203173231E-2</v>
      </c>
      <c r="F26" s="23">
        <f>8*(B6/10)</f>
        <v>4.5600000000000005</v>
      </c>
      <c r="H26" s="22">
        <f t="shared" si="17"/>
        <v>2.8000000000000001E-2</v>
      </c>
      <c r="I26" s="22"/>
      <c r="J26" s="41">
        <f t="shared" si="11"/>
        <v>0.13691744385738358</v>
      </c>
      <c r="K26" s="41">
        <f t="shared" si="6"/>
        <v>1.9982408335342836</v>
      </c>
      <c r="L26" s="41">
        <f t="shared" si="7"/>
        <v>0.25697159381645118</v>
      </c>
      <c r="M26" s="41">
        <f t="shared" si="8"/>
        <v>2.76753331429897E-2</v>
      </c>
      <c r="N26" s="41">
        <f t="shared" si="15"/>
        <v>1.8922378823717316</v>
      </c>
      <c r="O26" s="67"/>
      <c r="P26" s="41">
        <f t="shared" si="16"/>
        <v>1.1619004540879054E-2</v>
      </c>
      <c r="R26" s="27">
        <f t="shared" si="13"/>
        <v>0.12855447436960521</v>
      </c>
      <c r="S26" s="27">
        <f t="shared" si="9"/>
        <v>0.11295600859769821</v>
      </c>
      <c r="T26" s="27">
        <f t="shared" si="9"/>
        <v>9.9376789932275167E-2</v>
      </c>
      <c r="U26" s="27">
        <f t="shared" si="9"/>
        <v>8.7539341584101316E-2</v>
      </c>
      <c r="V26" s="27">
        <f t="shared" si="9"/>
        <v>7.7206485963049534E-2</v>
      </c>
      <c r="W26" s="27">
        <f t="shared" si="9"/>
        <v>6.8175182479184956E-2</v>
      </c>
      <c r="X26" s="27">
        <f t="shared" si="9"/>
        <v>6.0271354068338223E-2</v>
      </c>
      <c r="Y26" s="27">
        <f t="shared" si="9"/>
        <v>5.3345536480384384E-2</v>
      </c>
    </row>
    <row r="27" spans="1:25" x14ac:dyDescent="0.25">
      <c r="A27" s="21">
        <v>15</v>
      </c>
      <c r="B27" s="22">
        <f>B$2*'Cost Distribution By Year'!C34</f>
        <v>0.26995894160583939</v>
      </c>
      <c r="C27" s="25">
        <f t="shared" si="14"/>
        <v>4.9117596955015426</v>
      </c>
      <c r="D27" s="23">
        <f>FishHarvestTimeTrends!AC36*((1+' OriginalBCACalculation 7%'!D$10)^MIN(' OriginalBCACalculation 7%'!$A27,20))</f>
        <v>0.82346136676851034</v>
      </c>
      <c r="E27" s="23">
        <f>FishHarvestTimeTrends!AD36*((1+' OriginalBCACalculation 7%'!E$10)^MIN(' OriginalBCACalculation 7%'!$A27,20))</f>
        <v>0.10009923529175935</v>
      </c>
      <c r="F27" s="23">
        <f>9*(B6/10)</f>
        <v>5.1300000000000008</v>
      </c>
      <c r="H27" s="22">
        <f t="shared" si="17"/>
        <v>2.8000000000000001E-2</v>
      </c>
      <c r="I27" s="22"/>
      <c r="J27" s="41">
        <f t="shared" si="11"/>
        <v>0.10469473192153375</v>
      </c>
      <c r="K27" s="41">
        <f t="shared" si="6"/>
        <v>1.9048650936495042</v>
      </c>
      <c r="L27" s="41">
        <f t="shared" si="7"/>
        <v>0.31935251534451914</v>
      </c>
      <c r="M27" s="41">
        <f t="shared" si="8"/>
        <v>3.8820209258794147E-2</v>
      </c>
      <c r="N27" s="41">
        <f t="shared" si="15"/>
        <v>1.9895024464188771</v>
      </c>
      <c r="O27" s="67"/>
      <c r="P27" s="41">
        <f t="shared" si="16"/>
        <v>1.0858882748485097E-2</v>
      </c>
      <c r="R27" s="27">
        <f t="shared" si="13"/>
        <v>0.89984196495288771</v>
      </c>
      <c r="S27" s="27">
        <f t="shared" si="9"/>
        <v>0.78282918798011336</v>
      </c>
      <c r="T27" s="27">
        <f t="shared" si="9"/>
        <v>0.68196775131424447</v>
      </c>
      <c r="U27" s="27">
        <f t="shared" si="9"/>
        <v>0.59490154545316798</v>
      </c>
      <c r="V27" s="27">
        <f t="shared" si="9"/>
        <v>0.51963631323770532</v>
      </c>
      <c r="W27" s="27">
        <f t="shared" si="9"/>
        <v>0.45448133925822043</v>
      </c>
      <c r="X27" s="27">
        <f t="shared" si="9"/>
        <v>0.39800096888796205</v>
      </c>
      <c r="Y27" s="27">
        <f t="shared" si="9"/>
        <v>0.34897422819963725</v>
      </c>
    </row>
    <row r="28" spans="1:25" x14ac:dyDescent="0.25">
      <c r="A28" s="21">
        <v>16</v>
      </c>
      <c r="B28" s="22">
        <f>B$2*'Cost Distribution By Year'!C35</f>
        <v>0.25996046228710451</v>
      </c>
      <c r="C28" s="25">
        <f t="shared" si="14"/>
        <v>5.0099948894115736</v>
      </c>
      <c r="D28" s="23">
        <f>FishHarvestTimeTrends!AC37*((1+' OriginalBCACalculation 7%'!D$10)^MIN(' OriginalBCACalculation 7%'!$A28,20))</f>
        <v>0.96530840130180551</v>
      </c>
      <c r="E28" s="23">
        <f>FishHarvestTimeTrends!AD37*((1+' OriginalBCACalculation 7%'!E$10)^MIN(' OriginalBCACalculation 7%'!$A28,20))</f>
        <v>0.12312041225906903</v>
      </c>
      <c r="F28" s="23">
        <f>10*(B6/10)</f>
        <v>5.7000000000000011</v>
      </c>
      <c r="H28" s="22">
        <f t="shared" si="17"/>
        <v>2.8000000000000001E-2</v>
      </c>
      <c r="I28" s="22"/>
      <c r="J28" s="41">
        <f t="shared" si="11"/>
        <v>9.4221634820348787E-2</v>
      </c>
      <c r="K28" s="41">
        <f t="shared" si="6"/>
        <v>1.8158527060957887</v>
      </c>
      <c r="L28" s="41">
        <f t="shared" si="7"/>
        <v>0.34987218777916901</v>
      </c>
      <c r="M28" s="41">
        <f t="shared" si="8"/>
        <v>4.4624503360025956E-2</v>
      </c>
      <c r="N28" s="41">
        <f t="shared" si="15"/>
        <v>2.0659423119614506</v>
      </c>
      <c r="O28" s="67"/>
      <c r="P28" s="41">
        <f t="shared" si="16"/>
        <v>1.0148488549986071E-2</v>
      </c>
      <c r="R28" s="27">
        <f t="shared" si="13"/>
        <v>1.5464734618621971</v>
      </c>
      <c r="S28" s="27">
        <f t="shared" si="9"/>
        <v>1.3320541042110288</v>
      </c>
      <c r="T28" s="27">
        <f t="shared" si="9"/>
        <v>1.1490525616999512</v>
      </c>
      <c r="U28" s="27">
        <f t="shared" si="9"/>
        <v>0.99262246782821351</v>
      </c>
      <c r="V28" s="27">
        <f t="shared" si="9"/>
        <v>0.85870181776018939</v>
      </c>
      <c r="W28" s="27">
        <f t="shared" si="9"/>
        <v>0.74388017689965069</v>
      </c>
      <c r="X28" s="27">
        <f t="shared" si="9"/>
        <v>0.64528934298983098</v>
      </c>
      <c r="Y28" s="27">
        <f t="shared" si="9"/>
        <v>0.56051315073449381</v>
      </c>
    </row>
    <row r="29" spans="1:25" x14ac:dyDescent="0.25">
      <c r="A29" s="21">
        <v>17</v>
      </c>
      <c r="B29" s="22">
        <f>B$2*'Cost Distribution By Year'!C36</f>
        <v>0.11998175182481749</v>
      </c>
      <c r="C29" s="25">
        <f t="shared" si="14"/>
        <v>5.1101947871998048</v>
      </c>
      <c r="D29" s="23">
        <f>FishHarvestTimeTrends!AC38*((1+' OriginalBCACalculation 7%'!D$10)^MIN(' OriginalBCACalculation 7%'!$A29,20))</f>
        <v>1.1073818640750788</v>
      </c>
      <c r="E29" s="23">
        <f>FishHarvestTimeTrends!AD38*((1+' OriginalBCACalculation 7%'!E$10)^MIN(' OriginalBCACalculation 7%'!$A29,20))</f>
        <v>0.14616458537853716</v>
      </c>
      <c r="F29" s="23">
        <f t="shared" ref="F29:F33" si="18">F28*(1+F$10)</f>
        <v>5.7028500000000006</v>
      </c>
      <c r="H29" s="22">
        <f t="shared" si="17"/>
        <v>2.8000000000000001E-2</v>
      </c>
      <c r="I29" s="22"/>
      <c r="J29" s="41">
        <f t="shared" si="11"/>
        <v>4.0641970447310778E-2</v>
      </c>
      <c r="K29" s="41">
        <f t="shared" si="6"/>
        <v>1.7309997759043969</v>
      </c>
      <c r="L29" s="41">
        <f t="shared" si="7"/>
        <v>0.37510855033471863</v>
      </c>
      <c r="M29" s="41">
        <f t="shared" si="8"/>
        <v>4.9511002040305271E-2</v>
      </c>
      <c r="N29" s="41">
        <f t="shared" si="15"/>
        <v>1.9317526010443284</v>
      </c>
      <c r="O29" s="67"/>
      <c r="P29" s="41">
        <f t="shared" si="16"/>
        <v>9.4845687383047408E-3</v>
      </c>
      <c r="R29" s="27">
        <f t="shared" si="13"/>
        <v>1.7542199104289935</v>
      </c>
      <c r="S29" s="27">
        <f t="shared" si="13"/>
        <v>1.4960360381995041</v>
      </c>
      <c r="T29" s="27">
        <f t="shared" si="13"/>
        <v>1.2778541500861598</v>
      </c>
      <c r="U29" s="27">
        <f t="shared" si="13"/>
        <v>1.093171852301019</v>
      </c>
      <c r="V29" s="27">
        <f t="shared" si="13"/>
        <v>0.93659235212892344</v>
      </c>
      <c r="W29" s="27">
        <f t="shared" si="13"/>
        <v>0.80362835307424396</v>
      </c>
      <c r="X29" s="27">
        <f t="shared" si="13"/>
        <v>0.69054214855532858</v>
      </c>
      <c r="Y29" s="27">
        <f t="shared" si="13"/>
        <v>0.59421497580594906</v>
      </c>
    </row>
    <row r="30" spans="1:25" x14ac:dyDescent="0.25">
      <c r="A30" s="21">
        <v>18</v>
      </c>
      <c r="B30" s="22">
        <f>B$2*'Cost Distribution By Year'!C37</f>
        <v>0.11998175182481749</v>
      </c>
      <c r="C30" s="25">
        <f t="shared" si="14"/>
        <v>5.2123986829438014</v>
      </c>
      <c r="D30" s="23">
        <f>FishHarvestTimeTrends!AC39*((1+' OriginalBCACalculation 7%'!D$10)^MIN(' OriginalBCACalculation 7%'!$A30,20))</f>
        <v>1.2496820265914128</v>
      </c>
      <c r="E30" s="23">
        <f>FishHarvestTimeTrends!AD39*((1+' OriginalBCACalculation 7%'!E$10)^MIN(' OriginalBCACalculation 7%'!$A30,20))</f>
        <v>0.1692317718910217</v>
      </c>
      <c r="F30" s="23">
        <f t="shared" si="18"/>
        <v>5.705701425</v>
      </c>
      <c r="H30" s="22">
        <f t="shared" si="17"/>
        <v>2.8000000000000001E-2</v>
      </c>
      <c r="I30" s="22"/>
      <c r="J30" s="41">
        <f t="shared" si="11"/>
        <v>3.798314995075773E-2</v>
      </c>
      <c r="K30" s="41">
        <f t="shared" si="6"/>
        <v>1.6501119359088645</v>
      </c>
      <c r="L30" s="41">
        <f t="shared" si="7"/>
        <v>0.39561732584213039</v>
      </c>
      <c r="M30" s="41">
        <f t="shared" si="8"/>
        <v>5.3574445033561527E-2</v>
      </c>
      <c r="N30" s="41">
        <f t="shared" si="15"/>
        <v>1.8062789507895798</v>
      </c>
      <c r="O30" s="67"/>
      <c r="P30" s="41">
        <f t="shared" si="16"/>
        <v>8.8640829329950845E-3</v>
      </c>
      <c r="R30" s="27">
        <f t="shared" ref="R30:Y45" si="19">(SUM($D30:$H30)-SUM($B30:$C30))/((1+R$10)^($A30-1))</f>
        <v>1.8202347887138153</v>
      </c>
      <c r="S30" s="27">
        <f t="shared" si="19"/>
        <v>1.5369652772502596</v>
      </c>
      <c r="T30" s="27">
        <f t="shared" si="19"/>
        <v>1.2999435409956792</v>
      </c>
      <c r="U30" s="27">
        <f t="shared" si="19"/>
        <v>1.1012719824706405</v>
      </c>
      <c r="V30" s="27">
        <f t="shared" si="19"/>
        <v>0.9344598416943225</v>
      </c>
      <c r="W30" s="27">
        <f t="shared" si="19"/>
        <v>0.79416240898988633</v>
      </c>
      <c r="X30" s="27">
        <f t="shared" si="19"/>
        <v>0.67597043402066015</v>
      </c>
      <c r="Y30" s="27">
        <f t="shared" si="19"/>
        <v>0.57623971873864444</v>
      </c>
    </row>
    <row r="31" spans="1:25" x14ac:dyDescent="0.25">
      <c r="A31" s="21">
        <v>19</v>
      </c>
      <c r="B31" s="22">
        <f>B$2*'Cost Distribution By Year'!C38</f>
        <v>9.9984793187347903E-2</v>
      </c>
      <c r="C31" s="25">
        <f t="shared" si="14"/>
        <v>5.3166466566026775</v>
      </c>
      <c r="D31" s="23">
        <f>FishHarvestTimeTrends!AC40*((1+' OriginalBCACalculation 7%'!D$10)^MIN(' OriginalBCACalculation 7%'!$A31,20))</f>
        <v>1.39220916064338</v>
      </c>
      <c r="E31" s="23">
        <f>FishHarvestTimeTrends!AD40*((1+' OriginalBCACalculation 7%'!E$10)^MIN(' OriginalBCACalculation 7%'!$A31,20))</f>
        <v>0.19232198904887243</v>
      </c>
      <c r="F31" s="23">
        <f t="shared" si="18"/>
        <v>5.7085542757124994</v>
      </c>
      <c r="H31" s="22">
        <f t="shared" si="17"/>
        <v>2.8000000000000001E-2</v>
      </c>
      <c r="I31" s="22"/>
      <c r="J31" s="41">
        <f t="shared" si="11"/>
        <v>2.9581892485013809E-2</v>
      </c>
      <c r="K31" s="41">
        <f t="shared" si="6"/>
        <v>1.5730039015205999</v>
      </c>
      <c r="L31" s="41">
        <f t="shared" si="7"/>
        <v>0.41190445460675551</v>
      </c>
      <c r="M31" s="41">
        <f t="shared" si="8"/>
        <v>5.690113687475893E-2</v>
      </c>
      <c r="N31" s="41">
        <f t="shared" si="15"/>
        <v>1.688955224546705</v>
      </c>
      <c r="O31" s="67"/>
      <c r="P31" s="41">
        <f t="shared" si="16"/>
        <v>8.2841896570047518E-3</v>
      </c>
      <c r="R31" s="27">
        <f t="shared" si="19"/>
        <v>1.9044539756147261</v>
      </c>
      <c r="S31" s="27">
        <f t="shared" si="19"/>
        <v>1.5921564976939382</v>
      </c>
      <c r="T31" s="27">
        <f t="shared" si="19"/>
        <v>1.333421305217203</v>
      </c>
      <c r="U31" s="27">
        <f t="shared" si="19"/>
        <v>1.1186659957294818</v>
      </c>
      <c r="V31" s="27">
        <f t="shared" si="19"/>
        <v>0.94009203753523063</v>
      </c>
      <c r="W31" s="27">
        <f t="shared" si="19"/>
        <v>0.79133996311241273</v>
      </c>
      <c r="X31" s="27">
        <f t="shared" si="19"/>
        <v>0.66721362584794841</v>
      </c>
      <c r="Y31" s="27">
        <f t="shared" si="19"/>
        <v>0.56345921167961044</v>
      </c>
    </row>
    <row r="32" spans="1:25" x14ac:dyDescent="0.25">
      <c r="A32" s="21">
        <v>20</v>
      </c>
      <c r="C32" s="25">
        <f t="shared" si="14"/>
        <v>5.422979589734731</v>
      </c>
      <c r="D32" s="23">
        <f>FishHarvestTimeTrends!AC41*((1+' OriginalBCACalculation 7%'!D$10)^MIN(' OriginalBCACalculation 7%'!$A32,20))</f>
        <v>1.5349635383133331</v>
      </c>
      <c r="E32" s="23">
        <f>FishHarvestTimeTrends!AD41*((1+' OriginalBCACalculation 7%'!E$10)^MIN(' OriginalBCACalculation 7%'!$A32,20))</f>
        <v>0.215435254115938</v>
      </c>
      <c r="F32" s="23">
        <f t="shared" si="18"/>
        <v>5.7114085528503553</v>
      </c>
      <c r="H32" s="22">
        <f t="shared" si="17"/>
        <v>2.8000000000000001E-2</v>
      </c>
      <c r="I32" s="22"/>
      <c r="J32" s="41"/>
      <c r="K32" s="41">
        <f t="shared" si="6"/>
        <v>1.4994990463093567</v>
      </c>
      <c r="L32" s="41">
        <f>D44/((1+$M$9)^($A32-1))</f>
        <v>0.50321126939901983</v>
      </c>
      <c r="M32" s="41">
        <f>E44/((1+$M$9)^($A32-1))</f>
        <v>7.1947721141549875E-2</v>
      </c>
      <c r="N32" s="41">
        <f t="shared" si="15"/>
        <v>1.5792520580925029</v>
      </c>
      <c r="O32" s="67"/>
      <c r="P32" s="41">
        <f t="shared" si="16"/>
        <v>7.7422333243035062E-3</v>
      </c>
      <c r="R32" s="27">
        <f t="shared" ref="R32:Y43" si="20">(SUM($D32:$H32)-SUM($B32:$C32))/((1+R$10)^($A32-1))</f>
        <v>2.0668277555448951</v>
      </c>
      <c r="S32" s="27">
        <f t="shared" si="20"/>
        <v>1.710795830778427</v>
      </c>
      <c r="T32" s="27">
        <f t="shared" si="20"/>
        <v>1.4187341465528587</v>
      </c>
      <c r="U32" s="27">
        <f t="shared" si="20"/>
        <v>1.1786829888143069</v>
      </c>
      <c r="V32" s="27">
        <f t="shared" si="20"/>
        <v>0.98100413598429348</v>
      </c>
      <c r="W32" s="27">
        <f t="shared" si="20"/>
        <v>0.81791392617362391</v>
      </c>
      <c r="X32" s="27">
        <f t="shared" si="20"/>
        <v>0.68311346366854986</v>
      </c>
      <c r="Y32" s="27">
        <f t="shared" si="20"/>
        <v>0.57149509730625381</v>
      </c>
    </row>
    <row r="33" spans="1:25" x14ac:dyDescent="0.25">
      <c r="A33" s="21">
        <v>21</v>
      </c>
      <c r="C33" s="25">
        <f>C32</f>
        <v>5.422979589734731</v>
      </c>
      <c r="D33" s="23">
        <f>FishHarvestTimeTrends!AC42*((1+' OriginalBCACalculation 7%'!D$10)^MIN(' OriginalBCACalculation 7%'!$A33,20))</f>
        <v>1.5772550471010494</v>
      </c>
      <c r="E33" s="23">
        <f>FishHarvestTimeTrends!AD42*((1+' OriginalBCACalculation 7%'!E$10)^MIN(' OriginalBCACalculation 7%'!$A33,20))</f>
        <v>0.22230750690404252</v>
      </c>
      <c r="F33" s="23">
        <f t="shared" si="18"/>
        <v>5.7142642571267803</v>
      </c>
      <c r="H33" s="22">
        <f t="shared" si="17"/>
        <v>2.8000000000000001E-2</v>
      </c>
      <c r="I33" s="22"/>
      <c r="J33" s="41"/>
      <c r="K33" s="41">
        <f t="shared" si="6"/>
        <v>1.401400977859212</v>
      </c>
      <c r="L33" s="41">
        <f t="shared" ref="L33:M33" si="21">D45/((1+$M$9)^($A33-1))</f>
        <v>0.47088791004911379</v>
      </c>
      <c r="M33" s="41">
        <f t="shared" si="21"/>
        <v>6.7327269064336615E-2</v>
      </c>
      <c r="N33" s="41">
        <f t="shared" si="15"/>
        <v>1.4766744711416349</v>
      </c>
      <c r="O33" s="67"/>
      <c r="P33" s="41">
        <f t="shared" si="16"/>
        <v>7.2357320787883239E-3</v>
      </c>
      <c r="R33" s="27">
        <f t="shared" si="20"/>
        <v>2.1188472213971412</v>
      </c>
      <c r="S33" s="27">
        <f t="shared" si="20"/>
        <v>1.7364895237855702</v>
      </c>
      <c r="T33" s="27">
        <f t="shared" si="20"/>
        <v>1.4259234392359381</v>
      </c>
      <c r="U33" s="27">
        <f t="shared" si="20"/>
        <v>1.1731543333126824</v>
      </c>
      <c r="V33" s="27">
        <f t="shared" si="20"/>
        <v>0.96701421284053424</v>
      </c>
      <c r="W33" s="27">
        <f t="shared" si="20"/>
        <v>0.79857123355926274</v>
      </c>
      <c r="X33" s="27">
        <f t="shared" si="20"/>
        <v>0.66066657918107419</v>
      </c>
      <c r="Y33" s="27">
        <f t="shared" si="20"/>
        <v>0.54755038606838569</v>
      </c>
    </row>
    <row r="34" spans="1:25" x14ac:dyDescent="0.25">
      <c r="A34" s="21">
        <v>22</v>
      </c>
      <c r="C34" s="25">
        <f t="shared" ref="C34:C97" si="22">C33</f>
        <v>5.422979589734731</v>
      </c>
      <c r="D34" s="23">
        <f>FishHarvestTimeTrends!AC43*((1+' OriginalBCACalculation 7%'!D$10)^MIN(' OriginalBCACalculation 7%'!$A34,20))</f>
        <v>1.6195465558887661</v>
      </c>
      <c r="E34" s="23">
        <f>FishHarvestTimeTrends!AD43*((1+' OriginalBCACalculation 7%'!E$10)^MIN(' OriginalBCACalculation 7%'!$A34,20))</f>
        <v>0.22917975969214707</v>
      </c>
      <c r="F34" s="23">
        <f t="shared" ref="F34:F85" si="23">F33*(1+F$10)</f>
        <v>5.7171213892553432</v>
      </c>
      <c r="H34" s="22">
        <f t="shared" si="17"/>
        <v>2.8000000000000001E-2</v>
      </c>
      <c r="I34" s="22"/>
      <c r="J34" s="41"/>
      <c r="K34" s="41">
        <f t="shared" si="6"/>
        <v>1.3097205400553382</v>
      </c>
      <c r="L34" s="41">
        <f t="shared" ref="L34:M34" si="24">D46/((1+$M$9)^($A34-1))</f>
        <v>0.4406401066521824</v>
      </c>
      <c r="M34" s="41">
        <f t="shared" si="24"/>
        <v>6.3003436681046798E-2</v>
      </c>
      <c r="N34" s="41">
        <f t="shared" si="15"/>
        <v>1.3807596339973882</v>
      </c>
      <c r="O34" s="67"/>
      <c r="P34" s="41">
        <f t="shared" si="16"/>
        <v>6.7623664287741339E-3</v>
      </c>
      <c r="R34" s="27">
        <f t="shared" si="20"/>
        <v>2.1708681151015252</v>
      </c>
      <c r="S34" s="27">
        <f t="shared" si="20"/>
        <v>1.7615078807554481</v>
      </c>
      <c r="T34" s="27">
        <f t="shared" si="20"/>
        <v>1.4322862837467158</v>
      </c>
      <c r="U34" s="27">
        <f t="shared" si="20"/>
        <v>1.1669485833668976</v>
      </c>
      <c r="V34" s="27">
        <f t="shared" si="20"/>
        <v>0.95264987467013451</v>
      </c>
      <c r="W34" s="27">
        <f t="shared" si="20"/>
        <v>0.77921653455818995</v>
      </c>
      <c r="X34" s="27">
        <f t="shared" si="20"/>
        <v>0.63857258465560329</v>
      </c>
      <c r="Y34" s="27">
        <f t="shared" si="20"/>
        <v>0.52429305938781201</v>
      </c>
    </row>
    <row r="35" spans="1:25" x14ac:dyDescent="0.25">
      <c r="A35" s="21">
        <v>23</v>
      </c>
      <c r="C35" s="25">
        <f t="shared" si="22"/>
        <v>5.422979589734731</v>
      </c>
      <c r="D35" s="23">
        <f>FishHarvestTimeTrends!AC44*((1+' OriginalBCACalculation 7%'!D$10)^MIN(' OriginalBCACalculation 7%'!$A35,20))</f>
        <v>1.6618380646764821</v>
      </c>
      <c r="E35" s="23">
        <f>FishHarvestTimeTrends!AD44*((1+' OriginalBCACalculation 7%'!E$10)^MIN(' OriginalBCACalculation 7%'!$A35,20))</f>
        <v>0.23605201248025157</v>
      </c>
      <c r="F35" s="23">
        <f t="shared" si="23"/>
        <v>5.7199799499499706</v>
      </c>
      <c r="H35" s="22">
        <f t="shared" si="17"/>
        <v>2.8000000000000001E-2</v>
      </c>
      <c r="I35" s="22"/>
      <c r="J35" s="41"/>
      <c r="K35" s="41">
        <f t="shared" si="6"/>
        <v>1.2240378879021854</v>
      </c>
      <c r="L35" s="41">
        <f t="shared" ref="L35:M35" si="25">D47/((1+$M$9)^($A35-1))</f>
        <v>0.41233463026164435</v>
      </c>
      <c r="M35" s="41">
        <f t="shared" si="25"/>
        <v>5.8957188779023097E-2</v>
      </c>
      <c r="N35" s="41">
        <f t="shared" si="15"/>
        <v>1.2910747792657822</v>
      </c>
      <c r="O35" s="67"/>
      <c r="P35" s="41">
        <f t="shared" si="16"/>
        <v>6.319968625022555E-3</v>
      </c>
      <c r="R35" s="27">
        <f t="shared" si="20"/>
        <v>2.2228904373719729</v>
      </c>
      <c r="S35" s="27">
        <f t="shared" si="20"/>
        <v>1.7858617450385768</v>
      </c>
      <c r="T35" s="27">
        <f t="shared" si="20"/>
        <v>1.437852307757949</v>
      </c>
      <c r="U35" s="27">
        <f t="shared" si="20"/>
        <v>1.1601098495480433</v>
      </c>
      <c r="V35" s="27">
        <f t="shared" si="20"/>
        <v>0.9379605939832184</v>
      </c>
      <c r="W35" s="27">
        <f t="shared" si="20"/>
        <v>0.75989480945529353</v>
      </c>
      <c r="X35" s="27">
        <f t="shared" si="20"/>
        <v>0.61686342623928114</v>
      </c>
      <c r="Y35" s="27">
        <f t="shared" si="20"/>
        <v>0.50173563646619768</v>
      </c>
    </row>
    <row r="36" spans="1:25" x14ac:dyDescent="0.25">
      <c r="A36" s="21">
        <v>24</v>
      </c>
      <c r="C36" s="25">
        <f t="shared" si="22"/>
        <v>5.422979589734731</v>
      </c>
      <c r="D36" s="23">
        <f>FishHarvestTimeTrends!AC45*((1+' OriginalBCACalculation 7%'!D$10)^MIN(' OriginalBCACalculation 7%'!$A36,20))</f>
        <v>1.7041295734641988</v>
      </c>
      <c r="E36" s="23">
        <f>FishHarvestTimeTrends!AD45*((1+' OriginalBCACalculation 7%'!E$10)^MIN(' OriginalBCACalculation 7%'!$A36,20))</f>
        <v>0.24292426526835609</v>
      </c>
      <c r="F36" s="23">
        <f t="shared" si="23"/>
        <v>5.7228399399249454</v>
      </c>
      <c r="H36" s="22">
        <f t="shared" si="17"/>
        <v>2.8000000000000001E-2</v>
      </c>
      <c r="I36" s="22"/>
      <c r="J36" s="41"/>
      <c r="K36" s="41">
        <f t="shared" si="6"/>
        <v>1.1439606428992386</v>
      </c>
      <c r="L36" s="41">
        <f t="shared" ref="L36:M36" si="26">D48/((1+$M$9)^($A36-1))</f>
        <v>0.3858468006880395</v>
      </c>
      <c r="M36" s="41">
        <f t="shared" si="26"/>
        <v>5.5170711246451766E-2</v>
      </c>
      <c r="N36" s="41">
        <f t="shared" si="15"/>
        <v>1.2072152492106683</v>
      </c>
      <c r="O36" s="67"/>
      <c r="P36" s="41">
        <f t="shared" si="16"/>
        <v>5.9065127336659397E-3</v>
      </c>
      <c r="R36" s="27">
        <f t="shared" si="20"/>
        <v>2.2749141889227689</v>
      </c>
      <c r="S36" s="27">
        <f t="shared" si="20"/>
        <v>1.809561811571093</v>
      </c>
      <c r="T36" s="27">
        <f t="shared" si="20"/>
        <v>1.4426502951596596</v>
      </c>
      <c r="U36" s="27">
        <f t="shared" si="20"/>
        <v>1.1526802479127984</v>
      </c>
      <c r="V36" s="27">
        <f t="shared" si="20"/>
        <v>0.92299259248447063</v>
      </c>
      <c r="W36" s="27">
        <f t="shared" si="20"/>
        <v>0.74064678306321463</v>
      </c>
      <c r="X36" s="27">
        <f t="shared" si="20"/>
        <v>0.59556630420274925</v>
      </c>
      <c r="Y36" s="27">
        <f t="shared" si="20"/>
        <v>0.47988605803105916</v>
      </c>
    </row>
    <row r="37" spans="1:25" x14ac:dyDescent="0.25">
      <c r="A37" s="21">
        <v>25</v>
      </c>
      <c r="C37" s="25">
        <f t="shared" si="22"/>
        <v>5.422979589734731</v>
      </c>
      <c r="D37" s="23">
        <f>FishHarvestTimeTrends!AC46*((1+' OriginalBCACalculation 7%'!D$10)^MIN(' OriginalBCACalculation 7%'!$A37,20))</f>
        <v>1.7464210822519153</v>
      </c>
      <c r="E37" s="23">
        <f>FishHarvestTimeTrends!AD46*((1+' OriginalBCACalculation 7%'!E$10)^MIN(' OriginalBCACalculation 7%'!$A37,20))</f>
        <v>0.24979651805646064</v>
      </c>
      <c r="F37" s="23">
        <f t="shared" si="23"/>
        <v>5.7257013598949076</v>
      </c>
      <c r="H37" s="22">
        <f t="shared" si="17"/>
        <v>2.8000000000000001E-2</v>
      </c>
      <c r="I37" s="22"/>
      <c r="J37" s="41"/>
      <c r="K37" s="41">
        <f t="shared" si="6"/>
        <v>1.0691220961675125</v>
      </c>
      <c r="L37" s="41">
        <f t="shared" ref="L37:M37" si="27">D49/((1+$M$9)^($A37-1))</f>
        <v>0.36105993816993648</v>
      </c>
      <c r="M37" s="41">
        <f t="shared" si="27"/>
        <v>5.1627332770009318E-2</v>
      </c>
      <c r="N37" s="41">
        <f t="shared" si="15"/>
        <v>1.1288026699395077</v>
      </c>
      <c r="O37" s="67"/>
      <c r="P37" s="41">
        <f t="shared" si="16"/>
        <v>5.5201053585662982E-3</v>
      </c>
      <c r="R37" s="27">
        <f t="shared" si="20"/>
        <v>2.3269393704685521</v>
      </c>
      <c r="S37" s="27">
        <f t="shared" si="20"/>
        <v>1.8326186287497093</v>
      </c>
      <c r="T37" s="27">
        <f t="shared" si="20"/>
        <v>1.4467082077511872</v>
      </c>
      <c r="U37" s="27">
        <f t="shared" si="20"/>
        <v>1.1446999787501009</v>
      </c>
      <c r="V37" s="27">
        <f t="shared" si="20"/>
        <v>0.90778901791657562</v>
      </c>
      <c r="W37" s="27">
        <f t="shared" si="20"/>
        <v>0.72150922795560957</v>
      </c>
      <c r="X37" s="27">
        <f t="shared" si="20"/>
        <v>0.57470410777985492</v>
      </c>
      <c r="Y37" s="27">
        <f t="shared" si="20"/>
        <v>0.45874823171365509</v>
      </c>
    </row>
    <row r="38" spans="1:25" x14ac:dyDescent="0.25">
      <c r="A38" s="21">
        <v>26</v>
      </c>
      <c r="C38" s="25">
        <f t="shared" si="22"/>
        <v>5.422979589734731</v>
      </c>
      <c r="D38" s="23">
        <f>FishHarvestTimeTrends!AC47*((1+' OriginalBCACalculation 7%'!D$10)^MIN(' OriginalBCACalculation 7%'!$A38,20))</f>
        <v>1.760188261198198</v>
      </c>
      <c r="E38" s="23">
        <f>FishHarvestTimeTrends!AD47*((1+' OriginalBCACalculation 7%'!E$10)^MIN(' OriginalBCACalculation 7%'!$A38,20))</f>
        <v>0.25174364840002228</v>
      </c>
      <c r="F38" s="23">
        <f t="shared" si="23"/>
        <v>5.7285642105748549</v>
      </c>
      <c r="H38" s="22">
        <f t="shared" si="17"/>
        <v>2.8000000000000001E-2</v>
      </c>
      <c r="I38" s="22"/>
      <c r="J38" s="41"/>
      <c r="K38" s="41">
        <f t="shared" si="6"/>
        <v>0.99917952912851637</v>
      </c>
      <c r="L38" s="41">
        <f t="shared" ref="L38:M38" si="28">D50/((1+$M$9)^($A38-1))</f>
        <v>0.33786485020143636</v>
      </c>
      <c r="M38" s="41">
        <f t="shared" si="28"/>
        <v>4.8311451551548763E-2</v>
      </c>
      <c r="N38" s="41">
        <f t="shared" si="15"/>
        <v>1.0554832441817548</v>
      </c>
      <c r="O38" s="67"/>
      <c r="P38" s="41">
        <f t="shared" si="16"/>
        <v>5.1589769706227081E-3</v>
      </c>
      <c r="R38" s="27">
        <f t="shared" si="20"/>
        <v>2.3455165304383438</v>
      </c>
      <c r="S38" s="27">
        <f t="shared" si="20"/>
        <v>1.828959772956088</v>
      </c>
      <c r="T38" s="27">
        <f t="shared" si="20"/>
        <v>1.429664732636553</v>
      </c>
      <c r="U38" s="27">
        <f t="shared" si="20"/>
        <v>1.1202317577326382</v>
      </c>
      <c r="V38" s="27">
        <f t="shared" si="20"/>
        <v>0.87984266053184346</v>
      </c>
      <c r="W38" s="27">
        <f t="shared" si="20"/>
        <v>0.69263753250136129</v>
      </c>
      <c r="X38" s="27">
        <f t="shared" si="20"/>
        <v>0.54650213941638204</v>
      </c>
      <c r="Y38" s="27">
        <f t="shared" si="20"/>
        <v>0.43215949159808187</v>
      </c>
    </row>
    <row r="39" spans="1:25" x14ac:dyDescent="0.25">
      <c r="A39" s="21">
        <v>27</v>
      </c>
      <c r="C39" s="25">
        <f t="shared" si="22"/>
        <v>5.422979589734731</v>
      </c>
      <c r="D39" s="23">
        <f>FishHarvestTimeTrends!AC48*((1+' OriginalBCACalculation 7%'!D$10)^MIN(' OriginalBCACalculation 7%'!$A39,20))</f>
        <v>1.7739554401444804</v>
      </c>
      <c r="E39" s="23">
        <f>FishHarvestTimeTrends!AD48*((1+' OriginalBCACalculation 7%'!E$10)^MIN(' OriginalBCACalculation 7%'!$A39,20))</f>
        <v>0.25369077874358398</v>
      </c>
      <c r="F39" s="23">
        <f t="shared" si="23"/>
        <v>5.7314284926801422</v>
      </c>
      <c r="H39" s="22">
        <f t="shared" si="17"/>
        <v>2.8000000000000001E-2</v>
      </c>
      <c r="I39" s="22"/>
      <c r="J39" s="41"/>
      <c r="K39" s="41">
        <f t="shared" si="6"/>
        <v>0.93381264404534248</v>
      </c>
      <c r="L39" s="41">
        <f t="shared" ref="L39:M39" si="29">D51/((1+$M$9)^($A39-1))</f>
        <v>0.3161593512631124</v>
      </c>
      <c r="M39" s="41">
        <f t="shared" si="29"/>
        <v>4.5208466722250894E-2</v>
      </c>
      <c r="N39" s="41">
        <f t="shared" si="15"/>
        <v>0.98692615495686509</v>
      </c>
      <c r="O39" s="67"/>
      <c r="P39" s="41">
        <f t="shared" si="16"/>
        <v>4.8214738043202889E-3</v>
      </c>
      <c r="R39" s="27">
        <f t="shared" si="20"/>
        <v>2.3640951218334756</v>
      </c>
      <c r="S39" s="27">
        <f t="shared" si="20"/>
        <v>1.825194824001275</v>
      </c>
      <c r="T39" s="27">
        <f t="shared" si="20"/>
        <v>1.4127342721792322</v>
      </c>
      <c r="U39" s="27">
        <f t="shared" si="20"/>
        <v>1.0962184431572715</v>
      </c>
      <c r="V39" s="27">
        <f t="shared" si="20"/>
        <v>0.85270365608304655</v>
      </c>
      <c r="W39" s="27">
        <f t="shared" si="20"/>
        <v>0.66487984955674662</v>
      </c>
      <c r="X39" s="27">
        <f t="shared" si="20"/>
        <v>0.51965181676239547</v>
      </c>
      <c r="Y39" s="27">
        <f t="shared" si="20"/>
        <v>0.40708652503005299</v>
      </c>
    </row>
    <row r="40" spans="1:25" x14ac:dyDescent="0.25">
      <c r="A40" s="21">
        <v>28</v>
      </c>
      <c r="C40" s="25">
        <f t="shared" si="22"/>
        <v>5.422979589734731</v>
      </c>
      <c r="D40" s="23">
        <f>FishHarvestTimeTrends!AC49*((1+' OriginalBCACalculation 7%'!D$10)^MIN(' OriginalBCACalculation 7%'!$A40,20))</f>
        <v>1.7877226190907629</v>
      </c>
      <c r="E40" s="23">
        <f>FishHarvestTimeTrends!AD49*((1+' OriginalBCACalculation 7%'!E$10)^MIN(' OriginalBCACalculation 7%'!$A40,20))</f>
        <v>0.25563790908714551</v>
      </c>
      <c r="F40" s="23">
        <f t="shared" si="23"/>
        <v>5.7342942069264824</v>
      </c>
      <c r="H40" s="22">
        <f t="shared" si="17"/>
        <v>2.8000000000000001E-2</v>
      </c>
      <c r="I40" s="22"/>
      <c r="J40" s="41"/>
      <c r="K40" s="41">
        <f t="shared" si="6"/>
        <v>0.8727220972386377</v>
      </c>
      <c r="L40" s="41">
        <f t="shared" ref="L40:M40" si="30">D52/((1+$M$9)^($A40-1))</f>
        <v>0.29584781334756233</v>
      </c>
      <c r="M40" s="41">
        <f t="shared" si="30"/>
        <v>4.2304714153260661E-2</v>
      </c>
      <c r="N40" s="41">
        <f t="shared" si="15"/>
        <v>0.92282207292929286</v>
      </c>
      <c r="O40" s="67"/>
      <c r="P40" s="41">
        <f t="shared" si="16"/>
        <v>4.5060502844114832E-3</v>
      </c>
      <c r="R40" s="27">
        <f t="shared" si="20"/>
        <v>2.3826751453696593</v>
      </c>
      <c r="S40" s="27">
        <f t="shared" si="20"/>
        <v>1.8213262310213569</v>
      </c>
      <c r="T40" s="27">
        <f t="shared" si="20"/>
        <v>1.395918930741314</v>
      </c>
      <c r="U40" s="27">
        <f t="shared" si="20"/>
        <v>1.0726542738899838</v>
      </c>
      <c r="V40" s="27">
        <f t="shared" si="20"/>
        <v>0.82635122165409114</v>
      </c>
      <c r="W40" s="27">
        <f t="shared" si="20"/>
        <v>0.6381955324109102</v>
      </c>
      <c r="X40" s="27">
        <f t="shared" si="20"/>
        <v>0.49409046440619442</v>
      </c>
      <c r="Y40" s="27">
        <f t="shared" si="20"/>
        <v>0.38344478630189738</v>
      </c>
    </row>
    <row r="41" spans="1:25" x14ac:dyDescent="0.25">
      <c r="A41" s="21">
        <v>29</v>
      </c>
      <c r="C41" s="25">
        <f t="shared" si="22"/>
        <v>5.422979589734731</v>
      </c>
      <c r="D41" s="23">
        <f>FishHarvestTimeTrends!AC50*((1+' OriginalBCACalculation 7%'!D$10)^MIN(' OriginalBCACalculation 7%'!$A41,20))</f>
        <v>1.8014897980370457</v>
      </c>
      <c r="E41" s="23">
        <f>FishHarvestTimeTrends!AD50*((1+' OriginalBCACalculation 7%'!E$10)^MIN(' OriginalBCACalculation 7%'!$A41,20))</f>
        <v>0.25758503943070721</v>
      </c>
      <c r="F41" s="23">
        <f t="shared" si="23"/>
        <v>5.7371613540299453</v>
      </c>
      <c r="H41" s="22">
        <f t="shared" si="17"/>
        <v>2.8000000000000001E-2</v>
      </c>
      <c r="I41" s="22"/>
      <c r="J41" s="41"/>
      <c r="K41" s="41">
        <f t="shared" si="6"/>
        <v>0.8156281282604092</v>
      </c>
      <c r="L41" s="41">
        <f t="shared" ref="L41:M41" si="31">D53/((1+$M$9)^($A41-1))</f>
        <v>0.2765087079834822</v>
      </c>
      <c r="M41" s="41">
        <f t="shared" si="31"/>
        <v>3.9538529104798707E-2</v>
      </c>
      <c r="N41" s="41">
        <f t="shared" si="15"/>
        <v>0.86288176071566125</v>
      </c>
      <c r="O41" s="67"/>
      <c r="P41" s="41">
        <f t="shared" si="16"/>
        <v>4.2112619480481166E-3</v>
      </c>
      <c r="R41" s="27">
        <f t="shared" si="20"/>
        <v>2.4012566017629666</v>
      </c>
      <c r="S41" s="27">
        <f t="shared" si="20"/>
        <v>1.8173564051527196</v>
      </c>
      <c r="T41" s="27">
        <f t="shared" si="20"/>
        <v>1.3792206870230517</v>
      </c>
      <c r="U41" s="27">
        <f t="shared" si="20"/>
        <v>1.0495334390276072</v>
      </c>
      <c r="V41" s="27">
        <f t="shared" si="20"/>
        <v>0.80076497945044345</v>
      </c>
      <c r="W41" s="27">
        <f t="shared" si="20"/>
        <v>0.61254528025755617</v>
      </c>
      <c r="X41" s="27">
        <f t="shared" si="20"/>
        <v>0.46975817260155067</v>
      </c>
      <c r="Y41" s="27">
        <f t="shared" si="20"/>
        <v>0.36115430551798966</v>
      </c>
    </row>
    <row r="42" spans="1:25" x14ac:dyDescent="0.25">
      <c r="A42" s="21">
        <v>30</v>
      </c>
      <c r="C42" s="25">
        <f t="shared" si="22"/>
        <v>5.422979589734731</v>
      </c>
      <c r="D42" s="23">
        <f>FishHarvestTimeTrends!AC51*((1+' OriginalBCACalculation 7%'!D$10)^MIN(' OriginalBCACalculation 7%'!$A42,20))</f>
        <v>1.8152569769833287</v>
      </c>
      <c r="E42" s="23">
        <f>FishHarvestTimeTrends!AD51*((1+' OriginalBCACalculation 7%'!E$10)^MIN(' OriginalBCACalculation 7%'!$A42,20))</f>
        <v>0.25953216977426885</v>
      </c>
      <c r="F42" s="23">
        <f t="shared" si="23"/>
        <v>5.7400299347069597</v>
      </c>
      <c r="H42" s="22">
        <f t="shared" si="17"/>
        <v>2.8000000000000001E-2</v>
      </c>
      <c r="I42" s="22"/>
      <c r="J42" s="41"/>
      <c r="K42" s="41">
        <f t="shared" si="6"/>
        <v>0.76226927874804595</v>
      </c>
      <c r="L42" s="41">
        <f t="shared" ref="L42:M42" si="32">D54/((1+$M$9)^($A42-1))</f>
        <v>0.25843376865847623</v>
      </c>
      <c r="M42" s="41">
        <f t="shared" si="32"/>
        <v>3.6953216989264195E-2</v>
      </c>
      <c r="N42" s="41">
        <f t="shared" si="15"/>
        <v>0.80683476784674668</v>
      </c>
      <c r="O42" s="67"/>
      <c r="P42" s="41">
        <f t="shared" si="16"/>
        <v>3.9357588299515104E-3</v>
      </c>
      <c r="R42" s="27">
        <f t="shared" si="20"/>
        <v>2.4198394917298263</v>
      </c>
      <c r="S42" s="27">
        <f t="shared" si="20"/>
        <v>1.8132877200435111</v>
      </c>
      <c r="T42" s="27">
        <f t="shared" si="20"/>
        <v>1.3626413981757435</v>
      </c>
      <c r="U42" s="27">
        <f t="shared" si="20"/>
        <v>1.0268500856687821</v>
      </c>
      <c r="V42" s="27">
        <f t="shared" si="20"/>
        <v>0.77592495635160308</v>
      </c>
      <c r="W42" s="27">
        <f t="shared" si="20"/>
        <v>0.58789110214079232</v>
      </c>
      <c r="X42" s="27">
        <f t="shared" si="20"/>
        <v>0.44659768492907093</v>
      </c>
      <c r="Y42" s="27">
        <f t="shared" si="20"/>
        <v>0.34013945166575138</v>
      </c>
    </row>
    <row r="43" spans="1:25" x14ac:dyDescent="0.25">
      <c r="A43" s="21">
        <v>31</v>
      </c>
      <c r="C43" s="25">
        <f t="shared" si="22"/>
        <v>5.422979589734731</v>
      </c>
      <c r="D43" s="23">
        <f>FishHarvestTimeTrends!AC52*((1+' OriginalBCACalculation 7%'!D$10)^MIN(' OriginalBCACalculation 7%'!$A43,20))</f>
        <v>1.8175671943521008</v>
      </c>
      <c r="E43" s="23">
        <f>FishHarvestTimeTrends!AD52*((1+' OriginalBCACalculation 7%'!E$10)^MIN(' OriginalBCACalculation 7%'!$A43,20))</f>
        <v>0.25986654218280919</v>
      </c>
      <c r="F43" s="23">
        <f t="shared" si="23"/>
        <v>5.7428999496743129</v>
      </c>
      <c r="H43" s="22">
        <f t="shared" si="17"/>
        <v>2.8000000000000001E-2</v>
      </c>
      <c r="I43" s="22"/>
      <c r="J43" s="41"/>
      <c r="K43" s="41">
        <f t="shared" si="6"/>
        <v>0.7124011950916318</v>
      </c>
      <c r="L43" s="41">
        <f t="shared" ref="L43:M43" si="33">D55/((1+$M$9)^($A43-1))</f>
        <v>0.2415403589358521</v>
      </c>
      <c r="M43" s="41">
        <f t="shared" si="33"/>
        <v>3.4536951045704138E-2</v>
      </c>
      <c r="N43" s="41">
        <f t="shared" si="15"/>
        <v>0.75442821049595332</v>
      </c>
      <c r="O43" s="67"/>
      <c r="P43" s="41">
        <f t="shared" si="16"/>
        <v>3.6782792803285148E-3</v>
      </c>
      <c r="R43" s="27">
        <f t="shared" si="20"/>
        <v>2.4253540964744911</v>
      </c>
      <c r="S43" s="27">
        <f t="shared" si="20"/>
        <v>1.799425787923308</v>
      </c>
      <c r="T43" s="27">
        <f t="shared" si="20"/>
        <v>1.3389673921317435</v>
      </c>
      <c r="U43" s="27">
        <f t="shared" si="20"/>
        <v>0.99921377488515584</v>
      </c>
      <c r="V43" s="27">
        <f t="shared" si="20"/>
        <v>0.74778194438889345</v>
      </c>
      <c r="W43" s="27">
        <f t="shared" si="20"/>
        <v>0.56117224292930179</v>
      </c>
      <c r="X43" s="27">
        <f t="shared" si="20"/>
        <v>0.42227871924181676</v>
      </c>
      <c r="Y43" s="27">
        <f t="shared" si="20"/>
        <v>0.31861177573292876</v>
      </c>
    </row>
    <row r="44" spans="1:25" x14ac:dyDescent="0.25">
      <c r="A44" s="21">
        <v>32</v>
      </c>
      <c r="C44" s="25">
        <f t="shared" si="22"/>
        <v>5.422979589734731</v>
      </c>
      <c r="D44" s="23">
        <f>FishHarvestTimeTrends!AC53*((1+' OriginalBCACalculation 7%'!D$10)^MIN(' OriginalBCACalculation 7%'!$A44,20))</f>
        <v>1.8198774117208731</v>
      </c>
      <c r="E44" s="23">
        <f>FishHarvestTimeTrends!AD53*((1+' OriginalBCACalculation 7%'!E$10)^MIN(' OriginalBCACalculation 7%'!$A44,20))</f>
        <v>0.26020091459134953</v>
      </c>
      <c r="F44" s="23">
        <f t="shared" si="23"/>
        <v>5.7457713996491497</v>
      </c>
      <c r="H44" s="22">
        <f t="shared" si="17"/>
        <v>2.8000000000000001E-2</v>
      </c>
      <c r="I44" s="22"/>
      <c r="J44" s="41"/>
      <c r="K44" s="41">
        <f t="shared" si="6"/>
        <v>0.6657955094314314</v>
      </c>
      <c r="L44" s="41">
        <f t="shared" ref="L44:L76" si="34">D44/((1+$M$9)^($A44-1))</f>
        <v>0.22343182163787623</v>
      </c>
      <c r="M44" s="41">
        <f t="shared" ref="M44:M76" si="35">E44/((1+$M$9)^($A44-1))</f>
        <v>3.1945648626965632E-2</v>
      </c>
      <c r="N44" s="41">
        <f t="shared" si="15"/>
        <v>0.70542563046841233</v>
      </c>
      <c r="O44" s="67"/>
      <c r="P44" s="41">
        <f t="shared" si="16"/>
        <v>3.4376441872229105E-3</v>
      </c>
      <c r="R44" s="27">
        <f t="shared" si="19"/>
        <v>2.4308701362266412</v>
      </c>
      <c r="S44" s="27">
        <f t="shared" si="19"/>
        <v>1.7856616477533205</v>
      </c>
      <c r="T44" s="27">
        <f t="shared" si="19"/>
        <v>1.3156986638248647</v>
      </c>
      <c r="U44" s="27">
        <f t="shared" si="19"/>
        <v>0.97231680604660675</v>
      </c>
      <c r="V44" s="27">
        <f t="shared" si="19"/>
        <v>0.72065638694015843</v>
      </c>
      <c r="W44" s="27">
        <f t="shared" si="19"/>
        <v>0.53566526679413173</v>
      </c>
      <c r="X44" s="27">
        <f t="shared" si="19"/>
        <v>0.39928218645770919</v>
      </c>
      <c r="Y44" s="27">
        <f t="shared" si="19"/>
        <v>0.29844523548904561</v>
      </c>
    </row>
    <row r="45" spans="1:25" x14ac:dyDescent="0.25">
      <c r="A45" s="21">
        <v>33</v>
      </c>
      <c r="C45" s="25">
        <f t="shared" si="22"/>
        <v>5.422979589734731</v>
      </c>
      <c r="D45" s="23">
        <f>FishHarvestTimeTrends!AC54*((1+' OriginalBCACalculation 7%'!D$10)^MIN(' OriginalBCACalculation 7%'!$A45,20))</f>
        <v>1.8221876290896453</v>
      </c>
      <c r="E45" s="23">
        <f>FishHarvestTimeTrends!AD54*((1+' OriginalBCACalculation 7%'!E$10)^MIN(' OriginalBCACalculation 7%'!$A45,20))</f>
        <v>0.26053528699988981</v>
      </c>
      <c r="F45" s="23">
        <f t="shared" si="23"/>
        <v>5.7486442853489743</v>
      </c>
      <c r="H45" s="22">
        <f t="shared" si="17"/>
        <v>2.8000000000000001E-2</v>
      </c>
      <c r="I45" s="22"/>
      <c r="J45" s="41"/>
      <c r="K45" s="41">
        <f t="shared" si="6"/>
        <v>0.622238793861151</v>
      </c>
      <c r="L45" s="41">
        <f t="shared" si="34"/>
        <v>0.2090798635236821</v>
      </c>
      <c r="M45" s="41">
        <f t="shared" si="35"/>
        <v>2.9894112647584244E-2</v>
      </c>
      <c r="N45" s="41">
        <f t="shared" si="15"/>
        <v>0.65960592830247344</v>
      </c>
      <c r="O45" s="67"/>
      <c r="P45" s="41">
        <f t="shared" si="16"/>
        <v>3.2127515768438416E-3</v>
      </c>
      <c r="R45" s="27">
        <f t="shared" si="19"/>
        <v>2.4363876117037782</v>
      </c>
      <c r="S45" s="27">
        <f t="shared" si="19"/>
        <v>1.7719947120239874</v>
      </c>
      <c r="T45" s="27">
        <f t="shared" si="19"/>
        <v>1.2928284070482021</v>
      </c>
      <c r="U45" s="27">
        <f t="shared" si="19"/>
        <v>0.94613953913709048</v>
      </c>
      <c r="V45" s="27">
        <f t="shared" si="19"/>
        <v>0.69451163379017344</v>
      </c>
      <c r="W45" s="27">
        <f t="shared" si="19"/>
        <v>0.51131532837438509</v>
      </c>
      <c r="X45" s="27">
        <f t="shared" si="19"/>
        <v>0.37753628161515879</v>
      </c>
      <c r="Y45" s="27">
        <f t="shared" si="19"/>
        <v>0.27955386218943268</v>
      </c>
    </row>
    <row r="46" spans="1:25" x14ac:dyDescent="0.25">
      <c r="A46" s="21">
        <v>34</v>
      </c>
      <c r="C46" s="25">
        <f t="shared" si="22"/>
        <v>5.422979589734731</v>
      </c>
      <c r="D46" s="23">
        <f>FishHarvestTimeTrends!AC55*((1+' OriginalBCACalculation 7%'!D$10)^MIN(' OriginalBCACalculation 7%'!$A46,20))</f>
        <v>1.8244978464584176</v>
      </c>
      <c r="E46" s="23">
        <f>FishHarvestTimeTrends!AD55*((1+' OriginalBCACalculation 7%'!E$10)^MIN(' OriginalBCACalculation 7%'!$A46,20))</f>
        <v>0.26086965940843015</v>
      </c>
      <c r="F46" s="23">
        <f t="shared" si="23"/>
        <v>5.7515186074916489</v>
      </c>
      <c r="H46" s="22">
        <f t="shared" si="17"/>
        <v>2.8000000000000001E-2</v>
      </c>
      <c r="I46" s="22"/>
      <c r="J46" s="41"/>
      <c r="K46" s="41">
        <f t="shared" si="6"/>
        <v>0.58153158304780461</v>
      </c>
      <c r="L46" s="41">
        <f t="shared" si="34"/>
        <v>0.19564947707468205</v>
      </c>
      <c r="M46" s="41">
        <f t="shared" si="35"/>
        <v>2.7974279359651199E-2</v>
      </c>
      <c r="N46" s="41">
        <f t="shared" si="15"/>
        <v>0.61676236566974274</v>
      </c>
      <c r="O46" s="67"/>
      <c r="P46" s="41">
        <f t="shared" si="16"/>
        <v>3.0025715671437771E-3</v>
      </c>
      <c r="R46" s="27">
        <f t="shared" ref="R46:Y61" si="36">(SUM($D46:$H46)-SUM($B46:$C46))/((1+R$10)^($A46-1))</f>
        <v>2.4419065236237651</v>
      </c>
      <c r="S46" s="27">
        <f t="shared" si="36"/>
        <v>1.7584243953663603</v>
      </c>
      <c r="T46" s="27">
        <f t="shared" si="36"/>
        <v>1.270349926972675</v>
      </c>
      <c r="U46" s="27">
        <f t="shared" si="36"/>
        <v>0.92066285147937987</v>
      </c>
      <c r="V46" s="27">
        <f t="shared" si="36"/>
        <v>0.66931234947450058</v>
      </c>
      <c r="W46" s="27">
        <f t="shared" si="36"/>
        <v>0.48807005834545952</v>
      </c>
      <c r="X46" s="27">
        <f t="shared" si="36"/>
        <v>0.35697309230074625</v>
      </c>
      <c r="Y46" s="27">
        <f t="shared" si="36"/>
        <v>0.26185711062341505</v>
      </c>
    </row>
    <row r="47" spans="1:25" x14ac:dyDescent="0.25">
      <c r="A47" s="21">
        <v>35</v>
      </c>
      <c r="C47" s="25">
        <f t="shared" si="22"/>
        <v>5.422979589734731</v>
      </c>
      <c r="D47" s="23">
        <f>FishHarvestTimeTrends!AC56*((1+' OriginalBCACalculation 7%'!D$10)^MIN(' OriginalBCACalculation 7%'!$A47,20))</f>
        <v>1.82680806382719</v>
      </c>
      <c r="E47" s="23">
        <f>FishHarvestTimeTrends!AD56*((1+' OriginalBCACalculation 7%'!E$10)^MIN(' OriginalBCACalculation 7%'!$A47,20))</f>
        <v>0.26120403181697049</v>
      </c>
      <c r="F47" s="23">
        <f t="shared" si="23"/>
        <v>5.7543943667953945</v>
      </c>
      <c r="H47" s="22">
        <f t="shared" si="17"/>
        <v>2.8000000000000001E-2</v>
      </c>
      <c r="I47" s="22"/>
      <c r="J47" s="41"/>
      <c r="K47" s="41">
        <f t="shared" si="6"/>
        <v>0.54348746079234078</v>
      </c>
      <c r="L47" s="41">
        <f t="shared" si="34"/>
        <v>0.18308150704527687</v>
      </c>
      <c r="M47" s="41">
        <f t="shared" si="35"/>
        <v>2.6177696901099938E-2</v>
      </c>
      <c r="N47" s="41">
        <f t="shared" si="15"/>
        <v>0.5767016325725024</v>
      </c>
      <c r="O47" s="67"/>
      <c r="P47" s="41">
        <f t="shared" si="16"/>
        <v>2.8061416515362406E-3</v>
      </c>
      <c r="R47" s="27">
        <f t="shared" si="36"/>
        <v>2.4474268727048241</v>
      </c>
      <c r="S47" s="27">
        <f t="shared" si="36"/>
        <v>1.744950114566423</v>
      </c>
      <c r="T47" s="27">
        <f t="shared" si="36"/>
        <v>1.248256638390602</v>
      </c>
      <c r="U47" s="27">
        <f t="shared" si="36"/>
        <v>0.89586812424667794</v>
      </c>
      <c r="V47" s="27">
        <f t="shared" si="36"/>
        <v>0.64502446633779809</v>
      </c>
      <c r="W47" s="27">
        <f t="shared" si="36"/>
        <v>0.46587945193883429</v>
      </c>
      <c r="X47" s="27">
        <f t="shared" si="36"/>
        <v>0.33752838800388174</v>
      </c>
      <c r="Y47" s="27">
        <f t="shared" si="36"/>
        <v>0.24527951737807469</v>
      </c>
    </row>
    <row r="48" spans="1:25" x14ac:dyDescent="0.25">
      <c r="A48" s="21">
        <v>36</v>
      </c>
      <c r="C48" s="25">
        <f t="shared" si="22"/>
        <v>5.422979589734731</v>
      </c>
      <c r="D48" s="23">
        <f>FishHarvestTimeTrends!AC57*((1+' OriginalBCACalculation 7%'!D$10)^MIN(' OriginalBCACalculation 7%'!$A48,20))</f>
        <v>1.8291182811959621</v>
      </c>
      <c r="E48" s="23">
        <f>FishHarvestTimeTrends!AD57*((1+' OriginalBCACalculation 7%'!E$10)^MIN(' OriginalBCACalculation 7%'!$A48,20))</f>
        <v>0.26153840422551083</v>
      </c>
      <c r="F48" s="23">
        <f t="shared" si="23"/>
        <v>5.7572715639787919</v>
      </c>
      <c r="H48" s="22">
        <f t="shared" si="17"/>
        <v>2.8000000000000001E-2</v>
      </c>
      <c r="I48" s="22"/>
      <c r="J48" s="41"/>
      <c r="K48" s="41">
        <f t="shared" si="6"/>
        <v>0.50793220634798197</v>
      </c>
      <c r="L48" s="41">
        <f t="shared" si="34"/>
        <v>0.17132059394026589</v>
      </c>
      <c r="M48" s="41">
        <f t="shared" si="35"/>
        <v>2.4496455593241914E-2</v>
      </c>
      <c r="N48" s="41">
        <f t="shared" si="15"/>
        <v>0.53924297512970898</v>
      </c>
      <c r="O48" s="67"/>
      <c r="P48" s="41">
        <f t="shared" si="16"/>
        <v>2.6225622911553647E-3</v>
      </c>
      <c r="R48" s="27">
        <f t="shared" si="36"/>
        <v>2.4529486596655339</v>
      </c>
      <c r="S48" s="27">
        <f t="shared" si="36"/>
        <v>1.7315712885789352</v>
      </c>
      <c r="T48" s="27">
        <f t="shared" si="36"/>
        <v>1.2265420639854441</v>
      </c>
      <c r="U48" s="27">
        <f t="shared" si="36"/>
        <v>0.87173722932146702</v>
      </c>
      <c r="V48" s="27">
        <f t="shared" si="36"/>
        <v>0.62161513925901757</v>
      </c>
      <c r="W48" s="27">
        <f t="shared" si="36"/>
        <v>0.4446957624659863</v>
      </c>
      <c r="X48" s="27">
        <f t="shared" si="36"/>
        <v>0.31914142084877073</v>
      </c>
      <c r="Y48" s="27">
        <f t="shared" si="36"/>
        <v>0.22975038060639014</v>
      </c>
    </row>
    <row r="49" spans="1:25" x14ac:dyDescent="0.25">
      <c r="A49" s="21">
        <v>37</v>
      </c>
      <c r="C49" s="25">
        <f t="shared" si="22"/>
        <v>5.422979589734731</v>
      </c>
      <c r="D49" s="23">
        <f>FishHarvestTimeTrends!AC58*((1+' OriginalBCACalculation 7%'!D$10)^MIN(' OriginalBCACalculation 7%'!$A49,20))</f>
        <v>1.8314284985647347</v>
      </c>
      <c r="E49" s="23">
        <f>FishHarvestTimeTrends!AD58*((1+' OriginalBCACalculation 7%'!E$10)^MIN(' OriginalBCACalculation 7%'!$A49,20))</f>
        <v>0.26187277663405112</v>
      </c>
      <c r="F49" s="23">
        <f t="shared" si="23"/>
        <v>5.7601501997607807</v>
      </c>
      <c r="H49" s="22">
        <f t="shared" si="17"/>
        <v>2.8000000000000001E-2</v>
      </c>
      <c r="I49" s="22"/>
      <c r="J49" s="41"/>
      <c r="K49" s="41">
        <f t="shared" si="6"/>
        <v>0.47470299658689907</v>
      </c>
      <c r="L49" s="41">
        <f t="shared" si="34"/>
        <v>0.16031493055017224</v>
      </c>
      <c r="M49" s="41">
        <f t="shared" si="35"/>
        <v>2.2923153173585252E-2</v>
      </c>
      <c r="N49" s="41">
        <f t="shared" si="15"/>
        <v>0.50421738001614369</v>
      </c>
      <c r="O49" s="67"/>
      <c r="P49" s="41">
        <f t="shared" si="16"/>
        <v>2.4509927954723034E-3</v>
      </c>
      <c r="R49" s="27">
        <f t="shared" si="36"/>
        <v>2.4584718852248351</v>
      </c>
      <c r="S49" s="27">
        <f t="shared" si="36"/>
        <v>1.7182873385407997</v>
      </c>
      <c r="T49" s="27">
        <f t="shared" si="36"/>
        <v>1.2051998326273594</v>
      </c>
      <c r="U49" s="27">
        <f t="shared" si="36"/>
        <v>0.84825251649280931</v>
      </c>
      <c r="V49" s="27">
        <f t="shared" si="36"/>
        <v>0.59905270198467397</v>
      </c>
      <c r="W49" s="27">
        <f t="shared" si="36"/>
        <v>0.42447339962257019</v>
      </c>
      <c r="X49" s="27">
        <f t="shared" si="36"/>
        <v>0.30175473709046546</v>
      </c>
      <c r="Y49" s="27">
        <f t="shared" si="36"/>
        <v>0.2152034599484744</v>
      </c>
    </row>
    <row r="50" spans="1:25" x14ac:dyDescent="0.25">
      <c r="A50" s="21">
        <v>38</v>
      </c>
      <c r="C50" s="25">
        <f t="shared" si="22"/>
        <v>5.422979589734731</v>
      </c>
      <c r="D50" s="23">
        <f>FishHarvestTimeTrends!AC59*((1+' OriginalBCACalculation 7%'!D$10)^MIN(' OriginalBCACalculation 7%'!$A50,20))</f>
        <v>1.8337387159335068</v>
      </c>
      <c r="E50" s="23">
        <f>FishHarvestTimeTrends!AD59*((1+' OriginalBCACalculation 7%'!E$10)^MIN(' OriginalBCACalculation 7%'!$A50,20))</f>
        <v>0.26220714904259146</v>
      </c>
      <c r="F50" s="23">
        <f t="shared" si="23"/>
        <v>5.763030274860661</v>
      </c>
      <c r="H50" s="22">
        <f t="shared" si="17"/>
        <v>2.8000000000000001E-2</v>
      </c>
      <c r="I50" s="22"/>
      <c r="J50" s="41"/>
      <c r="K50" s="41">
        <f t="shared" si="6"/>
        <v>0.44364766036158787</v>
      </c>
      <c r="L50" s="41">
        <f t="shared" si="34"/>
        <v>0.15001603409651729</v>
      </c>
      <c r="M50" s="41">
        <f t="shared" si="35"/>
        <v>2.1450862257167025E-2</v>
      </c>
      <c r="N50" s="41">
        <f t="shared" si="15"/>
        <v>0.47146681187490813</v>
      </c>
      <c r="O50" s="67"/>
      <c r="P50" s="41">
        <f t="shared" si="16"/>
        <v>2.290647472404022E-3</v>
      </c>
      <c r="R50" s="27">
        <f t="shared" si="36"/>
        <v>2.4639965501020278</v>
      </c>
      <c r="S50" s="27">
        <f t="shared" si="36"/>
        <v>1.7050976877839594</v>
      </c>
      <c r="T50" s="27">
        <f t="shared" si="36"/>
        <v>1.184223677694213</v>
      </c>
      <c r="U50" s="27">
        <f t="shared" si="36"/>
        <v>0.82539680098350754</v>
      </c>
      <c r="V50" s="27">
        <f t="shared" si="36"/>
        <v>0.57730662501342922</v>
      </c>
      <c r="W50" s="27">
        <f t="shared" si="36"/>
        <v>0.40516883235896811</v>
      </c>
      <c r="X50" s="27">
        <f t="shared" si="36"/>
        <v>0.28531399879475305</v>
      </c>
      <c r="Y50" s="27">
        <f t="shared" si="36"/>
        <v>0.20157669533940856</v>
      </c>
    </row>
    <row r="51" spans="1:25" x14ac:dyDescent="0.25">
      <c r="A51" s="21">
        <v>39</v>
      </c>
      <c r="C51" s="25">
        <f t="shared" si="22"/>
        <v>5.422979589734731</v>
      </c>
      <c r="D51" s="23">
        <f>FishHarvestTimeTrends!AC60*((1+' OriginalBCACalculation 7%'!D$10)^MIN(' OriginalBCACalculation 7%'!$A51,20))</f>
        <v>1.8360489333022791</v>
      </c>
      <c r="E51" s="23">
        <f>FishHarvestTimeTrends!AD60*((1+' OriginalBCACalculation 7%'!E$10)^MIN(' OriginalBCACalculation 7%'!$A51,20))</f>
        <v>0.2625415214511318</v>
      </c>
      <c r="F51" s="23">
        <f t="shared" si="23"/>
        <v>5.765911789998091</v>
      </c>
      <c r="H51" s="22">
        <f t="shared" si="17"/>
        <v>2.8000000000000001E-2</v>
      </c>
      <c r="I51" s="22"/>
      <c r="J51" s="41"/>
      <c r="K51" s="41">
        <f t="shared" si="6"/>
        <v>0.41462398164634384</v>
      </c>
      <c r="L51" s="41">
        <f t="shared" si="34"/>
        <v>0.14037853298661437</v>
      </c>
      <c r="M51" s="41">
        <f t="shared" si="35"/>
        <v>2.0073099883616198E-2</v>
      </c>
      <c r="N51" s="41">
        <f t="shared" si="15"/>
        <v>0.44084350026247249</v>
      </c>
      <c r="O51" s="67"/>
      <c r="P51" s="41">
        <f t="shared" si="16"/>
        <v>2.1407920302841327E-3</v>
      </c>
      <c r="R51" s="27">
        <f t="shared" si="36"/>
        <v>2.469522655016771</v>
      </c>
      <c r="S51" s="27">
        <f t="shared" si="36"/>
        <v>1.6920017618478294</v>
      </c>
      <c r="T51" s="27">
        <f t="shared" si="36"/>
        <v>1.1636074354177044</v>
      </c>
      <c r="U51" s="27">
        <f t="shared" si="36"/>
        <v>0.8031533512987693</v>
      </c>
      <c r="V51" s="27">
        <f t="shared" si="36"/>
        <v>0.55634747497722681</v>
      </c>
      <c r="W51" s="27">
        <f t="shared" si="36"/>
        <v>0.3867404961128556</v>
      </c>
      <c r="X51" s="27">
        <f t="shared" si="36"/>
        <v>0.26976781515284054</v>
      </c>
      <c r="Y51" s="27">
        <f t="shared" si="36"/>
        <v>0.18881194351664338</v>
      </c>
    </row>
    <row r="52" spans="1:25" x14ac:dyDescent="0.25">
      <c r="A52" s="21">
        <v>40</v>
      </c>
      <c r="C52" s="25">
        <f t="shared" si="22"/>
        <v>5.422979589734731</v>
      </c>
      <c r="D52" s="23">
        <f>FishHarvestTimeTrends!AC61*((1+' OriginalBCACalculation 7%'!D$10)^MIN(' OriginalBCACalculation 7%'!$A52,20))</f>
        <v>1.8383591506710515</v>
      </c>
      <c r="E52" s="23">
        <f>FishHarvestTimeTrends!AD61*((1+' OriginalBCACalculation 7%'!E$10)^MIN(' OriginalBCACalculation 7%'!$A52,20))</f>
        <v>0.26287589385967214</v>
      </c>
      <c r="F52" s="23">
        <f t="shared" si="23"/>
        <v>5.7687947458930893</v>
      </c>
      <c r="H52" s="22">
        <f t="shared" si="17"/>
        <v>2.8000000000000001E-2</v>
      </c>
      <c r="I52" s="22"/>
      <c r="J52" s="41"/>
      <c r="K52" s="41">
        <f t="shared" si="6"/>
        <v>0.38749904826761106</v>
      </c>
      <c r="L52" s="41">
        <f t="shared" si="34"/>
        <v>0.13135996724153851</v>
      </c>
      <c r="M52" s="41">
        <f t="shared" si="35"/>
        <v>1.8783799016308535E-2</v>
      </c>
      <c r="N52" s="41">
        <f t="shared" si="15"/>
        <v>0.41220927290897541</v>
      </c>
      <c r="O52" s="67"/>
      <c r="P52" s="41">
        <f t="shared" si="16"/>
        <v>2.0007402152188154E-3</v>
      </c>
      <c r="R52" s="27">
        <f t="shared" si="36"/>
        <v>2.4750502006890809</v>
      </c>
      <c r="S52" s="27">
        <f t="shared" si="36"/>
        <v>1.6789989884912786</v>
      </c>
      <c r="T52" s="27">
        <f t="shared" si="36"/>
        <v>1.1433450432542684</v>
      </c>
      <c r="U52" s="27">
        <f t="shared" si="36"/>
        <v>0.78150587738821575</v>
      </c>
      <c r="V52" s="27">
        <f t="shared" si="36"/>
        <v>0.53614687546612327</v>
      </c>
      <c r="W52" s="27">
        <f t="shared" si="36"/>
        <v>0.36914870420853602</v>
      </c>
      <c r="X52" s="27">
        <f t="shared" si="36"/>
        <v>0.2550675829113303</v>
      </c>
      <c r="Y52" s="27">
        <f t="shared" si="36"/>
        <v>0.17685473111443015</v>
      </c>
    </row>
    <row r="53" spans="1:25" x14ac:dyDescent="0.25">
      <c r="A53" s="21">
        <v>41</v>
      </c>
      <c r="C53" s="25">
        <f t="shared" si="22"/>
        <v>5.422979589734731</v>
      </c>
      <c r="D53" s="23">
        <f>FishHarvestTimeTrends!AC62*((1+' OriginalBCACalculation 7%'!D$10)^MIN(' OriginalBCACalculation 7%'!$A53,20))</f>
        <v>1.8384617055526467</v>
      </c>
      <c r="E53" s="23">
        <f>FishHarvestTimeTrends!AD62*((1+' OriginalBCACalculation 7%'!E$10)^MIN(' OriginalBCACalculation 7%'!$A53,20))</f>
        <v>0.26288528915839238</v>
      </c>
      <c r="F53" s="23">
        <f t="shared" si="23"/>
        <v>5.7716791432660353</v>
      </c>
      <c r="H53" s="22">
        <f t="shared" si="17"/>
        <v>2.8000000000000001E-2</v>
      </c>
      <c r="I53" s="22"/>
      <c r="J53" s="41"/>
      <c r="K53" s="41">
        <f t="shared" si="6"/>
        <v>0.36214864324075802</v>
      </c>
      <c r="L53" s="41">
        <f t="shared" si="34"/>
        <v>0.12277317317887025</v>
      </c>
      <c r="M53" s="41">
        <f t="shared" si="35"/>
        <v>1.7555579773318508E-2</v>
      </c>
      <c r="N53" s="41">
        <f t="shared" si="15"/>
        <v>0.38543493228544845</v>
      </c>
      <c r="O53" s="67"/>
      <c r="P53" s="41">
        <f t="shared" si="16"/>
        <v>1.8698506684287997E-3</v>
      </c>
      <c r="R53" s="27">
        <f t="shared" si="36"/>
        <v>2.4780465482423431</v>
      </c>
      <c r="S53" s="27">
        <f t="shared" si="36"/>
        <v>1.6643877423692437</v>
      </c>
      <c r="T53" s="27">
        <f t="shared" si="36"/>
        <v>1.1222835300818168</v>
      </c>
      <c r="U53" s="27">
        <f t="shared" si="36"/>
        <v>0.75966212111960962</v>
      </c>
      <c r="V53" s="27">
        <f t="shared" si="36"/>
        <v>0.51614994816369619</v>
      </c>
      <c r="W53" s="27">
        <f t="shared" si="36"/>
        <v>0.35199581271693198</v>
      </c>
      <c r="X53" s="27">
        <f t="shared" si="36"/>
        <v>0.24092110666363145</v>
      </c>
      <c r="Y53" s="27">
        <f t="shared" si="36"/>
        <v>0.16548489266530803</v>
      </c>
    </row>
    <row r="54" spans="1:25" x14ac:dyDescent="0.25">
      <c r="A54" s="21">
        <v>42</v>
      </c>
      <c r="C54" s="25">
        <f t="shared" si="22"/>
        <v>5.422979589734731</v>
      </c>
      <c r="D54" s="23">
        <f>FishHarvestTimeTrends!AC63*((1+' OriginalBCACalculation 7%'!D$10)^MIN(' OriginalBCACalculation 7%'!$A54,20))</f>
        <v>1.8385642604342414</v>
      </c>
      <c r="E54" s="23">
        <f>FishHarvestTimeTrends!AD63*((1+' OriginalBCACalculation 7%'!E$10)^MIN(' OriginalBCACalculation 7%'!$A54,20))</f>
        <v>0.26289468445711273</v>
      </c>
      <c r="F54" s="23">
        <f t="shared" si="23"/>
        <v>5.7745649828376679</v>
      </c>
      <c r="H54" s="22">
        <f t="shared" si="17"/>
        <v>2.8000000000000001E-2</v>
      </c>
      <c r="I54" s="22"/>
      <c r="J54" s="41"/>
      <c r="K54" s="41">
        <f t="shared" si="6"/>
        <v>0.33845667592594203</v>
      </c>
      <c r="L54" s="41">
        <f t="shared" si="34"/>
        <v>0.11474768395601695</v>
      </c>
      <c r="M54" s="41">
        <f t="shared" si="35"/>
        <v>1.640767027565122E-2</v>
      </c>
      <c r="N54" s="41">
        <f t="shared" si="15"/>
        <v>0.36039967266503847</v>
      </c>
      <c r="O54" s="67"/>
      <c r="P54" s="41">
        <f t="shared" si="16"/>
        <v>1.747523989185794E-3</v>
      </c>
      <c r="R54" s="27">
        <f t="shared" si="36"/>
        <v>2.481044337994291</v>
      </c>
      <c r="S54" s="27">
        <f t="shared" si="36"/>
        <v>1.6499021953126565</v>
      </c>
      <c r="T54" s="27">
        <f t="shared" si="36"/>
        <v>1.1016090199286417</v>
      </c>
      <c r="U54" s="27">
        <f t="shared" si="36"/>
        <v>0.73842826609249601</v>
      </c>
      <c r="V54" s="27">
        <f t="shared" si="36"/>
        <v>0.49689841819925945</v>
      </c>
      <c r="W54" s="27">
        <f t="shared" si="36"/>
        <v>0.3356396531501335</v>
      </c>
      <c r="X54" s="27">
        <f t="shared" si="36"/>
        <v>0.22755901730340189</v>
      </c>
      <c r="Y54" s="27">
        <f t="shared" si="36"/>
        <v>0.15484587495995039</v>
      </c>
    </row>
    <row r="55" spans="1:25" x14ac:dyDescent="0.25">
      <c r="A55" s="21">
        <v>43</v>
      </c>
      <c r="C55" s="25">
        <f t="shared" si="22"/>
        <v>5.422979589734731</v>
      </c>
      <c r="D55" s="23">
        <f>FishHarvestTimeTrends!AC64*((1+' OriginalBCACalculation 7%'!D$10)^MIN(' OriginalBCACalculation 7%'!$A55,20))</f>
        <v>1.838666815315837</v>
      </c>
      <c r="E55" s="23">
        <f>FishHarvestTimeTrends!AD64*((1+' OriginalBCACalculation 7%'!E$10)^MIN(' OriginalBCACalculation 7%'!$A55,20))</f>
        <v>0.26290407975583302</v>
      </c>
      <c r="F55" s="23">
        <f t="shared" si="23"/>
        <v>5.7774522653290861</v>
      </c>
      <c r="H55" s="22">
        <f t="shared" si="17"/>
        <v>2.8000000000000001E-2</v>
      </c>
      <c r="I55" s="22"/>
      <c r="J55" s="41"/>
      <c r="K55" s="41">
        <f t="shared" si="6"/>
        <v>0.31631465039807671</v>
      </c>
      <c r="L55" s="41">
        <f t="shared" si="34"/>
        <v>0.10724680800681813</v>
      </c>
      <c r="M55" s="41">
        <f t="shared" si="35"/>
        <v>1.5334819300004455E-2</v>
      </c>
      <c r="N55" s="41">
        <f t="shared" si="15"/>
        <v>0.33699053504801024</v>
      </c>
      <c r="O55" s="67"/>
      <c r="P55" s="41">
        <f t="shared" si="16"/>
        <v>1.6331999898932656E-3</v>
      </c>
      <c r="R55" s="27">
        <f t="shared" si="36"/>
        <v>2.4840435706660244</v>
      </c>
      <c r="S55" s="27">
        <f t="shared" si="36"/>
        <v>1.6355412815448733</v>
      </c>
      <c r="T55" s="27">
        <f t="shared" si="36"/>
        <v>1.0813144214313275</v>
      </c>
      <c r="U55" s="27">
        <f t="shared" si="36"/>
        <v>0.71778730263725421</v>
      </c>
      <c r="V55" s="27">
        <f t="shared" si="36"/>
        <v>0.47836451759906351</v>
      </c>
      <c r="W55" s="27">
        <f t="shared" si="36"/>
        <v>0.32004323252505562</v>
      </c>
      <c r="X55" s="27">
        <f t="shared" si="36"/>
        <v>0.21493783401868877</v>
      </c>
      <c r="Y55" s="27">
        <f t="shared" si="36"/>
        <v>0.14489071194664938</v>
      </c>
    </row>
    <row r="56" spans="1:25" x14ac:dyDescent="0.25">
      <c r="A56" s="21">
        <v>44</v>
      </c>
      <c r="C56" s="25">
        <f t="shared" si="22"/>
        <v>5.422979589734731</v>
      </c>
      <c r="D56" s="23">
        <f>FishHarvestTimeTrends!AC65*((1+' OriginalBCACalculation 7%'!D$10)^MIN(' OriginalBCACalculation 7%'!$A56,20))</f>
        <v>1.8387693701974319</v>
      </c>
      <c r="E56" s="23">
        <f>FishHarvestTimeTrends!AD65*((1+' OriginalBCACalculation 7%'!E$10)^MIN(' OriginalBCACalculation 7%'!$A56,20))</f>
        <v>0.26291347505455331</v>
      </c>
      <c r="F56" s="23">
        <f t="shared" si="23"/>
        <v>5.7803409914617507</v>
      </c>
      <c r="H56" s="22">
        <f t="shared" si="17"/>
        <v>2.8000000000000001E-2</v>
      </c>
      <c r="I56" s="22"/>
      <c r="J56" s="41"/>
      <c r="K56" s="41">
        <f t="shared" si="6"/>
        <v>0.29562116859633331</v>
      </c>
      <c r="L56" s="41">
        <f t="shared" si="34"/>
        <v>0.10023625223039023</v>
      </c>
      <c r="M56" s="41">
        <f t="shared" si="35"/>
        <v>1.433211898537716E-2</v>
      </c>
      <c r="N56" s="41">
        <f t="shared" si="15"/>
        <v>0.31510189749115347</v>
      </c>
      <c r="O56" s="67"/>
      <c r="P56" s="41">
        <f t="shared" si="16"/>
        <v>1.5263551307413694E-3</v>
      </c>
      <c r="R56" s="27">
        <f t="shared" si="36"/>
        <v>2.4870442469790044</v>
      </c>
      <c r="S56" s="27">
        <f t="shared" si="36"/>
        <v>1.621303944156361</v>
      </c>
      <c r="T56" s="27">
        <f t="shared" si="36"/>
        <v>1.0613927727630919</v>
      </c>
      <c r="U56" s="27">
        <f t="shared" si="36"/>
        <v>0.6977226948895332</v>
      </c>
      <c r="V56" s="27">
        <f t="shared" si="36"/>
        <v>0.46052151214521964</v>
      </c>
      <c r="W56" s="27">
        <f t="shared" si="36"/>
        <v>0.3051712747851103</v>
      </c>
      <c r="X56" s="27">
        <f t="shared" si="36"/>
        <v>0.20301648560485475</v>
      </c>
      <c r="Y56" s="27">
        <f t="shared" si="36"/>
        <v>0.13557545524132888</v>
      </c>
    </row>
    <row r="57" spans="1:25" x14ac:dyDescent="0.25">
      <c r="A57" s="21">
        <v>45</v>
      </c>
      <c r="C57" s="25">
        <f t="shared" si="22"/>
        <v>5.422979589734731</v>
      </c>
      <c r="D57" s="23">
        <f>FishHarvestTimeTrends!AC66*((1+' OriginalBCACalculation 7%'!D$10)^MIN(' OriginalBCACalculation 7%'!$A57,20))</f>
        <v>1.8388719250790269</v>
      </c>
      <c r="E57" s="23">
        <f>FishHarvestTimeTrends!AD66*((1+' OriginalBCACalculation 7%'!E$10)^MIN(' OriginalBCACalculation 7%'!$A57,20))</f>
        <v>0.26292287035327361</v>
      </c>
      <c r="F57" s="23">
        <f t="shared" si="23"/>
        <v>5.783231161957481</v>
      </c>
      <c r="H57" s="22">
        <f t="shared" si="17"/>
        <v>2.8000000000000001E-2</v>
      </c>
      <c r="I57" s="22"/>
      <c r="J57" s="41"/>
      <c r="K57" s="41">
        <f t="shared" si="6"/>
        <v>0.27628146597788167</v>
      </c>
      <c r="L57" s="41">
        <f t="shared" si="34"/>
        <v>9.368396520763124E-2</v>
      </c>
      <c r="M57" s="41">
        <f t="shared" si="35"/>
        <v>1.3394982381607714E-2</v>
      </c>
      <c r="N57" s="41">
        <f t="shared" si="15"/>
        <v>0.29463499854196173</v>
      </c>
      <c r="O57" s="67"/>
      <c r="P57" s="41">
        <f t="shared" si="16"/>
        <v>1.426500122188196E-3</v>
      </c>
      <c r="R57" s="27">
        <f t="shared" si="36"/>
        <v>2.4900463676550499</v>
      </c>
      <c r="S57" s="27">
        <f t="shared" si="36"/>
        <v>1.607189135032784</v>
      </c>
      <c r="T57" s="27">
        <f t="shared" si="36"/>
        <v>1.041837239275841</v>
      </c>
      <c r="U57" s="27">
        <f t="shared" si="36"/>
        <v>0.67821836760977938</v>
      </c>
      <c r="V57" s="27">
        <f t="shared" si="36"/>
        <v>0.44334366291707666</v>
      </c>
      <c r="W57" s="27">
        <f t="shared" si="36"/>
        <v>0.29099014114727095</v>
      </c>
      <c r="X57" s="27">
        <f t="shared" si="36"/>
        <v>0.19175617696741312</v>
      </c>
      <c r="Y57" s="27">
        <f t="shared" si="36"/>
        <v>0.12685898027550721</v>
      </c>
    </row>
    <row r="58" spans="1:25" x14ac:dyDescent="0.25">
      <c r="A58" s="21">
        <v>46</v>
      </c>
      <c r="C58" s="25">
        <f t="shared" si="22"/>
        <v>5.422979589734731</v>
      </c>
      <c r="D58" s="23">
        <f>FishHarvestTimeTrends!AC67*((1+' OriginalBCACalculation 7%'!D$10)^MIN(' OriginalBCACalculation 7%'!$A58,20))</f>
        <v>1.838974479960622</v>
      </c>
      <c r="E58" s="23">
        <f>FishHarvestTimeTrends!AD67*((1+' OriginalBCACalculation 7%'!E$10)^MIN(' OriginalBCACalculation 7%'!$A58,20))</f>
        <v>0.26293226565199396</v>
      </c>
      <c r="F58" s="23">
        <f t="shared" si="23"/>
        <v>5.7861227775384592</v>
      </c>
      <c r="H58" s="22">
        <f t="shared" si="17"/>
        <v>2.8000000000000001E-2</v>
      </c>
      <c r="I58" s="22"/>
      <c r="J58" s="41"/>
      <c r="K58" s="41">
        <f t="shared" si="6"/>
        <v>0.25820697754942207</v>
      </c>
      <c r="L58" s="41">
        <f t="shared" si="34"/>
        <v>8.7559990666381884E-2</v>
      </c>
      <c r="M58" s="41">
        <f t="shared" si="35"/>
        <v>1.2519122465947548E-2</v>
      </c>
      <c r="N58" s="41">
        <f t="shared" si="15"/>
        <v>0.27549749162732023</v>
      </c>
      <c r="O58" s="67"/>
      <c r="P58" s="41">
        <f t="shared" si="16"/>
        <v>1.3331776842880334E-3</v>
      </c>
      <c r="R58" s="27">
        <f t="shared" si="36"/>
        <v>2.4930499334163443</v>
      </c>
      <c r="S58" s="27">
        <f t="shared" si="36"/>
        <v>1.5931958147836685</v>
      </c>
      <c r="T58" s="27">
        <f t="shared" si="36"/>
        <v>1.0226411111849809</v>
      </c>
      <c r="U58" s="27">
        <f t="shared" si="36"/>
        <v>0.6592586933689043</v>
      </c>
      <c r="V58" s="27">
        <f t="shared" si="36"/>
        <v>0.42680618926233121</v>
      </c>
      <c r="W58" s="27">
        <f t="shared" si="36"/>
        <v>0.2774677541428377</v>
      </c>
      <c r="X58" s="27">
        <f t="shared" si="36"/>
        <v>0.18112026301871301</v>
      </c>
      <c r="Y58" s="27">
        <f t="shared" si="36"/>
        <v>0.11870280489451564</v>
      </c>
    </row>
    <row r="59" spans="1:25" x14ac:dyDescent="0.25">
      <c r="A59" s="21">
        <v>47</v>
      </c>
      <c r="C59" s="25">
        <f t="shared" si="22"/>
        <v>5.422979589734731</v>
      </c>
      <c r="D59" s="23">
        <f>FishHarvestTimeTrends!AC68*((1+' OriginalBCACalculation 7%'!D$10)^MIN(' OriginalBCACalculation 7%'!$A59,20))</f>
        <v>1.8390770348422167</v>
      </c>
      <c r="E59" s="23">
        <f>FishHarvestTimeTrends!AD68*((1+' OriginalBCACalculation 7%'!E$10)^MIN(' OriginalBCACalculation 7%'!$A59,20))</f>
        <v>0.26294166095071431</v>
      </c>
      <c r="F59" s="23">
        <f t="shared" si="23"/>
        <v>5.7890158389272282</v>
      </c>
      <c r="H59" s="22">
        <f t="shared" si="17"/>
        <v>2.8000000000000001E-2</v>
      </c>
      <c r="I59" s="22"/>
      <c r="J59" s="41"/>
      <c r="K59" s="41">
        <f t="shared" si="6"/>
        <v>0.24131493228917952</v>
      </c>
      <c r="L59" s="41">
        <f t="shared" si="34"/>
        <v>8.1836330525308726E-2</v>
      </c>
      <c r="M59" s="41">
        <f t="shared" si="35"/>
        <v>1.1700532531679656E-2</v>
      </c>
      <c r="N59" s="41">
        <f t="shared" si="15"/>
        <v>0.25760302838610644</v>
      </c>
      <c r="O59" s="67"/>
      <c r="P59" s="41">
        <f t="shared" si="16"/>
        <v>1.2459604526056387E-3</v>
      </c>
      <c r="R59" s="27">
        <f t="shared" si="36"/>
        <v>2.4960549449854277</v>
      </c>
      <c r="S59" s="27">
        <f t="shared" si="36"/>
        <v>1.579322952671607</v>
      </c>
      <c r="T59" s="27">
        <f t="shared" si="36"/>
        <v>1.0037978012962001</v>
      </c>
      <c r="U59" s="27">
        <f t="shared" si="36"/>
        <v>0.64082848008993132</v>
      </c>
      <c r="V59" s="27">
        <f t="shared" si="36"/>
        <v>0.41088523314475733</v>
      </c>
      <c r="W59" s="27">
        <f t="shared" si="36"/>
        <v>0.2645735251806946</v>
      </c>
      <c r="X59" s="27">
        <f t="shared" si="36"/>
        <v>0.17107412955908191</v>
      </c>
      <c r="Y59" s="27">
        <f t="shared" si="36"/>
        <v>0.11107091960652093</v>
      </c>
    </row>
    <row r="60" spans="1:25" x14ac:dyDescent="0.25">
      <c r="A60" s="21">
        <v>48</v>
      </c>
      <c r="C60" s="25">
        <f t="shared" si="22"/>
        <v>5.422979589734731</v>
      </c>
      <c r="D60" s="23">
        <f>FishHarvestTimeTrends!AC69*((1+' OriginalBCACalculation 7%'!D$10)^MIN(' OriginalBCACalculation 7%'!$A60,20))</f>
        <v>1.8391795897238123</v>
      </c>
      <c r="E60" s="23">
        <f>FishHarvestTimeTrends!AD69*((1+' OriginalBCACalculation 7%'!E$10)^MIN(' OriginalBCACalculation 7%'!$A60,20))</f>
        <v>0.2629510562494346</v>
      </c>
      <c r="F60" s="23">
        <f t="shared" si="23"/>
        <v>5.7919103468466915</v>
      </c>
      <c r="H60" s="22">
        <f t="shared" si="17"/>
        <v>2.8000000000000001E-2</v>
      </c>
      <c r="I60" s="22"/>
      <c r="J60" s="41"/>
      <c r="K60" s="41">
        <f t="shared" si="6"/>
        <v>0.22552797410203693</v>
      </c>
      <c r="L60" s="41">
        <f t="shared" si="34"/>
        <v>7.6486816890364961E-2</v>
      </c>
      <c r="M60" s="41">
        <f t="shared" si="35"/>
        <v>1.0935467859067967E-2</v>
      </c>
      <c r="N60" s="41">
        <f t="shared" si="15"/>
        <v>0.24087086906570043</v>
      </c>
      <c r="O60" s="67"/>
      <c r="P60" s="41">
        <f t="shared" si="16"/>
        <v>1.1644490211267652E-3</v>
      </c>
      <c r="R60" s="27">
        <f t="shared" si="36"/>
        <v>2.4990614030852072</v>
      </c>
      <c r="S60" s="27">
        <f t="shared" si="36"/>
        <v>1.5655695265420355</v>
      </c>
      <c r="T60" s="27">
        <f t="shared" si="36"/>
        <v>0.9853008427734854</v>
      </c>
      <c r="U60" s="27">
        <f t="shared" si="36"/>
        <v>0.62291295893575327</v>
      </c>
      <c r="V60" s="27">
        <f t="shared" si="36"/>
        <v>0.39555782481742036</v>
      </c>
      <c r="W60" s="27">
        <f t="shared" si="36"/>
        <v>0.25227828546978442</v>
      </c>
      <c r="X60" s="27">
        <f t="shared" si="36"/>
        <v>0.16158508075569883</v>
      </c>
      <c r="Y60" s="27">
        <f t="shared" si="36"/>
        <v>0.10392962873422321</v>
      </c>
    </row>
    <row r="61" spans="1:25" x14ac:dyDescent="0.25">
      <c r="A61" s="21">
        <v>49</v>
      </c>
      <c r="C61" s="25">
        <f t="shared" si="22"/>
        <v>5.422979589734731</v>
      </c>
      <c r="D61" s="23">
        <f>FishHarvestTimeTrends!AC70*((1+' OriginalBCACalculation 7%'!D$10)^MIN(' OriginalBCACalculation 7%'!$A61,20))</f>
        <v>1.8392821446054073</v>
      </c>
      <c r="E61" s="23">
        <f>FishHarvestTimeTrends!AD70*((1+' OriginalBCACalculation 7%'!E$10)^MIN(' OriginalBCACalculation 7%'!$A61,20))</f>
        <v>0.26296045154815489</v>
      </c>
      <c r="F61" s="23">
        <f t="shared" si="23"/>
        <v>5.7948063020201142</v>
      </c>
      <c r="H61" s="22">
        <f t="shared" si="17"/>
        <v>2.8000000000000001E-2</v>
      </c>
      <c r="I61" s="22"/>
      <c r="J61" s="41"/>
      <c r="K61" s="41">
        <f t="shared" si="6"/>
        <v>0.21077380757199712</v>
      </c>
      <c r="L61" s="41">
        <f t="shared" si="34"/>
        <v>7.1486992418614947E-2</v>
      </c>
      <c r="M61" s="41">
        <f t="shared" si="35"/>
        <v>1.0220428584789757E-2</v>
      </c>
      <c r="N61" s="41">
        <f t="shared" si="15"/>
        <v>0.22522551822451709</v>
      </c>
      <c r="O61" s="67"/>
      <c r="P61" s="41">
        <f t="shared" si="16"/>
        <v>1.0882701132025844E-3</v>
      </c>
      <c r="R61" s="27">
        <f t="shared" si="36"/>
        <v>2.5020693084389443</v>
      </c>
      <c r="S61" s="27">
        <f t="shared" si="36"/>
        <v>1.5519345227535375</v>
      </c>
      <c r="T61" s="27">
        <f t="shared" si="36"/>
        <v>0.96714388694760067</v>
      </c>
      <c r="U61" s="27">
        <f t="shared" si="36"/>
        <v>0.60549777253339299</v>
      </c>
      <c r="V61" s="27">
        <f t="shared" si="36"/>
        <v>0.38080184977212816</v>
      </c>
      <c r="W61" s="27">
        <f t="shared" si="36"/>
        <v>0.24055422014508882</v>
      </c>
      <c r="X61" s="27">
        <f t="shared" si="36"/>
        <v>0.15262223285387205</v>
      </c>
      <c r="Y61" s="27">
        <f t="shared" si="36"/>
        <v>9.7247401769127204E-2</v>
      </c>
    </row>
    <row r="62" spans="1:25" x14ac:dyDescent="0.25">
      <c r="A62" s="21">
        <v>50</v>
      </c>
      <c r="C62" s="25">
        <f t="shared" si="22"/>
        <v>5.422979589734731</v>
      </c>
      <c r="D62" s="23">
        <f>FishHarvestTimeTrends!AC71*((1+' OriginalBCACalculation 7%'!D$10)^MIN(' OriginalBCACalculation 7%'!$A62,20))</f>
        <v>1.8393846994870022</v>
      </c>
      <c r="E62" s="23">
        <f>FishHarvestTimeTrends!AD71*((1+' OriginalBCACalculation 7%'!E$10)^MIN(' OriginalBCACalculation 7%'!$A62,20))</f>
        <v>0.26296984684687519</v>
      </c>
      <c r="F62" s="23">
        <f t="shared" si="23"/>
        <v>5.7977037051711235</v>
      </c>
      <c r="H62" s="22">
        <f t="shared" si="17"/>
        <v>2.8000000000000001E-2</v>
      </c>
      <c r="I62" s="22"/>
      <c r="J62" s="41"/>
      <c r="K62" s="41">
        <f t="shared" si="6"/>
        <v>0.19698486688971698</v>
      </c>
      <c r="L62" s="41">
        <f t="shared" si="34"/>
        <v>6.6813998502464E-2</v>
      </c>
      <c r="M62" s="41">
        <f t="shared" si="35"/>
        <v>9.552143691485819E-3</v>
      </c>
      <c r="N62" s="41">
        <f t="shared" si="15"/>
        <v>0.21059638409684986</v>
      </c>
      <c r="O62" s="67"/>
      <c r="P62" s="41">
        <f t="shared" si="16"/>
        <v>1.0170748721519481E-3</v>
      </c>
      <c r="R62" s="27">
        <f t="shared" ref="R62:Y77" si="37">(SUM($D62:$H62)-SUM($B62:$C62))/((1+R$10)^($A62-1))</f>
        <v>2.5050786617702698</v>
      </c>
      <c r="S62" s="27">
        <f t="shared" si="37"/>
        <v>1.5384169361087223</v>
      </c>
      <c r="T62" s="27">
        <f t="shared" si="37"/>
        <v>0.94932070116433143</v>
      </c>
      <c r="U62" s="27">
        <f t="shared" si="37"/>
        <v>0.5885689635254423</v>
      </c>
      <c r="V62" s="27">
        <f t="shared" si="37"/>
        <v>0.36659601691771354</v>
      </c>
      <c r="W62" s="27">
        <f t="shared" si="37"/>
        <v>0.22937480544861871</v>
      </c>
      <c r="X62" s="27">
        <f t="shared" si="37"/>
        <v>0.1441564137756231</v>
      </c>
      <c r="Y62" s="27">
        <f t="shared" si="37"/>
        <v>9.0994734273234651E-2</v>
      </c>
    </row>
    <row r="63" spans="1:25" x14ac:dyDescent="0.25">
      <c r="A63" s="21">
        <v>51</v>
      </c>
      <c r="C63" s="25">
        <f t="shared" si="22"/>
        <v>5.422979589734731</v>
      </c>
      <c r="D63" s="23">
        <f>FishHarvestTimeTrends!AC72*((1+' OriginalBCACalculation 7%'!D$10)^MIN(' OriginalBCACalculation 7%'!$A63,20))</f>
        <v>1.8393860142990097</v>
      </c>
      <c r="E63" s="23">
        <f>FishHarvestTimeTrends!AD72*((1+' OriginalBCACalculation 7%'!E$10)^MIN(' OriginalBCACalculation 7%'!$A63,20))</f>
        <v>0.26296998552618545</v>
      </c>
      <c r="F63" s="23">
        <f t="shared" si="23"/>
        <v>5.8006025570237085</v>
      </c>
      <c r="H63" s="22">
        <f t="shared" si="17"/>
        <v>2.8000000000000001E-2</v>
      </c>
      <c r="I63" s="22"/>
      <c r="J63" s="41"/>
      <c r="K63" s="41">
        <f t="shared" si="6"/>
        <v>0.1840980064389878</v>
      </c>
      <c r="L63" s="41">
        <f t="shared" si="34"/>
        <v>6.2443033889560962E-2</v>
      </c>
      <c r="M63" s="41">
        <f t="shared" si="35"/>
        <v>8.9272418026984206E-3</v>
      </c>
      <c r="N63" s="41">
        <f t="shared" si="15"/>
        <v>0.19691746008308247</v>
      </c>
      <c r="O63" s="67"/>
      <c r="P63" s="41">
        <f t="shared" si="16"/>
        <v>9.5053726369340934E-4</v>
      </c>
      <c r="R63" s="27">
        <f t="shared" si="37"/>
        <v>2.5079789671141723</v>
      </c>
      <c r="S63" s="27">
        <f t="shared" si="37"/>
        <v>1.5249485835087062</v>
      </c>
      <c r="T63" s="27">
        <f t="shared" si="37"/>
        <v>0.93178411407089401</v>
      </c>
      <c r="U63" s="27">
        <f t="shared" si="37"/>
        <v>0.57208775836253722</v>
      </c>
      <c r="V63" s="27">
        <f t="shared" si="37"/>
        <v>0.35290427966339155</v>
      </c>
      <c r="W63" s="27">
        <f t="shared" si="37"/>
        <v>0.21870511310069737</v>
      </c>
      <c r="X63" s="27">
        <f t="shared" si="37"/>
        <v>0.13615406959534443</v>
      </c>
      <c r="Y63" s="27">
        <f t="shared" si="37"/>
        <v>8.5140266600047435E-2</v>
      </c>
    </row>
    <row r="64" spans="1:25" x14ac:dyDescent="0.25">
      <c r="A64" s="21">
        <v>52</v>
      </c>
      <c r="C64" s="25">
        <f t="shared" si="22"/>
        <v>5.422979589734731</v>
      </c>
      <c r="D64" s="23">
        <f>FishHarvestTimeTrends!AC73*((1+' OriginalBCACalculation 7%'!D$10)^MIN(' OriginalBCACalculation 7%'!$A64,20))</f>
        <v>1.8393873291110174</v>
      </c>
      <c r="E64" s="23">
        <f>FishHarvestTimeTrends!AD73*((1+' OriginalBCACalculation 7%'!E$10)^MIN(' OriginalBCACalculation 7%'!$A64,20))</f>
        <v>0.26297012420549565</v>
      </c>
      <c r="F64" s="23">
        <f t="shared" si="23"/>
        <v>5.8035028583022203</v>
      </c>
      <c r="H64" s="22">
        <f t="shared" si="17"/>
        <v>2.8000000000000001E-2</v>
      </c>
      <c r="I64" s="22"/>
      <c r="J64" s="41"/>
      <c r="K64" s="41">
        <f t="shared" si="6"/>
        <v>0.17205421162522222</v>
      </c>
      <c r="L64" s="41">
        <f t="shared" si="34"/>
        <v>5.8358017312600624E-2</v>
      </c>
      <c r="M64" s="41">
        <f t="shared" si="35"/>
        <v>8.3432210378974556E-3</v>
      </c>
      <c r="N64" s="41">
        <f t="shared" si="15"/>
        <v>0.18412702692815325</v>
      </c>
      <c r="O64" s="67"/>
      <c r="P64" s="41">
        <f t="shared" si="16"/>
        <v>8.8835258289103667E-4</v>
      </c>
      <c r="R64" s="27">
        <f t="shared" si="37"/>
        <v>2.5108807218840017</v>
      </c>
      <c r="S64" s="27">
        <f t="shared" si="37"/>
        <v>1.5115969931371178</v>
      </c>
      <c r="T64" s="27">
        <f t="shared" si="37"/>
        <v>0.91457078124998092</v>
      </c>
      <c r="U64" s="27">
        <f t="shared" si="37"/>
        <v>0.55606763997024178</v>
      </c>
      <c r="V64" s="27">
        <f t="shared" si="37"/>
        <v>0.33972364727510573</v>
      </c>
      <c r="W64" s="27">
        <f t="shared" si="37"/>
        <v>0.20853157802989178</v>
      </c>
      <c r="X64" s="27">
        <f t="shared" si="37"/>
        <v>0.12859585010206812</v>
      </c>
      <c r="Y64" s="27">
        <f t="shared" si="37"/>
        <v>7.9662406236320121E-2</v>
      </c>
    </row>
    <row r="65" spans="1:25" x14ac:dyDescent="0.25">
      <c r="A65" s="21">
        <v>53</v>
      </c>
      <c r="C65" s="25">
        <f t="shared" si="22"/>
        <v>5.422979589734731</v>
      </c>
      <c r="D65" s="23">
        <f>FishHarvestTimeTrends!AC74*((1+' OriginalBCACalculation 7%'!D$10)^MIN(' OriginalBCACalculation 7%'!$A65,20))</f>
        <v>1.8393886439230247</v>
      </c>
      <c r="E65" s="23">
        <f>FishHarvestTimeTrends!AD74*((1+' OriginalBCACalculation 7%'!E$10)^MIN(' OriginalBCACalculation 7%'!$A65,20))</f>
        <v>0.26297026288480585</v>
      </c>
      <c r="F65" s="23">
        <f t="shared" si="23"/>
        <v>5.8064046097313708</v>
      </c>
      <c r="H65" s="22">
        <f t="shared" si="17"/>
        <v>2.8000000000000001E-2</v>
      </c>
      <c r="I65" s="22"/>
      <c r="J65" s="41"/>
      <c r="K65" s="41">
        <f t="shared" si="6"/>
        <v>0.16079832862170304</v>
      </c>
      <c r="L65" s="41">
        <f t="shared" si="34"/>
        <v>5.4540242081757687E-2</v>
      </c>
      <c r="M65" s="41">
        <f t="shared" si="35"/>
        <v>7.7974069511766416E-3</v>
      </c>
      <c r="N65" s="41">
        <f t="shared" si="15"/>
        <v>0.17216737424450218</v>
      </c>
      <c r="O65" s="67"/>
      <c r="P65" s="41">
        <f t="shared" si="16"/>
        <v>8.3023605877666977E-4</v>
      </c>
      <c r="R65" s="27">
        <f t="shared" si="37"/>
        <v>2.5137839268044697</v>
      </c>
      <c r="S65" s="27">
        <f t="shared" si="37"/>
        <v>1.4983611649604565</v>
      </c>
      <c r="T65" s="27">
        <f t="shared" si="37"/>
        <v>0.89767475821843756</v>
      </c>
      <c r="U65" s="27">
        <f t="shared" si="37"/>
        <v>0.54049572133640134</v>
      </c>
      <c r="V65" s="27">
        <f t="shared" si="37"/>
        <v>0.32703505059478305</v>
      </c>
      <c r="W65" s="27">
        <f t="shared" si="37"/>
        <v>0.198831135801012</v>
      </c>
      <c r="X65" s="27">
        <f t="shared" si="37"/>
        <v>0.12145711227068581</v>
      </c>
      <c r="Y65" s="27">
        <f t="shared" si="37"/>
        <v>7.4536930714510119E-2</v>
      </c>
    </row>
    <row r="66" spans="1:25" x14ac:dyDescent="0.25">
      <c r="A66" s="21">
        <v>54</v>
      </c>
      <c r="C66" s="25">
        <f t="shared" si="22"/>
        <v>5.422979589734731</v>
      </c>
      <c r="D66" s="23">
        <f>FishHarvestTimeTrends!AC75*((1+' OriginalBCACalculation 7%'!D$10)^MIN(' OriginalBCACalculation 7%'!$A66,20))</f>
        <v>1.839389958735032</v>
      </c>
      <c r="E66" s="23">
        <f>FishHarvestTimeTrends!AD75*((1+' OriginalBCACalculation 7%'!E$10)^MIN(' OriginalBCACalculation 7%'!$A66,20))</f>
        <v>0.26297040156411611</v>
      </c>
      <c r="F66" s="23">
        <f t="shared" si="23"/>
        <v>5.809307812036236</v>
      </c>
      <c r="H66" s="22">
        <f t="shared" si="17"/>
        <v>2.8000000000000001E-2</v>
      </c>
      <c r="I66" s="22"/>
      <c r="J66" s="41"/>
      <c r="K66" s="41">
        <f t="shared" si="6"/>
        <v>0.15027881179598412</v>
      </c>
      <c r="L66" s="41">
        <f t="shared" si="34"/>
        <v>5.0972225296847598E-2</v>
      </c>
      <c r="M66" s="41">
        <f t="shared" si="35"/>
        <v>7.2873000590624147E-3</v>
      </c>
      <c r="N66" s="41">
        <f t="shared" si="15"/>
        <v>0.16098454012301344</v>
      </c>
      <c r="O66" s="67"/>
      <c r="P66" s="41">
        <f t="shared" si="16"/>
        <v>7.7592155025856977E-4</v>
      </c>
      <c r="R66" s="27">
        <f t="shared" si="37"/>
        <v>2.5166885826006524</v>
      </c>
      <c r="S66" s="27">
        <f t="shared" si="37"/>
        <v>1.4852401073789103</v>
      </c>
      <c r="T66" s="27">
        <f t="shared" si="37"/>
        <v>0.88109020952228612</v>
      </c>
      <c r="U66" s="27">
        <f t="shared" si="37"/>
        <v>0.52535947525525584</v>
      </c>
      <c r="V66" s="27">
        <f t="shared" si="37"/>
        <v>0.31482013153327065</v>
      </c>
      <c r="W66" s="27">
        <f t="shared" si="37"/>
        <v>0.18958179378608342</v>
      </c>
      <c r="X66" s="27">
        <f t="shared" si="37"/>
        <v>0.11471458011660519</v>
      </c>
      <c r="Y66" s="27">
        <f t="shared" si="37"/>
        <v>6.9741175233197894E-2</v>
      </c>
    </row>
    <row r="67" spans="1:25" x14ac:dyDescent="0.25">
      <c r="A67" s="21">
        <v>55</v>
      </c>
      <c r="C67" s="25">
        <f t="shared" si="22"/>
        <v>5.422979589734731</v>
      </c>
      <c r="D67" s="23">
        <f>FishHarvestTimeTrends!AC76*((1+' OriginalBCACalculation 7%'!D$10)^MIN(' OriginalBCACalculation 7%'!$A67,20))</f>
        <v>1.8393912735470395</v>
      </c>
      <c r="E67" s="23">
        <f>FishHarvestTimeTrends!AD76*((1+' OriginalBCACalculation 7%'!E$10)^MIN(' OriginalBCACalculation 7%'!$A67,20))</f>
        <v>0.26297054024342631</v>
      </c>
      <c r="F67" s="23">
        <f t="shared" si="23"/>
        <v>5.8122124659422543</v>
      </c>
      <c r="H67" s="22">
        <f t="shared" si="17"/>
        <v>2.8000000000000001E-2</v>
      </c>
      <c r="I67" s="22"/>
      <c r="J67" s="41"/>
      <c r="K67" s="41">
        <f t="shared" si="6"/>
        <v>0.14044748765979825</v>
      </c>
      <c r="L67" s="41">
        <f t="shared" si="34"/>
        <v>4.7637627787139654E-2</v>
      </c>
      <c r="M67" s="41">
        <f t="shared" si="35"/>
        <v>6.8105643944597121E-3</v>
      </c>
      <c r="N67" s="41">
        <f t="shared" si="15"/>
        <v>0.15052806765707941</v>
      </c>
      <c r="O67" s="67"/>
      <c r="P67" s="41">
        <f t="shared" si="16"/>
        <v>7.2516032734445783E-4</v>
      </c>
      <c r="R67" s="27">
        <f t="shared" si="37"/>
        <v>2.5195946899979891</v>
      </c>
      <c r="S67" s="27">
        <f t="shared" si="37"/>
        <v>1.4722328371566573</v>
      </c>
      <c r="T67" s="27">
        <f t="shared" si="37"/>
        <v>0.86481140674284107</v>
      </c>
      <c r="U67" s="27">
        <f t="shared" si="37"/>
        <v>0.51064672429282165</v>
      </c>
      <c r="V67" s="27">
        <f t="shared" si="37"/>
        <v>0.30306121657079599</v>
      </c>
      <c r="W67" s="27">
        <f t="shared" si="37"/>
        <v>0.18076258137516329</v>
      </c>
      <c r="X67" s="27">
        <f t="shared" si="37"/>
        <v>0.10834626887925418</v>
      </c>
      <c r="Y67" s="27">
        <f t="shared" si="37"/>
        <v>6.5253932506224979E-2</v>
      </c>
    </row>
    <row r="68" spans="1:25" x14ac:dyDescent="0.25">
      <c r="A68" s="21">
        <v>56</v>
      </c>
      <c r="C68" s="25">
        <f t="shared" si="22"/>
        <v>5.422979589734731</v>
      </c>
      <c r="D68" s="23">
        <f>FishHarvestTimeTrends!AC77*((1+' OriginalBCACalculation 7%'!D$10)^MIN(' OriginalBCACalculation 7%'!$A68,20))</f>
        <v>1.839392588359047</v>
      </c>
      <c r="E68" s="23">
        <f>FishHarvestTimeTrends!AD77*((1+' OriginalBCACalculation 7%'!E$10)^MIN(' OriginalBCACalculation 7%'!$A68,20))</f>
        <v>0.26297067892273651</v>
      </c>
      <c r="F68" s="23">
        <f t="shared" si="23"/>
        <v>5.8151185721752254</v>
      </c>
      <c r="H68" s="22">
        <f t="shared" si="17"/>
        <v>2.8000000000000001E-2</v>
      </c>
      <c r="I68" s="22"/>
      <c r="J68" s="41"/>
      <c r="K68" s="41">
        <f t="shared" si="6"/>
        <v>0.13125933426149369</v>
      </c>
      <c r="L68" s="41">
        <f t="shared" si="34"/>
        <v>4.4521179288698802E-2</v>
      </c>
      <c r="M68" s="41">
        <f t="shared" si="35"/>
        <v>6.3650168093993967E-3</v>
      </c>
      <c r="N68" s="41">
        <f t="shared" si="15"/>
        <v>0.14075077728122237</v>
      </c>
      <c r="O68" s="67"/>
      <c r="P68" s="41">
        <f t="shared" si="16"/>
        <v>6.7771993209762415E-4</v>
      </c>
      <c r="R68" s="27">
        <f t="shared" si="37"/>
        <v>2.5225022497222778</v>
      </c>
      <c r="S68" s="27">
        <f t="shared" si="37"/>
        <v>1.4593383793527288</v>
      </c>
      <c r="T68" s="27">
        <f t="shared" si="37"/>
        <v>0.84883272653917197</v>
      </c>
      <c r="U68" s="27">
        <f t="shared" si="37"/>
        <v>0.49634563103179502</v>
      </c>
      <c r="V68" s="27">
        <f t="shared" si="37"/>
        <v>0.29174129124438258</v>
      </c>
      <c r="W68" s="27">
        <f t="shared" si="37"/>
        <v>0.17235350249917702</v>
      </c>
      <c r="X68" s="27">
        <f t="shared" si="37"/>
        <v>0.10233141340934061</v>
      </c>
      <c r="Y68" s="27">
        <f t="shared" si="37"/>
        <v>6.1055359049924506E-2</v>
      </c>
    </row>
    <row r="69" spans="1:25" x14ac:dyDescent="0.25">
      <c r="A69" s="21">
        <v>57</v>
      </c>
      <c r="C69" s="25">
        <f t="shared" si="22"/>
        <v>5.422979589734731</v>
      </c>
      <c r="D69" s="23">
        <f>FishHarvestTimeTrends!AC78*((1+' OriginalBCACalculation 7%'!D$10)^MIN(' OriginalBCACalculation 7%'!$A69,20))</f>
        <v>1.8393939031710542</v>
      </c>
      <c r="E69" s="23">
        <f>FishHarvestTimeTrends!AD78*((1+' OriginalBCACalculation 7%'!E$10)^MIN(' OriginalBCACalculation 7%'!$A69,20))</f>
        <v>0.26297081760204677</v>
      </c>
      <c r="F69" s="23">
        <f t="shared" si="23"/>
        <v>5.8180261314613126</v>
      </c>
      <c r="H69" s="22">
        <f t="shared" si="17"/>
        <v>2.8000000000000001E-2</v>
      </c>
      <c r="I69" s="22"/>
      <c r="J69" s="41"/>
      <c r="K69" s="41">
        <f t="shared" si="6"/>
        <v>0.12267227501074177</v>
      </c>
      <c r="L69" s="41">
        <f t="shared" si="34"/>
        <v>4.1608608516617844E-2</v>
      </c>
      <c r="M69" s="41">
        <f t="shared" si="35"/>
        <v>5.9486169776006622E-3</v>
      </c>
      <c r="N69" s="41">
        <f t="shared" si="15"/>
        <v>0.13160855389706821</v>
      </c>
      <c r="O69" s="67"/>
      <c r="P69" s="41">
        <f t="shared" si="16"/>
        <v>6.3338311410992914E-4</v>
      </c>
      <c r="R69" s="27">
        <f t="shared" si="37"/>
        <v>2.5254112624996825</v>
      </c>
      <c r="S69" s="27">
        <f t="shared" si="37"/>
        <v>1.4465557672524278</v>
      </c>
      <c r="T69" s="27">
        <f t="shared" si="37"/>
        <v>0.83314864872624839</v>
      </c>
      <c r="U69" s="27">
        <f t="shared" si="37"/>
        <v>0.48244468858820005</v>
      </c>
      <c r="V69" s="27">
        <f t="shared" si="37"/>
        <v>0.28084397558549112</v>
      </c>
      <c r="W69" s="27">
        <f t="shared" si="37"/>
        <v>0.16433549035745509</v>
      </c>
      <c r="X69" s="27">
        <f t="shared" si="37"/>
        <v>9.6650400526845967E-2</v>
      </c>
      <c r="Y69" s="27">
        <f t="shared" si="37"/>
        <v>5.7126887494654874E-2</v>
      </c>
    </row>
    <row r="70" spans="1:25" x14ac:dyDescent="0.25">
      <c r="A70" s="21">
        <v>58</v>
      </c>
      <c r="C70" s="25">
        <f t="shared" si="22"/>
        <v>5.422979589734731</v>
      </c>
      <c r="D70" s="23">
        <f>FishHarvestTimeTrends!AC79*((1+' OriginalBCACalculation 7%'!D$10)^MIN(' OriginalBCACalculation 7%'!$A70,20))</f>
        <v>1.8393952179830615</v>
      </c>
      <c r="E70" s="23">
        <f>FishHarvestTimeTrends!AD79*((1+' OriginalBCACalculation 7%'!E$10)^MIN(' OriginalBCACalculation 7%'!$A70,20))</f>
        <v>0.26297095628135703</v>
      </c>
      <c r="F70" s="23">
        <f t="shared" si="23"/>
        <v>5.8209351445270432</v>
      </c>
      <c r="H70" s="22">
        <f t="shared" si="17"/>
        <v>2.8000000000000001E-2</v>
      </c>
      <c r="I70" s="22"/>
      <c r="J70" s="41"/>
      <c r="K70" s="41">
        <f t="shared" si="6"/>
        <v>0.11464698599134744</v>
      </c>
      <c r="L70" s="41">
        <f t="shared" si="34"/>
        <v>3.8886577811916664E-2</v>
      </c>
      <c r="M70" s="41">
        <f t="shared" si="35"/>
        <v>5.5594580510664859E-3</v>
      </c>
      <c r="N70" s="41">
        <f t="shared" si="15"/>
        <v>0.12306014782618387</v>
      </c>
      <c r="O70" s="67"/>
      <c r="P70" s="41">
        <f t="shared" si="16"/>
        <v>5.9194683561675612E-4</v>
      </c>
      <c r="R70" s="27">
        <f t="shared" si="37"/>
        <v>2.5283217290567297</v>
      </c>
      <c r="S70" s="27">
        <f t="shared" si="37"/>
        <v>1.4338840422993027</v>
      </c>
      <c r="T70" s="27">
        <f t="shared" si="37"/>
        <v>0.81775375438812214</v>
      </c>
      <c r="U70" s="27">
        <f t="shared" si="37"/>
        <v>0.46893271139221809</v>
      </c>
      <c r="V70" s="27">
        <f t="shared" si="37"/>
        <v>0.27035350047251194</v>
      </c>
      <c r="W70" s="27">
        <f t="shared" si="37"/>
        <v>0.1566903642476288</v>
      </c>
      <c r="X70" s="27">
        <f t="shared" si="37"/>
        <v>9.1284705129641472E-2</v>
      </c>
      <c r="Y70" s="27">
        <f t="shared" si="37"/>
        <v>5.3451144533436308E-2</v>
      </c>
    </row>
    <row r="71" spans="1:25" x14ac:dyDescent="0.25">
      <c r="A71" s="21">
        <v>59</v>
      </c>
      <c r="C71" s="25">
        <f t="shared" si="22"/>
        <v>5.422979589734731</v>
      </c>
      <c r="D71" s="23">
        <f>FishHarvestTimeTrends!AC80*((1+' OriginalBCACalculation 7%'!D$10)^MIN(' OriginalBCACalculation 7%'!$A71,20))</f>
        <v>1.8393965327950688</v>
      </c>
      <c r="E71" s="23">
        <f>FishHarvestTimeTrends!AD80*((1+' OriginalBCACalculation 7%'!E$10)^MIN(' OriginalBCACalculation 7%'!$A71,20))</f>
        <v>0.26297109496066717</v>
      </c>
      <c r="F71" s="23">
        <f t="shared" si="23"/>
        <v>5.8238456120993067</v>
      </c>
      <c r="H71" s="22">
        <f t="shared" si="17"/>
        <v>2.8000000000000001E-2</v>
      </c>
      <c r="I71" s="22"/>
      <c r="J71" s="41"/>
      <c r="K71" s="41">
        <f t="shared" si="6"/>
        <v>0.10714671587976397</v>
      </c>
      <c r="L71" s="41">
        <f t="shared" si="34"/>
        <v>3.6342622063834241E-2</v>
      </c>
      <c r="M71" s="41">
        <f t="shared" si="35"/>
        <v>5.1957579279252484E-3</v>
      </c>
      <c r="N71" s="41">
        <f t="shared" si="15"/>
        <v>0.11506698869167942</v>
      </c>
      <c r="O71" s="67"/>
      <c r="P71" s="41">
        <f t="shared" si="16"/>
        <v>5.5322134169790305E-4</v>
      </c>
      <c r="R71" s="27">
        <f t="shared" si="37"/>
        <v>2.5312336501203117</v>
      </c>
      <c r="S71" s="27">
        <f t="shared" si="37"/>
        <v>1.4213222540276638</v>
      </c>
      <c r="T71" s="27">
        <f t="shared" si="37"/>
        <v>0.80264272402550785</v>
      </c>
      <c r="U71" s="27">
        <f t="shared" si="37"/>
        <v>0.45579882622585338</v>
      </c>
      <c r="V71" s="27">
        <f t="shared" si="37"/>
        <v>0.26025468486406034</v>
      </c>
      <c r="W71" s="27">
        <f t="shared" si="37"/>
        <v>0.14940078840029522</v>
      </c>
      <c r="X71" s="27">
        <f t="shared" si="37"/>
        <v>8.6216829844816587E-2</v>
      </c>
      <c r="Y71" s="27">
        <f t="shared" si="37"/>
        <v>5.001187414537283E-2</v>
      </c>
    </row>
    <row r="72" spans="1:25" x14ac:dyDescent="0.25">
      <c r="A72" s="21">
        <v>60</v>
      </c>
      <c r="C72" s="25">
        <f t="shared" si="22"/>
        <v>5.422979589734731</v>
      </c>
      <c r="D72" s="23">
        <f>FishHarvestTimeTrends!AC81*((1+' OriginalBCACalculation 7%'!D$10)^MIN(' OriginalBCACalculation 7%'!$A72,20))</f>
        <v>1.8393978476070763</v>
      </c>
      <c r="E72" s="23">
        <f>FishHarvestTimeTrends!AD81*((1+' OriginalBCACalculation 7%'!E$10)^MIN(' OriginalBCACalculation 7%'!$A72,20))</f>
        <v>0.26297123363997749</v>
      </c>
      <c r="F72" s="23">
        <f t="shared" si="23"/>
        <v>5.8267575349053562</v>
      </c>
      <c r="H72" s="22">
        <f t="shared" si="17"/>
        <v>2.8000000000000001E-2</v>
      </c>
      <c r="I72" s="22"/>
      <c r="J72" s="41"/>
      <c r="K72" s="41">
        <f t="shared" si="6"/>
        <v>0.10013711764463921</v>
      </c>
      <c r="L72" s="41">
        <f t="shared" si="34"/>
        <v>3.3965091627817801E-2</v>
      </c>
      <c r="M72" s="41">
        <f t="shared" si="35"/>
        <v>4.8558510915307418E-3</v>
      </c>
      <c r="N72" s="41">
        <f t="shared" si="15"/>
        <v>0.10759301138880863</v>
      </c>
      <c r="O72" s="67"/>
      <c r="P72" s="41">
        <f t="shared" si="16"/>
        <v>5.170292913064513E-4</v>
      </c>
      <c r="R72" s="27">
        <f t="shared" si="37"/>
        <v>2.5341470264176786</v>
      </c>
      <c r="S72" s="27">
        <f t="shared" si="37"/>
        <v>1.4088694599956413</v>
      </c>
      <c r="T72" s="27">
        <f t="shared" si="37"/>
        <v>0.78781033573713566</v>
      </c>
      <c r="U72" s="27">
        <f t="shared" si="37"/>
        <v>0.44303246351028275</v>
      </c>
      <c r="V72" s="27">
        <f t="shared" si="37"/>
        <v>0.25053291388028431</v>
      </c>
      <c r="W72" s="27">
        <f t="shared" si="37"/>
        <v>0.14245023272538596</v>
      </c>
      <c r="X72" s="27">
        <f t="shared" si="37"/>
        <v>8.1430248026329213E-2</v>
      </c>
      <c r="Y72" s="27">
        <f t="shared" si="37"/>
        <v>4.6793865754824401E-2</v>
      </c>
    </row>
    <row r="73" spans="1:25" x14ac:dyDescent="0.25">
      <c r="A73" s="21">
        <v>61</v>
      </c>
      <c r="C73" s="25">
        <f t="shared" si="22"/>
        <v>5.422979589734731</v>
      </c>
      <c r="D73" s="23">
        <f>FishHarvestTimeTrends!AC82*((1+' OriginalBCACalculation 7%'!D$10)^MIN(' OriginalBCACalculation 7%'!$A73,20))</f>
        <v>1.8393991624190837</v>
      </c>
      <c r="E73" s="23">
        <f>FishHarvestTimeTrends!AD82*((1+' OriginalBCACalculation 7%'!E$10)^MIN(' OriginalBCACalculation 7%'!$A73,20))</f>
        <v>0.26297137231928763</v>
      </c>
      <c r="F73" s="23">
        <f t="shared" si="23"/>
        <v>5.8296709136728087</v>
      </c>
      <c r="H73" s="22">
        <f t="shared" si="17"/>
        <v>2.8000000000000001E-2</v>
      </c>
      <c r="I73" s="22"/>
      <c r="J73" s="41"/>
      <c r="K73" s="41">
        <f t="shared" si="6"/>
        <v>9.3586091256672166E-2</v>
      </c>
      <c r="L73" s="41">
        <f t="shared" si="34"/>
        <v>3.1743098977811052E-2</v>
      </c>
      <c r="M73" s="41">
        <f t="shared" si="35"/>
        <v>4.5381809834488061E-3</v>
      </c>
      <c r="N73" s="41">
        <f t="shared" si="15"/>
        <v>0.10060449335934864</v>
      </c>
      <c r="O73" s="67"/>
      <c r="P73" s="41">
        <f t="shared" si="16"/>
        <v>4.8320494514621622E-4</v>
      </c>
      <c r="R73" s="27">
        <f t="shared" si="37"/>
        <v>2.5370618586764486</v>
      </c>
      <c r="S73" s="27">
        <f t="shared" si="37"/>
        <v>1.3965247257187898</v>
      </c>
      <c r="T73" s="27">
        <f t="shared" si="37"/>
        <v>0.77325146343426954</v>
      </c>
      <c r="U73" s="27">
        <f t="shared" si="37"/>
        <v>0.43062334883594966</v>
      </c>
      <c r="V73" s="27">
        <f t="shared" si="37"/>
        <v>0.24117411770062372</v>
      </c>
      <c r="W73" s="27">
        <f t="shared" si="37"/>
        <v>0.13582293538149784</v>
      </c>
      <c r="X73" s="27">
        <f t="shared" si="37"/>
        <v>7.6909349913473757E-2</v>
      </c>
      <c r="Y73" s="27">
        <f t="shared" si="37"/>
        <v>4.3782887009082526E-2</v>
      </c>
    </row>
    <row r="74" spans="1:25" x14ac:dyDescent="0.25">
      <c r="A74" s="21">
        <v>62</v>
      </c>
      <c r="C74" s="25">
        <f t="shared" si="22"/>
        <v>5.422979589734731</v>
      </c>
      <c r="D74" s="23">
        <f>FishHarvestTimeTrends!AC83*((1+' OriginalBCACalculation 7%'!D$10)^MIN(' OriginalBCACalculation 7%'!$A74,20))</f>
        <v>1.8394004772310912</v>
      </c>
      <c r="E74" s="23">
        <f>FishHarvestTimeTrends!AD83*((1+' OriginalBCACalculation 7%'!E$10)^MIN(' OriginalBCACalculation 7%'!$A74,20))</f>
        <v>0.26297151099859789</v>
      </c>
      <c r="F74" s="23">
        <f t="shared" si="23"/>
        <v>5.8325857491296444</v>
      </c>
      <c r="H74" s="22">
        <f t="shared" si="17"/>
        <v>2.8000000000000001E-2</v>
      </c>
      <c r="I74" s="22"/>
      <c r="J74" s="41"/>
      <c r="K74" s="41">
        <f t="shared" si="6"/>
        <v>8.746363668847866E-2</v>
      </c>
      <c r="L74" s="41">
        <f t="shared" si="34"/>
        <v>2.9666468848543837E-2</v>
      </c>
      <c r="M74" s="41">
        <f t="shared" si="35"/>
        <v>4.2412928754037077E-3</v>
      </c>
      <c r="N74" s="41">
        <f t="shared" si="15"/>
        <v>9.4069902435540462E-2</v>
      </c>
      <c r="O74" s="67"/>
      <c r="P74" s="41">
        <f t="shared" si="16"/>
        <v>4.5159340667870674E-4</v>
      </c>
      <c r="R74" s="27">
        <f t="shared" si="37"/>
        <v>2.5399781476246019</v>
      </c>
      <c r="S74" s="27">
        <f t="shared" si="37"/>
        <v>1.3842871246042221</v>
      </c>
      <c r="T74" s="27">
        <f t="shared" si="37"/>
        <v>0.75896107508778177</v>
      </c>
      <c r="U74" s="27">
        <f t="shared" si="37"/>
        <v>0.41856149472864129</v>
      </c>
      <c r="V74" s="27">
        <f t="shared" si="37"/>
        <v>0.23216475124762306</v>
      </c>
      <c r="W74" s="27">
        <f t="shared" si="37"/>
        <v>0.12950386708355552</v>
      </c>
      <c r="X74" s="27">
        <f t="shared" si="37"/>
        <v>7.2639391774940734E-2</v>
      </c>
      <c r="Y74" s="27">
        <f t="shared" si="37"/>
        <v>4.0965620877688042E-2</v>
      </c>
    </row>
    <row r="75" spans="1:25" x14ac:dyDescent="0.25">
      <c r="A75" s="21">
        <v>63</v>
      </c>
      <c r="C75" s="25">
        <f t="shared" si="22"/>
        <v>5.422979589734731</v>
      </c>
      <c r="D75" s="23">
        <f>FishHarvestTimeTrends!AC84*((1+' OriginalBCACalculation 7%'!D$10)^MIN(' OriginalBCACalculation 7%'!$A75,20))</f>
        <v>1.8394017920430983</v>
      </c>
      <c r="E75" s="23">
        <f>FishHarvestTimeTrends!AD84*((1+' OriginalBCACalculation 7%'!E$10)^MIN(' OriginalBCACalculation 7%'!$A75,20))</f>
        <v>0.26297164967790809</v>
      </c>
      <c r="F75" s="23">
        <f t="shared" si="23"/>
        <v>5.835502042004209</v>
      </c>
      <c r="H75" s="22">
        <f t="shared" si="17"/>
        <v>2.8000000000000001E-2</v>
      </c>
      <c r="I75" s="22"/>
      <c r="J75" s="41"/>
      <c r="K75" s="41">
        <f t="shared" si="6"/>
        <v>8.1741716531288477E-2</v>
      </c>
      <c r="L75" s="41">
        <f t="shared" si="34"/>
        <v>2.7725691639508044E-2</v>
      </c>
      <c r="M75" s="41">
        <f t="shared" si="35"/>
        <v>3.9638272075422547E-3</v>
      </c>
      <c r="N75" s="41">
        <f t="shared" si="15"/>
        <v>8.7959754567063772E-2</v>
      </c>
      <c r="O75" s="67"/>
      <c r="P75" s="41">
        <f t="shared" si="16"/>
        <v>4.2204991278383812E-4</v>
      </c>
      <c r="R75" s="27">
        <f t="shared" si="37"/>
        <v>2.542895893990484</v>
      </c>
      <c r="S75" s="27">
        <f t="shared" si="37"/>
        <v>1.3721557378852736</v>
      </c>
      <c r="T75" s="27">
        <f t="shared" si="37"/>
        <v>0.74493423100719292</v>
      </c>
      <c r="U75" s="27">
        <f t="shared" si="37"/>
        <v>0.40683719264498619</v>
      </c>
      <c r="V75" s="27">
        <f t="shared" si="37"/>
        <v>0.22349177462753889</v>
      </c>
      <c r="W75" s="27">
        <f t="shared" si="37"/>
        <v>0.12347869706810911</v>
      </c>
      <c r="X75" s="27">
        <f t="shared" si="37"/>
        <v>6.8606447872956403E-2</v>
      </c>
      <c r="Y75" s="27">
        <f t="shared" si="37"/>
        <v>3.8329606795609421E-2</v>
      </c>
    </row>
    <row r="76" spans="1:25" x14ac:dyDescent="0.25">
      <c r="A76" s="21">
        <v>64</v>
      </c>
      <c r="C76" s="25">
        <f t="shared" si="22"/>
        <v>5.422979589734731</v>
      </c>
      <c r="D76" s="23">
        <f>FishHarvestTimeTrends!AC85*((1+' OriginalBCACalculation 7%'!D$10)^MIN(' OriginalBCACalculation 7%'!$A76,20))</f>
        <v>1.8394031068551058</v>
      </c>
      <c r="E76" s="23">
        <f>FishHarvestTimeTrends!AD85*((1+' OriginalBCACalculation 7%'!E$10)^MIN(' OriginalBCACalculation 7%'!$A76,20))</f>
        <v>0.26297178835721835</v>
      </c>
      <c r="F76" s="23">
        <f t="shared" si="23"/>
        <v>5.8384197930252109</v>
      </c>
      <c r="H76" s="22">
        <f t="shared" si="17"/>
        <v>2.8000000000000001E-2</v>
      </c>
      <c r="I76" s="22"/>
      <c r="J76" s="41"/>
      <c r="K76" s="41">
        <f t="shared" si="6"/>
        <v>7.6394127599335018E-2</v>
      </c>
      <c r="L76" s="41">
        <f t="shared" si="34"/>
        <v>2.5911879867240258E-2</v>
      </c>
      <c r="M76" s="41">
        <f t="shared" si="35"/>
        <v>3.7045133625091429E-3</v>
      </c>
      <c r="N76" s="41">
        <f t="shared" si="15"/>
        <v>8.2246480789109608E-2</v>
      </c>
      <c r="O76" s="67"/>
      <c r="P76" s="41">
        <f t="shared" si="16"/>
        <v>3.9443917082601686E-4</v>
      </c>
      <c r="R76" s="27">
        <f t="shared" si="37"/>
        <v>2.5458150985028034</v>
      </c>
      <c r="S76" s="27">
        <f t="shared" si="37"/>
        <v>1.3601296545566957</v>
      </c>
      <c r="T76" s="27">
        <f t="shared" si="37"/>
        <v>0.73116608215110135</v>
      </c>
      <c r="U76" s="27">
        <f t="shared" si="37"/>
        <v>0.39544100519098696</v>
      </c>
      <c r="V76" s="27">
        <f t="shared" si="37"/>
        <v>0.21514263429956793</v>
      </c>
      <c r="W76" s="27">
        <f t="shared" si="37"/>
        <v>0.11773376063930927</v>
      </c>
      <c r="X76" s="27">
        <f t="shared" si="37"/>
        <v>6.4797365091160755E-2</v>
      </c>
      <c r="Y76" s="27">
        <f t="shared" si="37"/>
        <v>3.5863185590350004E-2</v>
      </c>
    </row>
    <row r="77" spans="1:25" x14ac:dyDescent="0.25">
      <c r="A77" s="21">
        <v>65</v>
      </c>
      <c r="C77" s="25">
        <f t="shared" si="22"/>
        <v>5.422979589734731</v>
      </c>
      <c r="D77" s="23">
        <f>FishHarvestTimeTrends!AC86*((1+' OriginalBCACalculation 7%'!D$10)^MIN(' OriginalBCACalculation 7%'!$A77,20))</f>
        <v>1.8394044216671133</v>
      </c>
      <c r="E77" s="23">
        <f>FishHarvestTimeTrends!AD86*((1+' OriginalBCACalculation 7%'!E$10)^MIN(' OriginalBCACalculation 7%'!$A77,20))</f>
        <v>0.26297192703652855</v>
      </c>
      <c r="F77" s="23">
        <f t="shared" si="23"/>
        <v>5.8413390029217229</v>
      </c>
      <c r="H77" s="22">
        <f t="shared" si="17"/>
        <v>2.8000000000000001E-2</v>
      </c>
      <c r="I77" s="22"/>
      <c r="J77" s="41"/>
      <c r="K77" s="41">
        <f t="shared" ref="K77:K112" si="38">C77/((1+$M$9)^($A77-1))</f>
        <v>7.1396380933957962E-2</v>
      </c>
      <c r="L77" s="41">
        <f t="shared" ref="L77:L112" si="39">D77/((1+$M$9)^($A77-1))</f>
        <v>2.4216727466491499E-2</v>
      </c>
      <c r="M77" s="41">
        <f t="shared" ref="M77:M112" si="40">E77/((1+$M$9)^($A77-1))</f>
        <v>3.4621638468227017E-3</v>
      </c>
      <c r="N77" s="41">
        <f t="shared" ref="N77:N112" si="41">F77/((1+$M$9)^($A77-1))</f>
        <v>7.6904302831312304E-2</v>
      </c>
      <c r="O77" s="67"/>
      <c r="P77" s="41">
        <f t="shared" ref="P77:P112" si="42">H77/((1+$M$9)^($A77-1))</f>
        <v>3.6863473908973544E-4</v>
      </c>
      <c r="R77" s="27">
        <f t="shared" si="37"/>
        <v>2.548735761890633</v>
      </c>
      <c r="S77" s="27">
        <f t="shared" si="37"/>
        <v>1.3482079713103661</v>
      </c>
      <c r="T77" s="27">
        <f t="shared" si="37"/>
        <v>0.71765186846842444</v>
      </c>
      <c r="U77" s="27">
        <f t="shared" si="37"/>
        <v>0.38436375855738159</v>
      </c>
      <c r="V77" s="27">
        <f t="shared" si="37"/>
        <v>0.2071052449465714</v>
      </c>
      <c r="W77" s="27">
        <f t="shared" si="37"/>
        <v>0.11225602822217907</v>
      </c>
      <c r="X77" s="27">
        <f t="shared" si="37"/>
        <v>6.1199720078550117E-2</v>
      </c>
      <c r="Y77" s="27">
        <f t="shared" si="37"/>
        <v>3.3555447949758267E-2</v>
      </c>
    </row>
    <row r="78" spans="1:25" x14ac:dyDescent="0.25">
      <c r="A78" s="21">
        <v>66</v>
      </c>
      <c r="C78" s="25">
        <f t="shared" si="22"/>
        <v>5.422979589734731</v>
      </c>
      <c r="D78" s="23">
        <f>FishHarvestTimeTrends!AC87*((1+' OriginalBCACalculation 7%'!D$10)^MIN(' OriginalBCACalculation 7%'!$A78,20))</f>
        <v>1.8394057364791205</v>
      </c>
      <c r="E78" s="23">
        <f>FishHarvestTimeTrends!AD87*((1+' OriginalBCACalculation 7%'!E$10)^MIN(' OriginalBCACalculation 7%'!$A78,20))</f>
        <v>0.26297206571583881</v>
      </c>
      <c r="F78" s="23">
        <f t="shared" si="23"/>
        <v>5.8442596724231839</v>
      </c>
      <c r="H78" s="22">
        <f t="shared" si="17"/>
        <v>2.8000000000000001E-2</v>
      </c>
      <c r="I78" s="22"/>
      <c r="J78" s="41"/>
      <c r="K78" s="41">
        <f t="shared" si="38"/>
        <v>6.6725589657904635E-2</v>
      </c>
      <c r="L78" s="41">
        <f t="shared" si="39"/>
        <v>2.2632471753909984E-2</v>
      </c>
      <c r="M78" s="41">
        <f t="shared" si="40"/>
        <v>3.2356688529054404E-3</v>
      </c>
      <c r="N78" s="41">
        <f t="shared" si="41"/>
        <v>7.1909116806287809E-2</v>
      </c>
      <c r="O78" s="67"/>
      <c r="P78" s="41">
        <f t="shared" si="42"/>
        <v>3.4451844774741628E-4</v>
      </c>
      <c r="R78" s="27">
        <f t="shared" ref="R78:Y93" si="43">(SUM($D78:$H78)-SUM($B78:$C78))/((1+R$10)^($A78-1))</f>
        <v>2.5516578848834115</v>
      </c>
      <c r="S78" s="27">
        <f t="shared" si="43"/>
        <v>1.3363897924715284</v>
      </c>
      <c r="T78" s="27">
        <f t="shared" si="43"/>
        <v>0.70438691726990055</v>
      </c>
      <c r="U78" s="27">
        <f t="shared" si="43"/>
        <v>0.37359653516579827</v>
      </c>
      <c r="V78" s="27">
        <f t="shared" si="43"/>
        <v>0.19936797202117884</v>
      </c>
      <c r="W78" s="27">
        <f t="shared" si="43"/>
        <v>0.10703307585320157</v>
      </c>
      <c r="X78" s="27">
        <f t="shared" si="43"/>
        <v>5.7801778769992929E-2</v>
      </c>
      <c r="Y78" s="27">
        <f t="shared" si="43"/>
        <v>3.1396186202946007E-2</v>
      </c>
    </row>
    <row r="79" spans="1:25" x14ac:dyDescent="0.25">
      <c r="A79" s="21">
        <v>67</v>
      </c>
      <c r="C79" s="25">
        <f t="shared" si="22"/>
        <v>5.422979589734731</v>
      </c>
      <c r="D79" s="23">
        <f>FishHarvestTimeTrends!AC88*((1+' OriginalBCACalculation 7%'!D$10)^MIN(' OriginalBCACalculation 7%'!$A79,20))</f>
        <v>1.839407051291128</v>
      </c>
      <c r="E79" s="23">
        <f>FishHarvestTimeTrends!AD88*((1+' OriginalBCACalculation 7%'!E$10)^MIN(' OriginalBCACalculation 7%'!$A79,20))</f>
        <v>0.26297220439514901</v>
      </c>
      <c r="F79" s="23">
        <f t="shared" si="23"/>
        <v>5.8471818022593949</v>
      </c>
      <c r="H79" s="22">
        <f t="shared" si="17"/>
        <v>2.8000000000000001E-2</v>
      </c>
      <c r="I79" s="22"/>
      <c r="J79" s="41"/>
      <c r="K79" s="41">
        <f t="shared" si="38"/>
        <v>6.2360364166266016E-2</v>
      </c>
      <c r="L79" s="41">
        <f t="shared" si="39"/>
        <v>2.1151857880055792E-2</v>
      </c>
      <c r="M79" s="41">
        <f t="shared" si="40"/>
        <v>3.0239911768669232E-3</v>
      </c>
      <c r="N79" s="41">
        <f t="shared" si="41"/>
        <v>6.7238384452982192E-2</v>
      </c>
      <c r="O79" s="67"/>
      <c r="P79" s="41">
        <f t="shared" si="42"/>
        <v>3.2197985770786568E-4</v>
      </c>
      <c r="R79" s="27">
        <f t="shared" si="43"/>
        <v>2.5545814682109409</v>
      </c>
      <c r="S79" s="27">
        <f t="shared" si="43"/>
        <v>1.3246742299355327</v>
      </c>
      <c r="T79" s="27">
        <f t="shared" si="43"/>
        <v>0.69136664162929184</v>
      </c>
      <c r="U79" s="27">
        <f t="shared" si="43"/>
        <v>0.363130666519839</v>
      </c>
      <c r="V79" s="27">
        <f t="shared" si="43"/>
        <v>0.19191961494212684</v>
      </c>
      <c r="W79" s="27">
        <f t="shared" si="43"/>
        <v>0.10205305704149427</v>
      </c>
      <c r="X79" s="27">
        <f t="shared" si="43"/>
        <v>5.4592458151560379E-2</v>
      </c>
      <c r="Y79" s="27">
        <f t="shared" si="43"/>
        <v>2.9375849201346761E-2</v>
      </c>
    </row>
    <row r="80" spans="1:25" x14ac:dyDescent="0.25">
      <c r="A80" s="21">
        <v>68</v>
      </c>
      <c r="C80" s="25">
        <f t="shared" si="22"/>
        <v>5.422979589734731</v>
      </c>
      <c r="D80" s="23">
        <f>FishHarvestTimeTrends!AC89*((1+' OriginalBCACalculation 7%'!D$10)^MIN(' OriginalBCACalculation 7%'!$A80,20))</f>
        <v>1.8394083661031355</v>
      </c>
      <c r="E80" s="23">
        <f>FishHarvestTimeTrends!AD89*((1+' OriginalBCACalculation 7%'!E$10)^MIN(' OriginalBCACalculation 7%'!$A80,20))</f>
        <v>0.26297234307445921</v>
      </c>
      <c r="F80" s="23">
        <f t="shared" si="23"/>
        <v>5.8501053931605247</v>
      </c>
      <c r="H80" s="22">
        <f t="shared" si="17"/>
        <v>2.8000000000000001E-2</v>
      </c>
      <c r="I80" s="22"/>
      <c r="J80" s="41"/>
      <c r="K80" s="41">
        <f t="shared" si="38"/>
        <v>5.8280714174080386E-2</v>
      </c>
      <c r="L80" s="41">
        <f t="shared" si="39"/>
        <v>1.9768105606960788E-2</v>
      </c>
      <c r="M80" s="41">
        <f t="shared" si="40"/>
        <v>2.8261614687656346E-3</v>
      </c>
      <c r="N80" s="41">
        <f t="shared" si="41"/>
        <v>6.2871031444120276E-2</v>
      </c>
      <c r="O80" s="67"/>
      <c r="P80" s="41">
        <f t="shared" si="42"/>
        <v>3.0091575486716418E-4</v>
      </c>
      <c r="R80" s="27">
        <f t="shared" si="43"/>
        <v>2.5575065126033873</v>
      </c>
      <c r="S80" s="27">
        <f t="shared" si="43"/>
        <v>1.313060403105095</v>
      </c>
      <c r="T80" s="27">
        <f t="shared" si="43"/>
        <v>0.67858653881375597</v>
      </c>
      <c r="U80" s="27">
        <f t="shared" si="43"/>
        <v>0.35295772625538652</v>
      </c>
      <c r="V80" s="27">
        <f t="shared" si="43"/>
        <v>0.18474939091662501</v>
      </c>
      <c r="W80" s="27">
        <f t="shared" si="43"/>
        <v>9.7304675936936133E-2</v>
      </c>
      <c r="X80" s="27">
        <f t="shared" si="43"/>
        <v>5.1561290146215445E-2</v>
      </c>
      <c r="Y80" s="27">
        <f t="shared" si="43"/>
        <v>2.7485500100633459E-2</v>
      </c>
    </row>
    <row r="81" spans="1:25" x14ac:dyDescent="0.25">
      <c r="A81" s="21">
        <v>69</v>
      </c>
      <c r="C81" s="25">
        <f t="shared" si="22"/>
        <v>5.422979589734731</v>
      </c>
      <c r="D81" s="23">
        <f>FishHarvestTimeTrends!AC90*((1+' OriginalBCACalculation 7%'!D$10)^MIN(' OriginalBCACalculation 7%'!$A81,20))</f>
        <v>1.8394096809151428</v>
      </c>
      <c r="E81" s="23">
        <f>FishHarvestTimeTrends!AD90*((1+' OriginalBCACalculation 7%'!E$10)^MIN(' OriginalBCACalculation 7%'!$A81,20))</f>
        <v>0.26297248175376947</v>
      </c>
      <c r="F81" s="23">
        <f t="shared" si="23"/>
        <v>5.8530304458571045</v>
      </c>
      <c r="H81" s="22">
        <f t="shared" si="17"/>
        <v>2.8000000000000001E-2</v>
      </c>
      <c r="I81" s="22"/>
      <c r="J81" s="41"/>
      <c r="K81" s="41">
        <f t="shared" si="38"/>
        <v>5.446795717203775E-2</v>
      </c>
      <c r="L81" s="41">
        <f t="shared" si="39"/>
        <v>1.8474878259097122E-2</v>
      </c>
      <c r="M81" s="41">
        <f t="shared" si="40"/>
        <v>2.6412737935990354E-3</v>
      </c>
      <c r="N81" s="41">
        <f t="shared" si="41"/>
        <v>5.8787352298918065E-2</v>
      </c>
      <c r="O81" s="67"/>
      <c r="P81" s="41">
        <f t="shared" si="42"/>
        <v>2.8122967744594784E-4</v>
      </c>
      <c r="R81" s="27">
        <f t="shared" si="43"/>
        <v>2.5604330187912847</v>
      </c>
      <c r="S81" s="27">
        <f t="shared" si="43"/>
        <v>1.3015474388280626</v>
      </c>
      <c r="T81" s="27">
        <f t="shared" si="43"/>
        <v>0.6660421887428547</v>
      </c>
      <c r="U81" s="27">
        <f t="shared" si="43"/>
        <v>0.34306952338459129</v>
      </c>
      <c r="V81" s="27">
        <f t="shared" si="43"/>
        <v>0.1778469193654402</v>
      </c>
      <c r="W81" s="27">
        <f t="shared" si="43"/>
        <v>9.2777161744566905E-2</v>
      </c>
      <c r="X81" s="27">
        <f t="shared" si="43"/>
        <v>4.8698387502302626E-2</v>
      </c>
      <c r="Y81" s="27">
        <f t="shared" si="43"/>
        <v>2.5716776857022412E-2</v>
      </c>
    </row>
    <row r="82" spans="1:25" x14ac:dyDescent="0.25">
      <c r="A82" s="21">
        <v>70</v>
      </c>
      <c r="C82" s="25">
        <f t="shared" si="22"/>
        <v>5.422979589734731</v>
      </c>
      <c r="D82" s="23">
        <f>FishHarvestTimeTrends!AC91*((1+' OriginalBCACalculation 7%'!D$10)^MIN(' OriginalBCACalculation 7%'!$A82,20))</f>
        <v>1.8394109957271503</v>
      </c>
      <c r="E82" s="23">
        <f>FishHarvestTimeTrends!AD91*((1+' OriginalBCACalculation 7%'!E$10)^MIN(' OriginalBCACalculation 7%'!$A82,20))</f>
        <v>0.26297262043307967</v>
      </c>
      <c r="F82" s="23">
        <f t="shared" si="23"/>
        <v>5.8559569610800324</v>
      </c>
      <c r="H82" s="22">
        <f t="shared" si="17"/>
        <v>2.8000000000000001E-2</v>
      </c>
      <c r="I82" s="22"/>
      <c r="J82" s="41"/>
      <c r="K82" s="41">
        <f t="shared" si="38"/>
        <v>5.090463287106331E-2</v>
      </c>
      <c r="L82" s="41">
        <f t="shared" si="39"/>
        <v>1.7266253705569966E-2</v>
      </c>
      <c r="M82" s="41">
        <f t="shared" si="40"/>
        <v>2.4684814826939471E-3</v>
      </c>
      <c r="N82" s="41">
        <f t="shared" si="41"/>
        <v>5.4968921472025707E-2</v>
      </c>
      <c r="O82" s="67"/>
      <c r="P82" s="41">
        <f t="shared" si="42"/>
        <v>2.6283147424854933E-4</v>
      </c>
      <c r="R82" s="27">
        <f t="shared" si="43"/>
        <v>2.563360987505531</v>
      </c>
      <c r="S82" s="27">
        <f t="shared" si="43"/>
        <v>1.2901344713356788</v>
      </c>
      <c r="T82" s="27">
        <f t="shared" si="43"/>
        <v>0.65372925247567404</v>
      </c>
      <c r="U82" s="27">
        <f t="shared" si="43"/>
        <v>0.33345809572814578</v>
      </c>
      <c r="V82" s="27">
        <f t="shared" si="43"/>
        <v>0.1712022069282578</v>
      </c>
      <c r="W82" s="27">
        <f t="shared" si="43"/>
        <v>8.8460244327393689E-2</v>
      </c>
      <c r="X82" s="27">
        <f t="shared" si="43"/>
        <v>4.5994411573796287E-2</v>
      </c>
      <c r="Y82" s="27">
        <f t="shared" si="43"/>
        <v>2.4061855263474857E-2</v>
      </c>
    </row>
    <row r="83" spans="1:25" x14ac:dyDescent="0.25">
      <c r="A83" s="21">
        <v>71</v>
      </c>
      <c r="C83" s="25">
        <f t="shared" si="22"/>
        <v>5.422979589734731</v>
      </c>
      <c r="D83" s="23">
        <f>FishHarvestTimeTrends!AC92*((1+' OriginalBCACalculation 7%'!D$10)^MIN(' OriginalBCACalculation 7%'!$A83,20))</f>
        <v>1.8394123105391578</v>
      </c>
      <c r="E83" s="23">
        <f>FishHarvestTimeTrends!AD92*((1+' OriginalBCACalculation 7%'!E$10)^MIN(' OriginalBCACalculation 7%'!$A83,20))</f>
        <v>0.26297275911238988</v>
      </c>
      <c r="F83" s="23">
        <f t="shared" si="23"/>
        <v>5.8588849395605722</v>
      </c>
      <c r="H83" s="22">
        <f t="shared" si="17"/>
        <v>2.8000000000000001E-2</v>
      </c>
      <c r="I83" s="22"/>
      <c r="J83" s="41"/>
      <c r="K83" s="41">
        <f t="shared" si="38"/>
        <v>4.7574423243984407E-2</v>
      </c>
      <c r="L83" s="41">
        <f t="shared" si="39"/>
        <v>1.6136697240652115E-2</v>
      </c>
      <c r="M83" s="41">
        <f t="shared" si="40"/>
        <v>2.3069932564992682E-3</v>
      </c>
      <c r="N83" s="41">
        <f t="shared" si="41"/>
        <v>5.1398510217534318E-2</v>
      </c>
      <c r="O83" s="67"/>
      <c r="P83" s="41">
        <f t="shared" si="42"/>
        <v>2.4563689182107416E-4</v>
      </c>
      <c r="R83" s="27">
        <f t="shared" si="43"/>
        <v>2.5662904194773883</v>
      </c>
      <c r="S83" s="27">
        <f t="shared" si="43"/>
        <v>1.2788206421813462</v>
      </c>
      <c r="T83" s="27">
        <f t="shared" si="43"/>
        <v>0.64164347072555161</v>
      </c>
      <c r="U83" s="27">
        <f t="shared" si="43"/>
        <v>0.32411570353060687</v>
      </c>
      <c r="V83" s="27">
        <f t="shared" si="43"/>
        <v>0.16480563302771489</v>
      </c>
      <c r="W83" s="27">
        <f t="shared" si="43"/>
        <v>8.4344130942427056E-2</v>
      </c>
      <c r="X83" s="27">
        <f t="shared" si="43"/>
        <v>4.344054188742083E-2</v>
      </c>
      <c r="Y83" s="27">
        <f t="shared" si="43"/>
        <v>2.2513414362522369E-2</v>
      </c>
    </row>
    <row r="84" spans="1:25" x14ac:dyDescent="0.25">
      <c r="A84" s="21">
        <v>72</v>
      </c>
      <c r="C84" s="25">
        <f t="shared" si="22"/>
        <v>5.422979589734731</v>
      </c>
      <c r="D84" s="23">
        <f>FishHarvestTimeTrends!AC93*((1+' OriginalBCACalculation 7%'!D$10)^MIN(' OriginalBCACalculation 7%'!$A84,20))</f>
        <v>1.839413625351165</v>
      </c>
      <c r="E84" s="23">
        <f>FishHarvestTimeTrends!AD93*((1+' OriginalBCACalculation 7%'!E$10)^MIN(' OriginalBCACalculation 7%'!$A84,20))</f>
        <v>0.26297289779170013</v>
      </c>
      <c r="F84" s="23">
        <f t="shared" si="23"/>
        <v>5.8618143820303521</v>
      </c>
      <c r="H84" s="22">
        <f t="shared" si="17"/>
        <v>2.8000000000000001E-2</v>
      </c>
      <c r="I84" s="22"/>
      <c r="J84" s="41"/>
      <c r="K84" s="41">
        <f t="shared" si="38"/>
        <v>4.4462077798116263E-2</v>
      </c>
      <c r="L84" s="41">
        <f t="shared" si="39"/>
        <v>1.5081036238471094E-2</v>
      </c>
      <c r="M84" s="41">
        <f t="shared" si="40"/>
        <v>2.1560696010258424E-3</v>
      </c>
      <c r="N84" s="41">
        <f t="shared" si="41"/>
        <v>4.8060008852937458E-2</v>
      </c>
      <c r="O84" s="67"/>
      <c r="P84" s="41">
        <f t="shared" si="42"/>
        <v>2.2956718861782632E-4</v>
      </c>
      <c r="R84" s="27">
        <f t="shared" si="43"/>
        <v>2.5692213154384858</v>
      </c>
      <c r="S84" s="27">
        <f t="shared" si="43"/>
        <v>1.2676051001798896</v>
      </c>
      <c r="T84" s="27">
        <f t="shared" si="43"/>
        <v>0.629780662401906</v>
      </c>
      <c r="U84" s="27">
        <f t="shared" si="43"/>
        <v>0.31503482325367033</v>
      </c>
      <c r="V84" s="27">
        <f t="shared" si="43"/>
        <v>0.15864793597130314</v>
      </c>
      <c r="W84" s="27">
        <f t="shared" si="43"/>
        <v>8.0419484057328419E-2</v>
      </c>
      <c r="X84" s="27">
        <f t="shared" si="43"/>
        <v>4.1028447397569681E-2</v>
      </c>
      <c r="Y84" s="27">
        <f t="shared" si="43"/>
        <v>2.1064604082935954E-2</v>
      </c>
    </row>
    <row r="85" spans="1:25" x14ac:dyDescent="0.25">
      <c r="A85" s="21">
        <v>73</v>
      </c>
      <c r="C85" s="25">
        <f t="shared" si="22"/>
        <v>5.422979589734731</v>
      </c>
      <c r="D85" s="23">
        <f>FishHarvestTimeTrends!AC94*((1+' OriginalBCACalculation 7%'!D$10)^MIN(' OriginalBCACalculation 7%'!$A85,20))</f>
        <v>1.8394149401631723</v>
      </c>
      <c r="E85" s="23">
        <f>FishHarvestTimeTrends!AD94*((1+' OriginalBCACalculation 7%'!E$10)^MIN(' OriginalBCACalculation 7%'!$A85,20))</f>
        <v>0.26297303647101039</v>
      </c>
      <c r="F85" s="23">
        <f t="shared" si="23"/>
        <v>5.864745289221367</v>
      </c>
      <c r="H85" s="22">
        <f t="shared" ref="H85:H112" si="44">B$8</f>
        <v>2.8000000000000001E-2</v>
      </c>
      <c r="I85" s="22"/>
      <c r="J85" s="41"/>
      <c r="K85" s="41">
        <f t="shared" si="38"/>
        <v>4.1553343736557252E-2</v>
      </c>
      <c r="L85" s="41">
        <f t="shared" si="39"/>
        <v>1.4094436465783934E-2</v>
      </c>
      <c r="M85" s="41">
        <f t="shared" si="40"/>
        <v>2.0150193813398853E-3</v>
      </c>
      <c r="N85" s="41">
        <f t="shared" si="41"/>
        <v>4.4938354072302733E-2</v>
      </c>
      <c r="O85" s="67"/>
      <c r="P85" s="41">
        <f t="shared" si="42"/>
        <v>2.1454877440918349E-4</v>
      </c>
      <c r="R85" s="27">
        <f t="shared" si="43"/>
        <v>2.5721536761208181</v>
      </c>
      <c r="S85" s="27">
        <f t="shared" si="43"/>
        <v>1.2564870013473008</v>
      </c>
      <c r="T85" s="27">
        <f t="shared" si="43"/>
        <v>0.61813672317867374</v>
      </c>
      <c r="U85" s="27">
        <f t="shared" si="43"/>
        <v>0.30620814154244358</v>
      </c>
      <c r="V85" s="27">
        <f t="shared" si="43"/>
        <v>0.15272019957111282</v>
      </c>
      <c r="W85" s="27">
        <f t="shared" si="43"/>
        <v>7.6677400197493126E-2</v>
      </c>
      <c r="X85" s="27">
        <f t="shared" si="43"/>
        <v>3.8750259335441455E-2</v>
      </c>
      <c r="Y85" s="27">
        <f t="shared" si="43"/>
        <v>1.9709014957278479E-2</v>
      </c>
    </row>
    <row r="86" spans="1:25" x14ac:dyDescent="0.25">
      <c r="A86" s="21">
        <v>74</v>
      </c>
      <c r="C86" s="25">
        <f t="shared" si="22"/>
        <v>5.422979589734731</v>
      </c>
      <c r="D86" s="23">
        <f>FishHarvestTimeTrends!AC95*((1+' OriginalBCACalculation 7%'!D$10)^MIN(' OriginalBCACalculation 7%'!$A86,20))</f>
        <v>1.83941625497518</v>
      </c>
      <c r="E86" s="23">
        <f>FishHarvestTimeTrends!AD95*((1+' OriginalBCACalculation 7%'!E$10)^MIN(' OriginalBCACalculation 7%'!$A86,20))</f>
        <v>0.26297317515032054</v>
      </c>
      <c r="F86" s="23">
        <f t="shared" ref="F86:F112" si="45">F85*(1+F$10)</f>
        <v>5.8676776618659776</v>
      </c>
      <c r="H86" s="22">
        <f t="shared" si="44"/>
        <v>2.8000000000000001E-2</v>
      </c>
      <c r="I86" s="22"/>
      <c r="J86" s="41"/>
      <c r="K86" s="41">
        <f t="shared" si="38"/>
        <v>3.8834900688371261E-2</v>
      </c>
      <c r="L86" s="41">
        <f t="shared" si="39"/>
        <v>1.3172379944367655E-2</v>
      </c>
      <c r="M86" s="41">
        <f t="shared" si="40"/>
        <v>1.8831966766018962E-3</v>
      </c>
      <c r="N86" s="41">
        <f t="shared" si="41"/>
        <v>4.2019460980690544E-2</v>
      </c>
      <c r="O86" s="67"/>
      <c r="P86" s="41">
        <f t="shared" si="42"/>
        <v>2.005128732796107E-4</v>
      </c>
      <c r="R86" s="27">
        <f t="shared" si="43"/>
        <v>2.5750875022567463</v>
      </c>
      <c r="S86" s="27">
        <f t="shared" si="43"/>
        <v>1.2454655088409829</v>
      </c>
      <c r="T86" s="27">
        <f t="shared" si="43"/>
        <v>0.60670762408887469</v>
      </c>
      <c r="U86" s="27">
        <f t="shared" si="43"/>
        <v>0.29762854935990035</v>
      </c>
      <c r="V86" s="27">
        <f t="shared" si="43"/>
        <v>0.14701384026213646</v>
      </c>
      <c r="W86" s="27">
        <f t="shared" si="43"/>
        <v>7.3109389775722664E-2</v>
      </c>
      <c r="X86" s="27">
        <f t="shared" si="43"/>
        <v>3.6598545563999337E-2</v>
      </c>
      <c r="Y86" s="27">
        <f t="shared" si="43"/>
        <v>1.8440649786568435E-2</v>
      </c>
    </row>
    <row r="87" spans="1:25" x14ac:dyDescent="0.25">
      <c r="A87" s="21">
        <v>75</v>
      </c>
      <c r="C87" s="25">
        <f t="shared" si="22"/>
        <v>5.422979589734731</v>
      </c>
      <c r="D87" s="23">
        <f>FishHarvestTimeTrends!AC96*((1+' OriginalBCACalculation 7%'!D$10)^MIN(' OriginalBCACalculation 7%'!$A87,20))</f>
        <v>1.8394175697871873</v>
      </c>
      <c r="E87" s="23">
        <f>FishHarvestTimeTrends!AD96*((1+' OriginalBCACalculation 7%'!E$10)^MIN(' OriginalBCACalculation 7%'!$A87,20))</f>
        <v>0.26297331382963085</v>
      </c>
      <c r="F87" s="23">
        <f t="shared" si="45"/>
        <v>5.87061150069691</v>
      </c>
      <c r="H87" s="22">
        <f t="shared" si="44"/>
        <v>2.8000000000000001E-2</v>
      </c>
      <c r="I87" s="22"/>
      <c r="J87" s="41"/>
      <c r="K87" s="41">
        <f t="shared" si="38"/>
        <v>3.6294299708758193E-2</v>
      </c>
      <c r="L87" s="41">
        <f t="shared" si="39"/>
        <v>1.2310644261649793E-2</v>
      </c>
      <c r="M87" s="41">
        <f t="shared" si="40"/>
        <v>1.7599978221575457E-3</v>
      </c>
      <c r="N87" s="41">
        <f t="shared" si="41"/>
        <v>3.929015954315971E-2</v>
      </c>
      <c r="O87" s="67"/>
      <c r="P87" s="41">
        <f t="shared" si="42"/>
        <v>1.8739520867253339E-4</v>
      </c>
      <c r="R87" s="27">
        <f t="shared" si="43"/>
        <v>2.578022794578998</v>
      </c>
      <c r="S87" s="27">
        <f t="shared" si="43"/>
        <v>1.2345397929004647</v>
      </c>
      <c r="T87" s="27">
        <f t="shared" si="43"/>
        <v>0.59548941014482515</v>
      </c>
      <c r="U87" s="27">
        <f t="shared" si="43"/>
        <v>0.28928913628483671</v>
      </c>
      <c r="V87" s="27">
        <f t="shared" si="43"/>
        <v>0.14152059470056555</v>
      </c>
      <c r="W87" s="27">
        <f t="shared" si="43"/>
        <v>6.9707357858860119E-2</v>
      </c>
      <c r="X87" s="27">
        <f t="shared" si="43"/>
        <v>3.4566286355259615E-2</v>
      </c>
      <c r="Y87" s="27">
        <f t="shared" si="43"/>
        <v>1.7253897126881391E-2</v>
      </c>
    </row>
    <row r="88" spans="1:25" x14ac:dyDescent="0.25">
      <c r="A88" s="21">
        <v>76</v>
      </c>
      <c r="C88" s="25">
        <f t="shared" si="22"/>
        <v>5.422979589734731</v>
      </c>
      <c r="D88" s="23">
        <f>FishHarvestTimeTrends!AC97*((1+' OriginalBCACalculation 7%'!D$10)^MIN(' OriginalBCACalculation 7%'!$A88,20))</f>
        <v>1.8394188845991946</v>
      </c>
      <c r="E88" s="23">
        <f>FishHarvestTimeTrends!AD97*((1+' OriginalBCACalculation 7%'!E$10)^MIN(' OriginalBCACalculation 7%'!$A88,20))</f>
        <v>0.262973452508941</v>
      </c>
      <c r="F88" s="23">
        <f t="shared" si="45"/>
        <v>5.8735468064472585</v>
      </c>
      <c r="H88" s="22">
        <f t="shared" si="44"/>
        <v>2.8000000000000001E-2</v>
      </c>
      <c r="I88" s="22"/>
      <c r="J88" s="41"/>
      <c r="K88" s="41">
        <f t="shared" si="38"/>
        <v>3.3919906269867461E-2</v>
      </c>
      <c r="L88" s="41">
        <f t="shared" si="39"/>
        <v>1.1505283234835267E-2</v>
      </c>
      <c r="M88" s="41">
        <f t="shared" si="40"/>
        <v>1.6448586451351648E-3</v>
      </c>
      <c r="N88" s="41">
        <f t="shared" si="41"/>
        <v>3.6738135161618016E-2</v>
      </c>
      <c r="O88" s="67"/>
      <c r="P88" s="41">
        <f t="shared" si="42"/>
        <v>1.751357090397508E-4</v>
      </c>
      <c r="R88" s="27">
        <f t="shared" si="43"/>
        <v>2.5809595538206631</v>
      </c>
      <c r="S88" s="27">
        <f t="shared" si="43"/>
        <v>1.2237090307886009</v>
      </c>
      <c r="T88" s="27">
        <f t="shared" si="43"/>
        <v>0.58447819898353692</v>
      </c>
      <c r="U88" s="27">
        <f t="shared" si="43"/>
        <v>0.28118318496877415</v>
      </c>
      <c r="V88" s="27">
        <f t="shared" si="43"/>
        <v>0.13623250782420721</v>
      </c>
      <c r="W88" s="27">
        <f t="shared" si="43"/>
        <v>6.6463585827880742E-2</v>
      </c>
      <c r="X88" s="27">
        <f t="shared" si="43"/>
        <v>3.2646851511043427E-2</v>
      </c>
      <c r="Y88" s="27">
        <f t="shared" si="43"/>
        <v>1.6143506480760739E-2</v>
      </c>
    </row>
    <row r="89" spans="1:25" x14ac:dyDescent="0.25">
      <c r="A89" s="21">
        <v>77</v>
      </c>
      <c r="C89" s="25">
        <f t="shared" si="22"/>
        <v>5.422979589734731</v>
      </c>
      <c r="D89" s="23">
        <f>FishHarvestTimeTrends!AC98*((1+' OriginalBCACalculation 7%'!D$10)^MIN(' OriginalBCACalculation 7%'!$A89,20))</f>
        <v>1.8394201994112023</v>
      </c>
      <c r="E89" s="23">
        <f>FishHarvestTimeTrends!AD98*((1+' OriginalBCACalculation 7%'!E$10)^MIN(' OriginalBCACalculation 7%'!$A89,20))</f>
        <v>0.26297359118825125</v>
      </c>
      <c r="F89" s="23">
        <f t="shared" si="45"/>
        <v>5.8764835798504818</v>
      </c>
      <c r="H89" s="22">
        <f t="shared" si="44"/>
        <v>2.8000000000000001E-2</v>
      </c>
      <c r="I89" s="22"/>
      <c r="J89" s="41"/>
      <c r="K89" s="41">
        <f t="shared" si="38"/>
        <v>3.1700846981184555E-2</v>
      </c>
      <c r="L89" s="41">
        <f t="shared" si="39"/>
        <v>1.0752608839984005E-2</v>
      </c>
      <c r="M89" s="41">
        <f t="shared" si="40"/>
        <v>1.5372518808906526E-3</v>
      </c>
      <c r="N89" s="41">
        <f t="shared" si="41"/>
        <v>3.4351873111400776E-2</v>
      </c>
      <c r="O89" s="67"/>
      <c r="P89" s="41">
        <f t="shared" si="42"/>
        <v>1.6367823274743068E-4</v>
      </c>
      <c r="R89" s="27">
        <f t="shared" si="43"/>
        <v>2.5838977807152039</v>
      </c>
      <c r="S89" s="27">
        <f t="shared" si="43"/>
        <v>1.2129724067332515</v>
      </c>
      <c r="T89" s="27">
        <f t="shared" si="43"/>
        <v>0.57367017953684207</v>
      </c>
      <c r="U89" s="27">
        <f t="shared" si="43"/>
        <v>0.27330416574738797</v>
      </c>
      <c r="V89" s="27">
        <f t="shared" si="43"/>
        <v>0.13114192135781161</v>
      </c>
      <c r="W89" s="27">
        <f t="shared" si="43"/>
        <v>6.3370713889949332E-2</v>
      </c>
      <c r="X89" s="27">
        <f t="shared" si="43"/>
        <v>3.0833978752697971E-2</v>
      </c>
      <c r="Y89" s="27">
        <f t="shared" si="43"/>
        <v>1.5104565083838313E-2</v>
      </c>
    </row>
    <row r="90" spans="1:25" x14ac:dyDescent="0.25">
      <c r="A90" s="21">
        <v>78</v>
      </c>
      <c r="C90" s="25">
        <f t="shared" si="22"/>
        <v>5.422979589734731</v>
      </c>
      <c r="D90" s="23">
        <f>FishHarvestTimeTrends!AC99*((1+' OriginalBCACalculation 7%'!D$10)^MIN(' OriginalBCACalculation 7%'!$A90,20))</f>
        <v>1.8394215142232098</v>
      </c>
      <c r="E90" s="23">
        <f>FishHarvestTimeTrends!AD99*((1+' OriginalBCACalculation 7%'!E$10)^MIN(' OriginalBCACalculation 7%'!$A90,20))</f>
        <v>0.26297372986756146</v>
      </c>
      <c r="F90" s="23">
        <f t="shared" si="45"/>
        <v>5.8794218216404071</v>
      </c>
      <c r="H90" s="22">
        <f t="shared" si="44"/>
        <v>2.8000000000000001E-2</v>
      </c>
      <c r="I90" s="22"/>
      <c r="J90" s="41"/>
      <c r="K90" s="41">
        <f t="shared" si="38"/>
        <v>2.9626959795499577E-2</v>
      </c>
      <c r="L90" s="41">
        <f t="shared" si="39"/>
        <v>1.004917432328631E-2</v>
      </c>
      <c r="M90" s="41">
        <f t="shared" si="40"/>
        <v>1.4366847584687144E-3</v>
      </c>
      <c r="N90" s="41">
        <f t="shared" si="41"/>
        <v>3.2120606586875211E-2</v>
      </c>
      <c r="O90" s="67"/>
      <c r="P90" s="41">
        <f t="shared" si="42"/>
        <v>1.5297031097890717E-4</v>
      </c>
      <c r="R90" s="27">
        <f t="shared" si="43"/>
        <v>2.5868374759964476</v>
      </c>
      <c r="S90" s="27">
        <f t="shared" si="43"/>
        <v>1.2023291118694266</v>
      </c>
      <c r="T90" s="27">
        <f t="shared" si="43"/>
        <v>0.56306161072579408</v>
      </c>
      <c r="U90" s="27">
        <f t="shared" si="43"/>
        <v>0.26564573140215414</v>
      </c>
      <c r="V90" s="27">
        <f t="shared" si="43"/>
        <v>0.12624146274674064</v>
      </c>
      <c r="W90" s="27">
        <f t="shared" si="43"/>
        <v>6.0421724402881044E-2</v>
      </c>
      <c r="X90" s="27">
        <f t="shared" si="43"/>
        <v>2.9121753309422398E-2</v>
      </c>
      <c r="Y90" s="27">
        <f t="shared" si="43"/>
        <v>1.4132476184109568E-2</v>
      </c>
    </row>
    <row r="91" spans="1:25" x14ac:dyDescent="0.25">
      <c r="A91" s="21">
        <v>79</v>
      </c>
      <c r="C91" s="25">
        <f t="shared" si="22"/>
        <v>5.422979589734731</v>
      </c>
      <c r="D91" s="23">
        <f>FishHarvestTimeTrends!AC100*((1+' OriginalBCACalculation 7%'!D$10)^MIN(' OriginalBCACalculation 7%'!$A91,20))</f>
        <v>1.8394228290352168</v>
      </c>
      <c r="E91" s="23">
        <f>FishHarvestTimeTrends!AD100*((1+' OriginalBCACalculation 7%'!E$10)^MIN(' OriginalBCACalculation 7%'!$A91,20))</f>
        <v>0.26297386854687171</v>
      </c>
      <c r="F91" s="23">
        <f t="shared" si="45"/>
        <v>5.8823615325512266</v>
      </c>
      <c r="H91" s="22">
        <f t="shared" si="44"/>
        <v>2.8000000000000001E-2</v>
      </c>
      <c r="I91" s="22"/>
      <c r="J91" s="41"/>
      <c r="K91" s="41">
        <f t="shared" si="38"/>
        <v>2.7688747472429515E-2</v>
      </c>
      <c r="L91" s="41">
        <f t="shared" si="39"/>
        <v>9.3917584171968743E-3</v>
      </c>
      <c r="M91" s="41">
        <f t="shared" si="40"/>
        <v>1.3426967440234054E-3</v>
      </c>
      <c r="N91" s="41">
        <f t="shared" si="41"/>
        <v>3.0034268121652944E-2</v>
      </c>
      <c r="O91" s="67"/>
      <c r="P91" s="41">
        <f t="shared" si="42"/>
        <v>1.429629074569226E-4</v>
      </c>
      <c r="R91" s="27">
        <f t="shared" si="43"/>
        <v>2.5897786403985839</v>
      </c>
      <c r="S91" s="27">
        <f t="shared" si="43"/>
        <v>1.1917783441819003</v>
      </c>
      <c r="T91" s="27">
        <f t="shared" si="43"/>
        <v>0.55264882017890116</v>
      </c>
      <c r="U91" s="27">
        <f t="shared" si="43"/>
        <v>0.25820171206803488</v>
      </c>
      <c r="V91" s="27">
        <f t="shared" si="43"/>
        <v>0.12152403450302633</v>
      </c>
      <c r="W91" s="27">
        <f t="shared" si="43"/>
        <v>5.7609925974280059E-2</v>
      </c>
      <c r="X91" s="27">
        <f t="shared" si="43"/>
        <v>2.7504588638735124E-2</v>
      </c>
      <c r="Y91" s="27">
        <f t="shared" si="43"/>
        <v>1.3222938717900628E-2</v>
      </c>
    </row>
    <row r="92" spans="1:25" x14ac:dyDescent="0.25">
      <c r="A92" s="21">
        <v>80</v>
      </c>
      <c r="C92" s="25">
        <f t="shared" si="22"/>
        <v>5.422979589734731</v>
      </c>
      <c r="D92" s="23">
        <f>FishHarvestTimeTrends!AC101*((1+' OriginalBCACalculation 7%'!D$10)^MIN(' OriginalBCACalculation 7%'!$A92,20))</f>
        <v>1.8394241438472243</v>
      </c>
      <c r="E92" s="23">
        <f>FishHarvestTimeTrends!AD101*((1+' OriginalBCACalculation 7%'!E$10)^MIN(' OriginalBCACalculation 7%'!$A92,20))</f>
        <v>0.26297400722618192</v>
      </c>
      <c r="F92" s="23">
        <f t="shared" si="45"/>
        <v>5.8853027133175022</v>
      </c>
      <c r="H92" s="22">
        <f t="shared" si="44"/>
        <v>2.8000000000000001E-2</v>
      </c>
      <c r="I92" s="22"/>
      <c r="J92" s="41"/>
      <c r="K92" s="41">
        <f t="shared" si="38"/>
        <v>2.5877334086382722E-2</v>
      </c>
      <c r="L92" s="41">
        <f t="shared" si="39"/>
        <v>8.7773505891475222E-3</v>
      </c>
      <c r="M92" s="41">
        <f t="shared" si="40"/>
        <v>1.2548574318642434E-3</v>
      </c>
      <c r="N92" s="41">
        <f t="shared" si="41"/>
        <v>2.8083444164218471E-2</v>
      </c>
      <c r="O92" s="67"/>
      <c r="P92" s="41">
        <f t="shared" si="42"/>
        <v>1.3361019388497439E-4</v>
      </c>
      <c r="R92" s="27">
        <f t="shared" si="43"/>
        <v>2.592721274656177</v>
      </c>
      <c r="S92" s="27">
        <f t="shared" si="43"/>
        <v>1.1813193084482976</v>
      </c>
      <c r="T92" s="27">
        <f t="shared" si="43"/>
        <v>0.5424282029737667</v>
      </c>
      <c r="U92" s="27">
        <f t="shared" si="43"/>
        <v>0.25096611028313831</v>
      </c>
      <c r="V92" s="27">
        <f t="shared" si="43"/>
        <v>0.11698280394846169</v>
      </c>
      <c r="W92" s="27">
        <f t="shared" si="43"/>
        <v>5.4928938299380732E-2</v>
      </c>
      <c r="X92" s="27">
        <f t="shared" si="43"/>
        <v>2.5977208216303335E-2</v>
      </c>
      <c r="Y92" s="27">
        <f t="shared" si="43"/>
        <v>1.237192829273249E-2</v>
      </c>
    </row>
    <row r="93" spans="1:25" x14ac:dyDescent="0.25">
      <c r="A93" s="21">
        <v>81</v>
      </c>
      <c r="C93" s="25">
        <f t="shared" si="22"/>
        <v>5.422979589734731</v>
      </c>
      <c r="D93" s="23">
        <f>FishHarvestTimeTrends!AC102*((1+' OriginalBCACalculation 7%'!D$10)^MIN(' OriginalBCACalculation 7%'!$A93,20))</f>
        <v>1.8394254586592318</v>
      </c>
      <c r="E93" s="23">
        <f>FishHarvestTimeTrends!AD102*((1+' OriginalBCACalculation 7%'!E$10)^MIN(' OriginalBCACalculation 7%'!$A93,20))</f>
        <v>0.26297414590549217</v>
      </c>
      <c r="F93" s="23">
        <f t="shared" si="45"/>
        <v>5.8882453646741606</v>
      </c>
      <c r="H93" s="22">
        <f t="shared" si="44"/>
        <v>2.8000000000000001E-2</v>
      </c>
      <c r="I93" s="22"/>
      <c r="J93" s="41"/>
      <c r="K93" s="41">
        <f t="shared" si="38"/>
        <v>2.418442437979694E-2</v>
      </c>
      <c r="L93" s="41">
        <f t="shared" si="39"/>
        <v>8.2031372552876479E-3</v>
      </c>
      <c r="M93" s="41">
        <f t="shared" si="40"/>
        <v>1.1727645734702387E-3</v>
      </c>
      <c r="N93" s="41">
        <f t="shared" si="41"/>
        <v>2.6259332604019237E-2</v>
      </c>
      <c r="O93" s="67"/>
      <c r="P93" s="41">
        <f t="shared" si="42"/>
        <v>1.2486934007941531E-4</v>
      </c>
      <c r="R93" s="27">
        <f t="shared" si="43"/>
        <v>2.5956653795041538</v>
      </c>
      <c r="S93" s="27">
        <f t="shared" si="43"/>
        <v>1.1709512161826272</v>
      </c>
      <c r="T93" s="27">
        <f t="shared" si="43"/>
        <v>0.53239622040169654</v>
      </c>
      <c r="U93" s="27">
        <f t="shared" si="43"/>
        <v>0.24393309617639286</v>
      </c>
      <c r="V93" s="27">
        <f t="shared" si="43"/>
        <v>0.11261119333993484</v>
      </c>
      <c r="W93" s="27">
        <f t="shared" si="43"/>
        <v>5.2372677703286179E-2</v>
      </c>
      <c r="X93" s="27">
        <f t="shared" si="43"/>
        <v>2.4534628335835602E-2</v>
      </c>
      <c r="Y93" s="27">
        <f t="shared" si="43"/>
        <v>1.1575679393059601E-2</v>
      </c>
    </row>
    <row r="94" spans="1:25" x14ac:dyDescent="0.25">
      <c r="A94" s="21">
        <v>82</v>
      </c>
      <c r="C94" s="25">
        <f t="shared" si="22"/>
        <v>5.422979589734731</v>
      </c>
      <c r="D94" s="23">
        <f>FishHarvestTimeTrends!AC103*((1+' OriginalBCACalculation 7%'!D$10)^MIN(' OriginalBCACalculation 7%'!$A94,20))</f>
        <v>1.8394267734712393</v>
      </c>
      <c r="E94" s="23">
        <f>FishHarvestTimeTrends!AD103*((1+' OriginalBCACalculation 7%'!E$10)^MIN(' OriginalBCACalculation 7%'!$A94,20))</f>
        <v>0.26297428458480238</v>
      </c>
      <c r="F94" s="23">
        <f t="shared" si="45"/>
        <v>5.8911894873564972</v>
      </c>
      <c r="H94" s="22">
        <f t="shared" si="44"/>
        <v>2.8000000000000001E-2</v>
      </c>
      <c r="I94" s="22"/>
      <c r="J94" s="41"/>
      <c r="K94" s="41">
        <f t="shared" si="38"/>
        <v>2.2602265775511159E-2</v>
      </c>
      <c r="L94" s="41">
        <f t="shared" si="39"/>
        <v>7.6664888961202214E-3</v>
      </c>
      <c r="M94" s="41">
        <f t="shared" si="40"/>
        <v>1.096042235445949E-3</v>
      </c>
      <c r="N94" s="41">
        <f t="shared" si="41"/>
        <v>2.4553703056374995E-2</v>
      </c>
      <c r="O94" s="67"/>
      <c r="P94" s="41">
        <f t="shared" si="42"/>
        <v>1.1670031783122928E-4</v>
      </c>
      <c r="R94" s="27">
        <f t="shared" ref="R94:Y109" si="46">(SUM($D94:$H94)-SUM($B94:$C94))/((1+R$10)^($A94-1))</f>
        <v>2.5986109556778088</v>
      </c>
      <c r="S94" s="27">
        <f t="shared" si="46"/>
        <v>1.1606732855792874</v>
      </c>
      <c r="T94" s="27">
        <f t="shared" si="46"/>
        <v>0.52254939875487172</v>
      </c>
      <c r="U94" s="27">
        <f t="shared" si="46"/>
        <v>0.23709700278939935</v>
      </c>
      <c r="V94" s="27">
        <f t="shared" si="46"/>
        <v>0.10840287036277253</v>
      </c>
      <c r="W94" s="27">
        <f t="shared" si="46"/>
        <v>4.9935343354891665E-2</v>
      </c>
      <c r="X94" s="27">
        <f t="shared" si="46"/>
        <v>2.3172141863026432E-2</v>
      </c>
      <c r="Y94" s="27">
        <f t="shared" si="46"/>
        <v>1.083066873026124E-2</v>
      </c>
    </row>
    <row r="95" spans="1:25" x14ac:dyDescent="0.25">
      <c r="A95" s="21">
        <v>83</v>
      </c>
      <c r="C95" s="25">
        <f t="shared" si="22"/>
        <v>5.422979589734731</v>
      </c>
      <c r="D95" s="23">
        <f>FishHarvestTimeTrends!AC104*((1+' OriginalBCACalculation 7%'!D$10)^MIN(' OriginalBCACalculation 7%'!$A95,20))</f>
        <v>1.8394280882832466</v>
      </c>
      <c r="E95" s="23">
        <f>FishHarvestTimeTrends!AD104*((1+' OriginalBCACalculation 7%'!E$10)^MIN(' OriginalBCACalculation 7%'!$A95,20))</f>
        <v>0.26297442326411263</v>
      </c>
      <c r="F95" s="23">
        <f t="shared" si="45"/>
        <v>5.894135082100175</v>
      </c>
      <c r="H95" s="22">
        <f t="shared" si="44"/>
        <v>2.8000000000000001E-2</v>
      </c>
      <c r="I95" s="22"/>
      <c r="J95" s="41"/>
      <c r="K95" s="41">
        <f t="shared" si="38"/>
        <v>2.1123612874309493E-2</v>
      </c>
      <c r="L95" s="41">
        <f t="shared" si="39"/>
        <v>7.1649480150315524E-3</v>
      </c>
      <c r="M95" s="41">
        <f t="shared" si="40"/>
        <v>1.024339077984184E-3</v>
      </c>
      <c r="N95" s="41">
        <f t="shared" si="41"/>
        <v>2.2958859727012317E-2</v>
      </c>
      <c r="O95" s="67"/>
      <c r="P95" s="41">
        <f t="shared" si="42"/>
        <v>1.0906571759927968E-4</v>
      </c>
      <c r="R95" s="27">
        <f t="shared" si="46"/>
        <v>2.6015580039128041</v>
      </c>
      <c r="S95" s="27">
        <f t="shared" si="46"/>
        <v>1.150484741457515</v>
      </c>
      <c r="T95" s="27">
        <f t="shared" si="46"/>
        <v>0.51288432813566232</v>
      </c>
      <c r="U95" s="27">
        <f t="shared" si="46"/>
        <v>0.23045232152872153</v>
      </c>
      <c r="V95" s="27">
        <f t="shared" si="46"/>
        <v>0.10435173897838507</v>
      </c>
      <c r="W95" s="27">
        <f t="shared" si="46"/>
        <v>4.7611404121299272E-2</v>
      </c>
      <c r="X95" s="27">
        <f t="shared" si="46"/>
        <v>2.1885302890646677E-2</v>
      </c>
      <c r="Y95" s="27">
        <f t="shared" si="46"/>
        <v>1.0133599663317845E-2</v>
      </c>
    </row>
    <row r="96" spans="1:25" x14ac:dyDescent="0.25">
      <c r="A96" s="21">
        <v>84</v>
      </c>
      <c r="C96" s="25">
        <f t="shared" si="22"/>
        <v>5.422979589734731</v>
      </c>
      <c r="D96" s="23">
        <f>FishHarvestTimeTrends!AC105*((1+' OriginalBCACalculation 7%'!D$10)^MIN(' OriginalBCACalculation 7%'!$A96,20))</f>
        <v>1.839429403095254</v>
      </c>
      <c r="E96" s="23">
        <f>FishHarvestTimeTrends!AD105*((1+' OriginalBCACalculation 7%'!E$10)^MIN(' OriginalBCACalculation 7%'!$A96,20))</f>
        <v>0.26297456194342284</v>
      </c>
      <c r="F96" s="23">
        <f t="shared" si="45"/>
        <v>5.8970821496412249</v>
      </c>
      <c r="H96" s="22">
        <f t="shared" si="44"/>
        <v>2.8000000000000001E-2</v>
      </c>
      <c r="I96" s="22"/>
      <c r="J96" s="41"/>
      <c r="K96" s="41">
        <f t="shared" si="38"/>
        <v>1.97416942750556E-2</v>
      </c>
      <c r="L96" s="41">
        <f t="shared" si="39"/>
        <v>6.6962178845727163E-3</v>
      </c>
      <c r="M96" s="41">
        <f t="shared" si="40"/>
        <v>9.5732674595179034E-4</v>
      </c>
      <c r="N96" s="41">
        <f t="shared" si="41"/>
        <v>2.1467606688668994E-2</v>
      </c>
      <c r="O96" s="67"/>
      <c r="P96" s="41">
        <f t="shared" si="42"/>
        <v>1.0193057719558849E-4</v>
      </c>
      <c r="R96" s="27">
        <f t="shared" si="46"/>
        <v>2.6045065249451715</v>
      </c>
      <c r="S96" s="27">
        <f t="shared" si="46"/>
        <v>1.1403848152062916</v>
      </c>
      <c r="T96" s="27">
        <f t="shared" si="46"/>
        <v>0.50339766128768881</v>
      </c>
      <c r="U96" s="27">
        <f t="shared" si="46"/>
        <v>0.22399369774498204</v>
      </c>
      <c r="V96" s="27">
        <f t="shared" si="46"/>
        <v>0.10045193061301691</v>
      </c>
      <c r="W96" s="27">
        <f t="shared" si="46"/>
        <v>4.5395586032977588E-2</v>
      </c>
      <c r="X96" s="27">
        <f t="shared" si="46"/>
        <v>2.0669912244806486E-2</v>
      </c>
      <c r="Y96" s="27">
        <f t="shared" si="46"/>
        <v>9.4813876213334907E-3</v>
      </c>
    </row>
    <row r="97" spans="1:25" x14ac:dyDescent="0.25">
      <c r="A97" s="21">
        <v>85</v>
      </c>
      <c r="C97" s="25">
        <f t="shared" si="22"/>
        <v>5.422979589734731</v>
      </c>
      <c r="D97" s="23">
        <f>FishHarvestTimeTrends!AC106*((1+' OriginalBCACalculation 7%'!D$10)^MIN(' OriginalBCACalculation 7%'!$A97,20))</f>
        <v>1.8394307179072613</v>
      </c>
      <c r="E97" s="23">
        <f>FishHarvestTimeTrends!AD106*((1+' OriginalBCACalculation 7%'!E$10)^MIN(' OriginalBCACalculation 7%'!$A97,20))</f>
        <v>0.26297470062273304</v>
      </c>
      <c r="F97" s="23">
        <f t="shared" si="45"/>
        <v>5.9000306907160454</v>
      </c>
      <c r="H97" s="22">
        <f t="shared" si="44"/>
        <v>2.8000000000000001E-2</v>
      </c>
      <c r="I97" s="22"/>
      <c r="J97" s="41"/>
      <c r="K97" s="41">
        <f t="shared" si="38"/>
        <v>1.8450181565472526E-2</v>
      </c>
      <c r="L97" s="41">
        <f t="shared" si="39"/>
        <v>6.2581520289580403E-3</v>
      </c>
      <c r="M97" s="41">
        <f t="shared" si="40"/>
        <v>8.9469836523071652E-4</v>
      </c>
      <c r="N97" s="41">
        <f t="shared" si="41"/>
        <v>2.0073215413096569E-2</v>
      </c>
      <c r="O97" s="67"/>
      <c r="P97" s="41">
        <f t="shared" si="42"/>
        <v>9.5262221678120098E-5</v>
      </c>
      <c r="R97" s="27">
        <f t="shared" si="46"/>
        <v>2.6074565195113086</v>
      </c>
      <c r="S97" s="27">
        <f t="shared" si="46"/>
        <v>1.1303727447296887</v>
      </c>
      <c r="T97" s="27">
        <f t="shared" si="46"/>
        <v>0.4940861124482287</v>
      </c>
      <c r="U97" s="27">
        <f t="shared" si="46"/>
        <v>0.21771592643523305</v>
      </c>
      <c r="V97" s="27">
        <f t="shared" si="46"/>
        <v>9.6697795674897349E-2</v>
      </c>
      <c r="W97" s="27">
        <f t="shared" si="46"/>
        <v>4.3282860331301631E-2</v>
      </c>
      <c r="X97" s="27">
        <f t="shared" si="46"/>
        <v>1.9522003795188529E-2</v>
      </c>
      <c r="Y97" s="27">
        <f t="shared" si="46"/>
        <v>8.8711464634909209E-3</v>
      </c>
    </row>
    <row r="98" spans="1:25" x14ac:dyDescent="0.25">
      <c r="A98" s="21">
        <v>86</v>
      </c>
      <c r="C98" s="25">
        <f t="shared" ref="C98:C112" si="47">C97</f>
        <v>5.422979589734731</v>
      </c>
      <c r="D98" s="23">
        <f>FishHarvestTimeTrends!AC107*((1+' OriginalBCACalculation 7%'!D$10)^MIN(' OriginalBCACalculation 7%'!$A98,20))</f>
        <v>1.8394320327192688</v>
      </c>
      <c r="E98" s="23">
        <f>FishHarvestTimeTrends!AD107*((1+' OriginalBCACalculation 7%'!E$10)^MIN(' OriginalBCACalculation 7%'!$A98,20))</f>
        <v>0.2629748393020433</v>
      </c>
      <c r="F98" s="23">
        <f t="shared" si="45"/>
        <v>5.9029807060614035</v>
      </c>
      <c r="H98" s="22">
        <f t="shared" si="44"/>
        <v>2.8000000000000001E-2</v>
      </c>
      <c r="I98" s="22"/>
      <c r="J98" s="41"/>
      <c r="K98" s="41">
        <f t="shared" si="38"/>
        <v>1.7243160341563108E-2</v>
      </c>
      <c r="L98" s="41">
        <f t="shared" si="39"/>
        <v>5.8487443946174241E-3</v>
      </c>
      <c r="M98" s="41">
        <f t="shared" si="40"/>
        <v>8.3616713742854659E-4</v>
      </c>
      <c r="N98" s="41">
        <f t="shared" si="41"/>
        <v>1.8769394411965529E-2</v>
      </c>
      <c r="O98" s="67"/>
      <c r="P98" s="41">
        <f t="shared" si="42"/>
        <v>8.9030113717869248E-5</v>
      </c>
      <c r="R98" s="27">
        <f t="shared" si="46"/>
        <v>2.6104079883479843</v>
      </c>
      <c r="S98" s="27">
        <f t="shared" si="46"/>
        <v>1.1204477743926673</v>
      </c>
      <c r="T98" s="27">
        <f t="shared" si="46"/>
        <v>0.48494645622158566</v>
      </c>
      <c r="U98" s="27">
        <f t="shared" si="46"/>
        <v>0.21161394806516923</v>
      </c>
      <c r="V98" s="27">
        <f t="shared" si="46"/>
        <v>9.3083895387559679E-2</v>
      </c>
      <c r="W98" s="27">
        <f t="shared" si="46"/>
        <v>4.1268432071425311E-2</v>
      </c>
      <c r="X98" s="27">
        <f t="shared" si="46"/>
        <v>1.8437831524665931E-2</v>
      </c>
      <c r="Y98" s="27">
        <f t="shared" si="46"/>
        <v>8.3001757161662616E-3</v>
      </c>
    </row>
    <row r="99" spans="1:25" x14ac:dyDescent="0.25">
      <c r="A99" s="21">
        <v>87</v>
      </c>
      <c r="C99" s="25">
        <f t="shared" si="47"/>
        <v>5.422979589734731</v>
      </c>
      <c r="D99" s="23">
        <f>FishHarvestTimeTrends!AC108*((1+' OriginalBCACalculation 7%'!D$10)^MIN(' OriginalBCACalculation 7%'!$A99,20))</f>
        <v>1.8394333475312763</v>
      </c>
      <c r="E99" s="23">
        <f>FishHarvestTimeTrends!AD108*((1+' OriginalBCACalculation 7%'!E$10)^MIN(' OriginalBCACalculation 7%'!$A99,20))</f>
        <v>0.2629749779813535</v>
      </c>
      <c r="F99" s="23">
        <f t="shared" si="45"/>
        <v>5.905932196414434</v>
      </c>
      <c r="H99" s="22">
        <f t="shared" si="44"/>
        <v>2.8000000000000001E-2</v>
      </c>
      <c r="I99" s="22"/>
      <c r="J99" s="41"/>
      <c r="K99" s="41">
        <f t="shared" si="38"/>
        <v>1.6115103122956175E-2</v>
      </c>
      <c r="L99" s="41">
        <f t="shared" si="39"/>
        <v>5.4661201637900671E-3</v>
      </c>
      <c r="M99" s="41">
        <f t="shared" si="40"/>
        <v>7.8146502652316622E-4</v>
      </c>
      <c r="N99" s="41">
        <f t="shared" si="41"/>
        <v>1.7550260849693002E-2</v>
      </c>
      <c r="O99" s="67"/>
      <c r="P99" s="41">
        <f t="shared" si="42"/>
        <v>8.320571375501798E-5</v>
      </c>
      <c r="R99" s="27">
        <f t="shared" si="46"/>
        <v>2.6133609321923332</v>
      </c>
      <c r="S99" s="27">
        <f t="shared" si="46"/>
        <v>1.1106091549673038</v>
      </c>
      <c r="T99" s="27">
        <f t="shared" si="46"/>
        <v>0.47597552647303376</v>
      </c>
      <c r="U99" s="27">
        <f t="shared" si="46"/>
        <v>0.20568284450784249</v>
      </c>
      <c r="V99" s="27">
        <f t="shared" si="46"/>
        <v>8.960499392755128E-2</v>
      </c>
      <c r="W99" s="27">
        <f t="shared" si="46"/>
        <v>3.9347729254693556E-2</v>
      </c>
      <c r="X99" s="27">
        <f t="shared" si="46"/>
        <v>1.7413857316191342E-2</v>
      </c>
      <c r="Y99" s="27">
        <f t="shared" si="46"/>
        <v>7.76594863080508E-3</v>
      </c>
    </row>
    <row r="100" spans="1:25" x14ac:dyDescent="0.25">
      <c r="A100" s="21">
        <v>88</v>
      </c>
      <c r="C100" s="25">
        <f t="shared" si="47"/>
        <v>5.422979589734731</v>
      </c>
      <c r="D100" s="23">
        <f>FishHarvestTimeTrends!AC109*((1+' OriginalBCACalculation 7%'!D$10)^MIN(' OriginalBCACalculation 7%'!$A100,20))</f>
        <v>1.8394346623432836</v>
      </c>
      <c r="E100" s="23">
        <f>FishHarvestTimeTrends!AD109*((1+' OriginalBCACalculation 7%'!E$10)^MIN(' OriginalBCACalculation 7%'!$A100,20))</f>
        <v>0.26297511666066375</v>
      </c>
      <c r="F100" s="23">
        <f t="shared" si="45"/>
        <v>5.9088851625126413</v>
      </c>
      <c r="H100" s="22">
        <f t="shared" si="44"/>
        <v>2.8000000000000001E-2</v>
      </c>
      <c r="I100" s="22"/>
      <c r="J100" s="41"/>
      <c r="K100" s="41">
        <f t="shared" si="38"/>
        <v>1.5060844040145956E-2</v>
      </c>
      <c r="L100" s="41">
        <f t="shared" si="39"/>
        <v>5.1085271690919027E-3</v>
      </c>
      <c r="M100" s="41">
        <f t="shared" si="40"/>
        <v>7.3034153142722451E-4</v>
      </c>
      <c r="N100" s="41">
        <f t="shared" si="41"/>
        <v>1.6410314000110136E-2</v>
      </c>
      <c r="O100" s="67"/>
      <c r="P100" s="41">
        <f t="shared" si="42"/>
        <v>7.7762349303755115E-5</v>
      </c>
      <c r="R100" s="27">
        <f t="shared" si="46"/>
        <v>2.616315351781858</v>
      </c>
      <c r="S100" s="27">
        <f t="shared" si="46"/>
        <v>1.1008561435794657</v>
      </c>
      <c r="T100" s="27">
        <f t="shared" si="46"/>
        <v>0.46717021524296715</v>
      </c>
      <c r="U100" s="27">
        <f t="shared" si="46"/>
        <v>0.1999178350956369</v>
      </c>
      <c r="V100" s="27">
        <f t="shared" si="46"/>
        <v>8.6256050855196637E-2</v>
      </c>
      <c r="W100" s="27">
        <f t="shared" si="46"/>
        <v>3.7516392465999894E-2</v>
      </c>
      <c r="X100" s="27">
        <f t="shared" si="46"/>
        <v>1.644673941717854E-2</v>
      </c>
      <c r="Y100" s="27">
        <f t="shared" si="46"/>
        <v>7.266101009787064E-3</v>
      </c>
    </row>
    <row r="101" spans="1:25" x14ac:dyDescent="0.25">
      <c r="A101" s="21">
        <v>89</v>
      </c>
      <c r="C101" s="25">
        <f t="shared" si="47"/>
        <v>5.422979589734731</v>
      </c>
      <c r="D101" s="23">
        <f>FishHarvestTimeTrends!AC110*((1+' OriginalBCACalculation 7%'!D$10)^MIN(' OriginalBCACalculation 7%'!$A101,20))</f>
        <v>1.8394359771552908</v>
      </c>
      <c r="E101" s="23">
        <f>FishHarvestTimeTrends!AD110*((1+' OriginalBCACalculation 7%'!E$10)^MIN(' OriginalBCACalculation 7%'!$A101,20))</f>
        <v>0.26297525533997396</v>
      </c>
      <c r="F101" s="23">
        <f t="shared" si="45"/>
        <v>5.9118396050938973</v>
      </c>
      <c r="H101" s="22">
        <f t="shared" si="44"/>
        <v>2.8000000000000001E-2</v>
      </c>
      <c r="I101" s="22"/>
      <c r="J101" s="41"/>
      <c r="K101" s="41">
        <f t="shared" si="38"/>
        <v>1.4075555177706501E-2</v>
      </c>
      <c r="L101" s="41">
        <f t="shared" si="39"/>
        <v>4.774327869741116E-3</v>
      </c>
      <c r="M101" s="41">
        <f t="shared" si="40"/>
        <v>6.8256253885151023E-4</v>
      </c>
      <c r="N101" s="41">
        <f t="shared" si="41"/>
        <v>1.5344410427205786E-2</v>
      </c>
      <c r="O101" s="67"/>
      <c r="P101" s="41">
        <f t="shared" si="42"/>
        <v>7.2675092807247772E-5</v>
      </c>
      <c r="R101" s="27">
        <f t="shared" si="46"/>
        <v>2.6192712478544324</v>
      </c>
      <c r="S101" s="27">
        <f t="shared" si="46"/>
        <v>1.091188003655909</v>
      </c>
      <c r="T101" s="27">
        <f t="shared" si="46"/>
        <v>0.45852747168088548</v>
      </c>
      <c r="U101" s="27">
        <f t="shared" si="46"/>
        <v>0.19431427278234703</v>
      </c>
      <c r="V101" s="27">
        <f t="shared" si="46"/>
        <v>8.3032213827496787E-2</v>
      </c>
      <c r="W101" s="27">
        <f t="shared" si="46"/>
        <v>3.5770264992636185E-2</v>
      </c>
      <c r="X101" s="27">
        <f t="shared" si="46"/>
        <v>1.5533321543803477E-2</v>
      </c>
      <c r="Y101" s="27">
        <f t="shared" si="46"/>
        <v>6.7984207508991626E-3</v>
      </c>
    </row>
    <row r="102" spans="1:25" x14ac:dyDescent="0.25">
      <c r="A102" s="21">
        <v>90</v>
      </c>
      <c r="C102" s="25">
        <f t="shared" si="47"/>
        <v>5.422979589734731</v>
      </c>
      <c r="D102" s="23">
        <f>FishHarvestTimeTrends!AC111*((1+' OriginalBCACalculation 7%'!D$10)^MIN(' OriginalBCACalculation 7%'!$A102,20))</f>
        <v>1.8394372919672983</v>
      </c>
      <c r="E102" s="23">
        <f>FishHarvestTimeTrends!AD111*((1+' OriginalBCACalculation 7%'!E$10)^MIN(' OriginalBCACalculation 7%'!$A102,20))</f>
        <v>0.26297539401928421</v>
      </c>
      <c r="F102" s="23">
        <f t="shared" si="45"/>
        <v>5.9147955248964443</v>
      </c>
      <c r="H102" s="22">
        <f t="shared" si="44"/>
        <v>2.8000000000000001E-2</v>
      </c>
      <c r="I102" s="22"/>
      <c r="J102" s="41"/>
      <c r="K102" s="41">
        <f t="shared" si="38"/>
        <v>1.3154724465146261E-2</v>
      </c>
      <c r="L102" s="41">
        <f t="shared" si="39"/>
        <v>4.4619918526981276E-3</v>
      </c>
      <c r="M102" s="41">
        <f t="shared" si="40"/>
        <v>6.3790925121408641E-4</v>
      </c>
      <c r="N102" s="41">
        <f t="shared" si="41"/>
        <v>1.4347740777962045E-2</v>
      </c>
      <c r="O102" s="67"/>
      <c r="P102" s="41">
        <f t="shared" si="42"/>
        <v>6.7920647483409133E-5</v>
      </c>
      <c r="R102" s="27">
        <f t="shared" si="46"/>
        <v>2.6222286211482961</v>
      </c>
      <c r="S102" s="27">
        <f t="shared" si="46"/>
        <v>1.0816040048718134</v>
      </c>
      <c r="T102" s="27">
        <f t="shared" si="46"/>
        <v>0.45004430099885312</v>
      </c>
      <c r="U102" s="27">
        <f t="shared" si="46"/>
        <v>0.18886764041229226</v>
      </c>
      <c r="V102" s="27">
        <f t="shared" si="46"/>
        <v>7.9928811582654954E-2</v>
      </c>
      <c r="W102" s="27">
        <f t="shared" si="46"/>
        <v>3.4105383402270394E-2</v>
      </c>
      <c r="X102" s="27">
        <f t="shared" si="46"/>
        <v>1.4670622589734748E-2</v>
      </c>
      <c r="Y102" s="27">
        <f t="shared" si="46"/>
        <v>6.3608380642114076E-3</v>
      </c>
    </row>
    <row r="103" spans="1:25" x14ac:dyDescent="0.25">
      <c r="A103" s="21">
        <v>91</v>
      </c>
      <c r="C103" s="25">
        <f t="shared" si="47"/>
        <v>5.422979589734731</v>
      </c>
      <c r="D103" s="23">
        <f>FishHarvestTimeTrends!AC112*((1+' OriginalBCACalculation 7%'!D$10)^MIN(' OriginalBCACalculation 7%'!$A103,20))</f>
        <v>1.8394386067793058</v>
      </c>
      <c r="E103" s="23">
        <f>FishHarvestTimeTrends!AD112*((1+' OriginalBCACalculation 7%'!E$10)^MIN(' OriginalBCACalculation 7%'!$A103,20))</f>
        <v>0.26297553269859436</v>
      </c>
      <c r="F103" s="23">
        <f t="shared" si="45"/>
        <v>5.9177529226588925</v>
      </c>
      <c r="H103" s="22">
        <f t="shared" si="44"/>
        <v>2.8000000000000001E-2</v>
      </c>
      <c r="I103" s="22"/>
      <c r="J103" s="41"/>
      <c r="K103" s="41">
        <f t="shared" si="38"/>
        <v>1.2294135014155386E-2</v>
      </c>
      <c r="L103" s="41">
        <f t="shared" si="39"/>
        <v>4.1700888243801889E-3</v>
      </c>
      <c r="M103" s="41">
        <f t="shared" si="40"/>
        <v>5.9617718468567955E-4</v>
      </c>
      <c r="N103" s="41">
        <f t="shared" si="41"/>
        <v>1.3415808082571054E-2</v>
      </c>
      <c r="O103" s="67"/>
      <c r="P103" s="41">
        <f t="shared" si="42"/>
        <v>6.3477240638700131E-5</v>
      </c>
      <c r="R103" s="27">
        <f t="shared" si="46"/>
        <v>2.6251874724020619</v>
      </c>
      <c r="S103" s="27">
        <f t="shared" si="46"/>
        <v>1.0721034230987401</v>
      </c>
      <c r="T103" s="27">
        <f t="shared" si="46"/>
        <v>0.4417177634440797</v>
      </c>
      <c r="U103" s="27">
        <f t="shared" si="46"/>
        <v>0.18357354709348811</v>
      </c>
      <c r="V103" s="27">
        <f t="shared" si="46"/>
        <v>7.694134718611001E-2</v>
      </c>
      <c r="W103" s="27">
        <f t="shared" si="46"/>
        <v>3.2517968558727142E-2</v>
      </c>
      <c r="X103" s="27">
        <f t="shared" si="46"/>
        <v>1.385582690577159E-2</v>
      </c>
      <c r="Y103" s="27">
        <f t="shared" si="46"/>
        <v>5.9514163181202369E-3</v>
      </c>
    </row>
    <row r="104" spans="1:25" x14ac:dyDescent="0.25">
      <c r="A104" s="21">
        <v>92</v>
      </c>
      <c r="C104" s="25">
        <f t="shared" si="47"/>
        <v>5.422979589734731</v>
      </c>
      <c r="D104" s="23">
        <f>FishHarvestTimeTrends!AC113*((1+' OriginalBCACalculation 7%'!D$10)^MIN(' OriginalBCACalculation 7%'!$A104,20))</f>
        <v>1.8394399215913129</v>
      </c>
      <c r="E104" s="23">
        <f>FishHarvestTimeTrends!AD113*((1+' OriginalBCACalculation 7%'!E$10)^MIN(' OriginalBCACalculation 7%'!$A104,20))</f>
        <v>0.26297567137790467</v>
      </c>
      <c r="F104" s="23">
        <f t="shared" si="45"/>
        <v>5.9207117991202214</v>
      </c>
      <c r="H104" s="22">
        <f t="shared" si="44"/>
        <v>2.8000000000000001E-2</v>
      </c>
      <c r="I104" s="22"/>
      <c r="J104" s="41"/>
      <c r="K104" s="41">
        <f t="shared" si="38"/>
        <v>1.1489845807621853E-2</v>
      </c>
      <c r="L104" s="41">
        <f t="shared" si="39"/>
        <v>3.8972820608572578E-3</v>
      </c>
      <c r="M104" s="41">
        <f t="shared" si="40"/>
        <v>5.5717523278300991E-4</v>
      </c>
      <c r="N104" s="41">
        <f t="shared" si="41"/>
        <v>1.2544407464123677E-2</v>
      </c>
      <c r="O104" s="67"/>
      <c r="P104" s="41">
        <f t="shared" si="42"/>
        <v>5.9324523961401979E-5</v>
      </c>
      <c r="R104" s="27">
        <f t="shared" si="46"/>
        <v>2.6281478023547082</v>
      </c>
      <c r="S104" s="27">
        <f t="shared" si="46"/>
        <v>1.0626855403530107</v>
      </c>
      <c r="T104" s="27">
        <f t="shared" si="46"/>
        <v>0.43354497329027064</v>
      </c>
      <c r="U104" s="27">
        <f t="shared" si="46"/>
        <v>0.17842772467197282</v>
      </c>
      <c r="V104" s="27">
        <f t="shared" si="46"/>
        <v>7.406549152833504E-2</v>
      </c>
      <c r="W104" s="27">
        <f t="shared" si="46"/>
        <v>3.1004417055234955E-2</v>
      </c>
      <c r="X104" s="27">
        <f t="shared" si="46"/>
        <v>1.3086275118725768E-2</v>
      </c>
      <c r="Y104" s="27">
        <f t="shared" si="46"/>
        <v>5.5683434741034942E-3</v>
      </c>
    </row>
    <row r="105" spans="1:25" x14ac:dyDescent="0.25">
      <c r="A105" s="21">
        <v>93</v>
      </c>
      <c r="C105" s="25">
        <f t="shared" si="47"/>
        <v>5.422979589734731</v>
      </c>
      <c r="D105" s="23">
        <f>FishHarvestTimeTrends!AC114*((1+' OriginalBCACalculation 7%'!D$10)^MIN(' OriginalBCACalculation 7%'!$A105,20))</f>
        <v>1.8394412364033204</v>
      </c>
      <c r="E105" s="23">
        <f>FishHarvestTimeTrends!AD114*((1+' OriginalBCACalculation 7%'!E$10)^MIN(' OriginalBCACalculation 7%'!$A105,20))</f>
        <v>0.26297581005721482</v>
      </c>
      <c r="F105" s="23">
        <f t="shared" si="45"/>
        <v>5.9236721550197808</v>
      </c>
      <c r="H105" s="22">
        <f t="shared" si="44"/>
        <v>2.8000000000000001E-2</v>
      </c>
      <c r="I105" s="22"/>
      <c r="J105" s="41"/>
      <c r="K105" s="41">
        <f t="shared" si="38"/>
        <v>1.0738173651983044E-2</v>
      </c>
      <c r="L105" s="41">
        <f t="shared" si="39"/>
        <v>3.6423222865353696E-3</v>
      </c>
      <c r="M105" s="41">
        <f t="shared" si="40"/>
        <v>5.2072479122190719E-4</v>
      </c>
      <c r="N105" s="41">
        <f t="shared" si="41"/>
        <v>1.1729607166220318E-2</v>
      </c>
      <c r="O105" s="67"/>
      <c r="P105" s="41">
        <f t="shared" si="42"/>
        <v>5.5443480337758871E-5</v>
      </c>
      <c r="R105" s="27">
        <f t="shared" si="46"/>
        <v>2.6311096117455852</v>
      </c>
      <c r="S105" s="27">
        <f t="shared" si="46"/>
        <v>1.0533496447445088</v>
      </c>
      <c r="T105" s="27">
        <f t="shared" si="46"/>
        <v>0.42552309784740966</v>
      </c>
      <c r="U105" s="27">
        <f t="shared" si="46"/>
        <v>0.17342602430447307</v>
      </c>
      <c r="V105" s="27">
        <f t="shared" si="46"/>
        <v>7.1297077065022585E-2</v>
      </c>
      <c r="W105" s="27">
        <f t="shared" si="46"/>
        <v>2.9561293045749459E-2</v>
      </c>
      <c r="X105" s="27">
        <f t="shared" si="46"/>
        <v>1.2359455459639812E-2</v>
      </c>
      <c r="Y105" s="27">
        <f t="shared" si="46"/>
        <v>5.2099240723323115E-3</v>
      </c>
    </row>
    <row r="106" spans="1:25" x14ac:dyDescent="0.25">
      <c r="A106" s="21">
        <v>94</v>
      </c>
      <c r="C106" s="25">
        <f t="shared" si="47"/>
        <v>5.422979589734731</v>
      </c>
      <c r="D106" s="23">
        <f>FishHarvestTimeTrends!AC115*((1+' OriginalBCACalculation 7%'!D$10)^MIN(' OriginalBCACalculation 7%'!$A106,20))</f>
        <v>1.8394425512153281</v>
      </c>
      <c r="E106" s="23">
        <f>FishHarvestTimeTrends!AD115*((1+' OriginalBCACalculation 7%'!E$10)^MIN(' OriginalBCACalculation 7%'!$A106,20))</f>
        <v>0.26297594873652508</v>
      </c>
      <c r="F106" s="23">
        <f t="shared" si="45"/>
        <v>5.9266339910972903</v>
      </c>
      <c r="H106" s="22">
        <f t="shared" si="44"/>
        <v>2.8000000000000001E-2</v>
      </c>
      <c r="I106" s="22"/>
      <c r="J106" s="41"/>
      <c r="K106" s="41">
        <f t="shared" si="38"/>
        <v>1.0035676310264526E-2</v>
      </c>
      <c r="L106" s="41">
        <f t="shared" si="39"/>
        <v>3.4040419532958628E-3</v>
      </c>
      <c r="M106" s="41">
        <f t="shared" si="40"/>
        <v>4.866589400225972E-4</v>
      </c>
      <c r="N106" s="41">
        <f t="shared" si="41"/>
        <v>1.09677308129004E-2</v>
      </c>
      <c r="O106" s="67"/>
      <c r="P106" s="41">
        <f t="shared" si="42"/>
        <v>5.1816336764260622E-5</v>
      </c>
      <c r="R106" s="27">
        <f t="shared" si="46"/>
        <v>2.6340729013144122</v>
      </c>
      <c r="S106" s="27">
        <f t="shared" si="46"/>
        <v>1.044095030425898</v>
      </c>
      <c r="T106" s="27">
        <f t="shared" si="46"/>
        <v>0.41764935648963541</v>
      </c>
      <c r="U106" s="27">
        <f t="shared" si="46"/>
        <v>0.16856441312666889</v>
      </c>
      <c r="V106" s="27">
        <f t="shared" si="46"/>
        <v>6.8632091790625654E-2</v>
      </c>
      <c r="W106" s="27">
        <f t="shared" si="46"/>
        <v>2.8185320455861078E-2</v>
      </c>
      <c r="X106" s="27">
        <f t="shared" si="46"/>
        <v>1.1672995573092036E-2</v>
      </c>
      <c r="Y106" s="27">
        <f t="shared" si="46"/>
        <v>4.8745717327185936E-3</v>
      </c>
    </row>
    <row r="107" spans="1:25" x14ac:dyDescent="0.25">
      <c r="A107" s="21">
        <v>95</v>
      </c>
      <c r="C107" s="25">
        <f t="shared" si="47"/>
        <v>5.422979589734731</v>
      </c>
      <c r="D107" s="23">
        <f>FishHarvestTimeTrends!AC116*((1+' OriginalBCACalculation 7%'!D$10)^MIN(' OriginalBCACalculation 7%'!$A107,20))</f>
        <v>1.8394438660273351</v>
      </c>
      <c r="E107" s="23">
        <f>FishHarvestTimeTrends!AD116*((1+' OriginalBCACalculation 7%'!E$10)^MIN(' OriginalBCACalculation 7%'!$A107,20))</f>
        <v>0.26297608741583534</v>
      </c>
      <c r="F107" s="23">
        <f t="shared" si="45"/>
        <v>5.9295973080928386</v>
      </c>
      <c r="H107" s="22">
        <f t="shared" si="44"/>
        <v>2.8000000000000001E-2</v>
      </c>
      <c r="I107" s="22"/>
      <c r="J107" s="41"/>
      <c r="K107" s="41">
        <f t="shared" si="38"/>
        <v>9.379136738564978E-3</v>
      </c>
      <c r="L107" s="41">
        <f t="shared" si="39"/>
        <v>3.1813498938927207E-3</v>
      </c>
      <c r="M107" s="41">
        <f t="shared" si="40"/>
        <v>4.5482167912171449E-4</v>
      </c>
      <c r="N107" s="41">
        <f t="shared" si="41"/>
        <v>1.0255340820847524E-2</v>
      </c>
      <c r="O107" s="67"/>
      <c r="P107" s="41">
        <f t="shared" si="42"/>
        <v>4.8426482957252925E-5</v>
      </c>
      <c r="R107" s="27">
        <f t="shared" si="46"/>
        <v>2.637037671801278</v>
      </c>
      <c r="S107" s="27">
        <f t="shared" si="46"/>
        <v>1.0349209975422502</v>
      </c>
      <c r="T107" s="27">
        <f t="shared" si="46"/>
        <v>0.40992101970088213</v>
      </c>
      <c r="U107" s="27">
        <f t="shared" si="46"/>
        <v>0.16383897101439379</v>
      </c>
      <c r="V107" s="27">
        <f t="shared" si="46"/>
        <v>6.6066673436560891E-2</v>
      </c>
      <c r="W107" s="27">
        <f t="shared" si="46"/>
        <v>2.6873375555655395E-2</v>
      </c>
      <c r="X107" s="27">
        <f t="shared" si="46"/>
        <v>1.1024654780905471E-2</v>
      </c>
      <c r="Y107" s="27">
        <f t="shared" si="46"/>
        <v>4.5608021382542328E-3</v>
      </c>
    </row>
    <row r="108" spans="1:25" x14ac:dyDescent="0.25">
      <c r="A108" s="21">
        <v>96</v>
      </c>
      <c r="C108" s="25">
        <f t="shared" si="47"/>
        <v>5.422979589734731</v>
      </c>
      <c r="D108" s="23">
        <f>FishHarvestTimeTrends!AC117*((1+' OriginalBCACalculation 7%'!D$10)^MIN(' OriginalBCACalculation 7%'!$A108,20))</f>
        <v>1.8394451808393426</v>
      </c>
      <c r="E108" s="23">
        <f>FishHarvestTimeTrends!AD117*((1+' OriginalBCACalculation 7%'!E$10)^MIN(' OriginalBCACalculation 7%'!$A108,20))</f>
        <v>0.26297622609514554</v>
      </c>
      <c r="F108" s="23">
        <f t="shared" si="45"/>
        <v>5.932562106746885</v>
      </c>
      <c r="H108" s="22">
        <f t="shared" si="44"/>
        <v>2.8000000000000001E-2</v>
      </c>
      <c r="I108" s="22"/>
      <c r="J108" s="41"/>
      <c r="K108" s="41">
        <f t="shared" si="38"/>
        <v>8.7655483537990419E-3</v>
      </c>
      <c r="L108" s="41">
        <f t="shared" si="39"/>
        <v>2.9732263251240794E-3</v>
      </c>
      <c r="M108" s="41">
        <f t="shared" si="40"/>
        <v>4.2506721399062925E-4</v>
      </c>
      <c r="N108" s="41">
        <f t="shared" si="41"/>
        <v>9.5892228890261163E-3</v>
      </c>
      <c r="O108" s="67"/>
      <c r="P108" s="41">
        <f t="shared" si="42"/>
        <v>4.5258395287152253E-5</v>
      </c>
      <c r="R108" s="27">
        <f t="shared" si="46"/>
        <v>2.6400039239466428</v>
      </c>
      <c r="S108" s="27">
        <f t="shared" si="46"/>
        <v>1.0258268521810867</v>
      </c>
      <c r="T108" s="27">
        <f t="shared" si="46"/>
        <v>0.40233540813796304</v>
      </c>
      <c r="U108" s="27">
        <f t="shared" si="46"/>
        <v>0.15924588743518167</v>
      </c>
      <c r="V108" s="27">
        <f t="shared" si="46"/>
        <v>6.3597103885703582E-2</v>
      </c>
      <c r="W108" s="27">
        <f t="shared" si="46"/>
        <v>2.5622479877712153E-2</v>
      </c>
      <c r="X108" s="27">
        <f t="shared" si="46"/>
        <v>1.0412316775057225E-2</v>
      </c>
      <c r="Y108" s="27">
        <f t="shared" si="46"/>
        <v>4.2672264696289354E-3</v>
      </c>
    </row>
    <row r="109" spans="1:25" x14ac:dyDescent="0.25">
      <c r="A109" s="21">
        <v>97</v>
      </c>
      <c r="C109" s="25">
        <f t="shared" si="47"/>
        <v>5.422979589734731</v>
      </c>
      <c r="D109" s="23">
        <f>FishHarvestTimeTrends!AC118*((1+' OriginalBCACalculation 7%'!D$10)^MIN(' OriginalBCACalculation 7%'!$A109,20))</f>
        <v>1.8394464956513501</v>
      </c>
      <c r="E109" s="23">
        <f>FishHarvestTimeTrends!AD118*((1+' OriginalBCACalculation 7%'!E$10)^MIN(' OriginalBCACalculation 7%'!$A109,20))</f>
        <v>0.26297636477445574</v>
      </c>
      <c r="F109" s="23">
        <f t="shared" si="45"/>
        <v>5.9355283878002583</v>
      </c>
      <c r="H109" s="22">
        <f t="shared" si="44"/>
        <v>2.8000000000000001E-2</v>
      </c>
      <c r="I109" s="22"/>
      <c r="J109" s="41"/>
      <c r="K109" s="41">
        <f t="shared" si="38"/>
        <v>8.1921012652327527E-3</v>
      </c>
      <c r="L109" s="41">
        <f t="shared" si="39"/>
        <v>2.7787181778957211E-3</v>
      </c>
      <c r="M109" s="41">
        <f t="shared" si="40"/>
        <v>3.9725928798867361E-4</v>
      </c>
      <c r="N109" s="41">
        <f t="shared" si="41"/>
        <v>8.9663714957669456E-3</v>
      </c>
      <c r="O109" s="67"/>
      <c r="P109" s="41">
        <f t="shared" si="42"/>
        <v>4.2297565688927347E-5</v>
      </c>
      <c r="R109" s="27">
        <f t="shared" si="46"/>
        <v>2.6429716584913345</v>
      </c>
      <c r="S109" s="27">
        <f t="shared" si="46"/>
        <v>1.0168119063228205</v>
      </c>
      <c r="T109" s="27">
        <f t="shared" si="46"/>
        <v>0.3948898917107761</v>
      </c>
      <c r="U109" s="27">
        <f t="shared" si="46"/>
        <v>0.15478145838764232</v>
      </c>
      <c r="V109" s="27">
        <f t="shared" si="46"/>
        <v>6.1219803795115948E-2</v>
      </c>
      <c r="W109" s="27">
        <f t="shared" si="46"/>
        <v>2.442979346421046E-2</v>
      </c>
      <c r="X109" s="27">
        <f t="shared" si="46"/>
        <v>9.8339827159824433E-3</v>
      </c>
      <c r="Y109" s="27">
        <f t="shared" si="46"/>
        <v>3.9925452621075172E-3</v>
      </c>
    </row>
    <row r="110" spans="1:25" x14ac:dyDescent="0.25">
      <c r="A110" s="21">
        <v>98</v>
      </c>
      <c r="C110" s="25">
        <f t="shared" si="47"/>
        <v>5.422979589734731</v>
      </c>
      <c r="D110" s="23">
        <f>FishHarvestTimeTrends!AC119*((1+' OriginalBCACalculation 7%'!D$10)^MIN(' OriginalBCACalculation 7%'!$A110,20))</f>
        <v>1.8394478104633576</v>
      </c>
      <c r="E110" s="23">
        <f>FishHarvestTimeTrends!AD119*((1+' OriginalBCACalculation 7%'!E$10)^MIN(' OriginalBCACalculation 7%'!$A110,20))</f>
        <v>0.262976503453766</v>
      </c>
      <c r="F110" s="23">
        <f t="shared" si="45"/>
        <v>5.9384961519941584</v>
      </c>
      <c r="H110" s="22">
        <f t="shared" si="44"/>
        <v>2.8000000000000001E-2</v>
      </c>
      <c r="I110" s="22"/>
      <c r="J110" s="41"/>
      <c r="K110" s="41">
        <f t="shared" si="38"/>
        <v>7.6561694067595809E-3</v>
      </c>
      <c r="L110" s="41">
        <f t="shared" si="39"/>
        <v>2.5969347327913033E-3</v>
      </c>
      <c r="M110" s="41">
        <f t="shared" si="40"/>
        <v>3.7127055839386168E-4</v>
      </c>
      <c r="N110" s="41">
        <f t="shared" si="41"/>
        <v>8.3839763378643246E-3</v>
      </c>
      <c r="O110" s="67"/>
      <c r="P110" s="41">
        <f t="shared" si="42"/>
        <v>3.9530435223296587E-5</v>
      </c>
      <c r="R110" s="27">
        <f t="shared" ref="R110:Y112" si="48">(SUM($D110:$H110)-SUM($B110:$C110))/((1+R$10)^($A110-1))</f>
        <v>2.6459408761765504</v>
      </c>
      <c r="S110" s="27">
        <f t="shared" si="48"/>
        <v>1.0078754777916092</v>
      </c>
      <c r="T110" s="27">
        <f t="shared" si="48"/>
        <v>0.38758188867932297</v>
      </c>
      <c r="U110" s="27">
        <f t="shared" si="48"/>
        <v>0.15044208342621909</v>
      </c>
      <c r="V110" s="27">
        <f t="shared" si="48"/>
        <v>5.8931327419250196E-2</v>
      </c>
      <c r="W110" s="27">
        <f t="shared" si="48"/>
        <v>2.3292608427851455E-2</v>
      </c>
      <c r="X110" s="27">
        <f t="shared" si="48"/>
        <v>9.2877647137870785E-3</v>
      </c>
      <c r="Y110" s="27">
        <f t="shared" si="48"/>
        <v>3.7355426575132046E-3</v>
      </c>
    </row>
    <row r="111" spans="1:25" x14ac:dyDescent="0.25">
      <c r="A111" s="21">
        <v>99</v>
      </c>
      <c r="C111" s="25">
        <f t="shared" si="47"/>
        <v>5.422979589734731</v>
      </c>
      <c r="D111" s="23">
        <f>FishHarvestTimeTrends!AC120*((1+' OriginalBCACalculation 7%'!D$10)^MIN(' OriginalBCACalculation 7%'!$A111,20))</f>
        <v>1.8394491252753649</v>
      </c>
      <c r="E111" s="23">
        <f>FishHarvestTimeTrends!AD120*((1+' OriginalBCACalculation 7%'!E$10)^MIN(' OriginalBCACalculation 7%'!$A111,20))</f>
        <v>0.2629766421330762</v>
      </c>
      <c r="F111" s="23">
        <f t="shared" si="45"/>
        <v>5.9414654000701548</v>
      </c>
      <c r="H111" s="22">
        <f t="shared" si="44"/>
        <v>2.8000000000000001E-2</v>
      </c>
      <c r="I111" s="22"/>
      <c r="J111" s="41"/>
      <c r="K111" s="41">
        <f t="shared" si="38"/>
        <v>7.1552985109902623E-3</v>
      </c>
      <c r="L111" s="41">
        <f t="shared" si="39"/>
        <v>2.4270435411631298E-3</v>
      </c>
      <c r="M111" s="41">
        <f t="shared" si="40"/>
        <v>3.469820132537255E-4</v>
      </c>
      <c r="N111" s="41">
        <f t="shared" si="41"/>
        <v>7.8394096504983708E-3</v>
      </c>
      <c r="O111" s="67"/>
      <c r="P111" s="41">
        <f t="shared" si="42"/>
        <v>3.6944331984389331E-5</v>
      </c>
      <c r="R111" s="27">
        <f t="shared" si="48"/>
        <v>2.6489115777438643</v>
      </c>
      <c r="S111" s="27">
        <f t="shared" si="48"/>
        <v>0.99901689020660556</v>
      </c>
      <c r="T111" s="27">
        <f t="shared" si="48"/>
        <v>0.38040886476723379</v>
      </c>
      <c r="U111" s="27">
        <f t="shared" si="48"/>
        <v>0.14622426276895004</v>
      </c>
      <c r="V111" s="27">
        <f t="shared" si="48"/>
        <v>5.6728357626156752E-2</v>
      </c>
      <c r="W111" s="27">
        <f t="shared" si="48"/>
        <v>2.2208342812020491E-2</v>
      </c>
      <c r="X111" s="27">
        <f t="shared" si="48"/>
        <v>8.7718796711306543E-3</v>
      </c>
      <c r="Y111" s="27">
        <f t="shared" si="48"/>
        <v>3.4950810259093516E-3</v>
      </c>
    </row>
    <row r="112" spans="1:25" x14ac:dyDescent="0.25">
      <c r="A112" s="21">
        <v>100</v>
      </c>
      <c r="C112" s="25">
        <f t="shared" si="47"/>
        <v>5.422979589734731</v>
      </c>
      <c r="D112" s="23">
        <f>FishHarvestTimeTrends!AC121*((1+' OriginalBCACalculation 7%'!D$10)^MIN(' OriginalBCACalculation 7%'!$A112,20))</f>
        <v>1.8394504400873724</v>
      </c>
      <c r="E112" s="23">
        <f>FishHarvestTimeTrends!AD121*((1+' OriginalBCACalculation 7%'!E$10)^MIN(' OriginalBCACalculation 7%'!$A112,20))</f>
        <v>0.2629767808123864</v>
      </c>
      <c r="F112" s="23">
        <f t="shared" si="45"/>
        <v>5.9444361327701891</v>
      </c>
      <c r="H112" s="22">
        <f t="shared" si="44"/>
        <v>2.8000000000000001E-2</v>
      </c>
      <c r="I112" s="22"/>
      <c r="J112" s="41"/>
      <c r="K112" s="41">
        <f t="shared" si="38"/>
        <v>6.6871948700843575E-3</v>
      </c>
      <c r="L112" s="41">
        <f t="shared" si="39"/>
        <v>2.2682666130647176E-3</v>
      </c>
      <c r="M112" s="41">
        <f t="shared" si="40"/>
        <v>3.2428242638580737E-4</v>
      </c>
      <c r="N112" s="41">
        <f t="shared" si="41"/>
        <v>7.3302143507697369E-3</v>
      </c>
      <c r="O112" s="67"/>
      <c r="P112" s="41">
        <f t="shared" si="42"/>
        <v>3.4527413069522736E-5</v>
      </c>
      <c r="R112" s="27">
        <f t="shared" si="48"/>
        <v>2.651883763935218</v>
      </c>
      <c r="S112" s="27">
        <f t="shared" si="48"/>
        <v>0.99023547293360037</v>
      </c>
      <c r="T112" s="27">
        <f t="shared" si="48"/>
        <v>0.37336833229149452</v>
      </c>
      <c r="U112" s="27">
        <f t="shared" si="48"/>
        <v>0.14212459448591747</v>
      </c>
      <c r="V112" s="27">
        <f t="shared" si="48"/>
        <v>5.4607701099505843E-2</v>
      </c>
      <c r="W112" s="27">
        <f t="shared" si="48"/>
        <v>2.1174534736286915E-2</v>
      </c>
      <c r="X112" s="27">
        <f t="shared" si="48"/>
        <v>8.2846434677177842E-3</v>
      </c>
      <c r="Y112" s="27">
        <f t="shared" si="48"/>
        <v>3.2700959332054285E-3</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2"/>
  <sheetViews>
    <sheetView workbookViewId="0">
      <selection activeCell="M10" sqref="M10"/>
    </sheetView>
  </sheetViews>
  <sheetFormatPr defaultRowHeight="15" x14ac:dyDescent="0.25"/>
  <cols>
    <col min="1" max="1" width="36.42578125" style="21" customWidth="1"/>
    <col min="2" max="2" width="14.28515625" style="21" customWidth="1"/>
    <col min="3" max="3" width="11.85546875" style="21" customWidth="1"/>
    <col min="4" max="4" width="13.140625" style="21" customWidth="1"/>
    <col min="5" max="5" width="13.28515625" style="21" customWidth="1"/>
    <col min="6" max="6" width="14.28515625" style="21" customWidth="1"/>
    <col min="7" max="7" width="13.42578125" style="21" customWidth="1"/>
    <col min="8" max="9" width="11.5703125" style="21" customWidth="1"/>
    <col min="10" max="10" width="12.42578125" style="21" customWidth="1"/>
    <col min="11" max="16" width="11.5703125" style="21" customWidth="1"/>
    <col min="17" max="17" width="9.140625" style="21"/>
    <col min="18" max="25" width="12.5703125" style="21" bestFit="1" customWidth="1"/>
    <col min="26" max="16384" width="9.140625" style="21"/>
  </cols>
  <sheetData>
    <row r="1" spans="1:25" x14ac:dyDescent="0.25">
      <c r="B1" s="28" t="s">
        <v>110</v>
      </c>
      <c r="E1" s="74" t="s">
        <v>111</v>
      </c>
      <c r="R1" s="28" t="s">
        <v>51</v>
      </c>
    </row>
    <row r="2" spans="1:25" x14ac:dyDescent="0.25">
      <c r="A2" s="29" t="s">
        <v>1</v>
      </c>
      <c r="B2" s="68">
        <v>183.7</v>
      </c>
      <c r="C2" s="70" t="s">
        <v>112</v>
      </c>
      <c r="F2" s="28" t="s">
        <v>108</v>
      </c>
      <c r="G2" s="78">
        <v>37.9</v>
      </c>
      <c r="R2" s="28">
        <v>0</v>
      </c>
      <c r="S2" s="28">
        <v>0.01</v>
      </c>
      <c r="T2" s="28">
        <v>0.02</v>
      </c>
      <c r="U2" s="28">
        <v>0.03</v>
      </c>
      <c r="V2" s="28">
        <v>0.04</v>
      </c>
      <c r="W2" s="28">
        <v>0.05</v>
      </c>
      <c r="X2" s="28">
        <v>0.06</v>
      </c>
      <c r="Y2" s="28">
        <v>7.0000000000000007E-2</v>
      </c>
    </row>
    <row r="3" spans="1:25" x14ac:dyDescent="0.25">
      <c r="A3" s="60" t="s">
        <v>99</v>
      </c>
      <c r="B3" s="69">
        <v>5.7965</v>
      </c>
      <c r="C3" s="71">
        <f>B3/0.172</f>
        <v>33.700581395348841</v>
      </c>
      <c r="D3" s="28" t="s">
        <v>109</v>
      </c>
      <c r="Q3" s="28" t="s">
        <v>54</v>
      </c>
      <c r="R3" s="42">
        <f>SUM(R13:R42)-$G$2</f>
        <v>48305.98713564939</v>
      </c>
      <c r="S3" s="42">
        <f t="shared" ref="S3:Y3" si="0">SUM(S13:S42)-$G$2</f>
        <v>46201.693067066371</v>
      </c>
      <c r="T3" s="42">
        <f t="shared" si="0"/>
        <v>44244.871455894121</v>
      </c>
      <c r="U3" s="42">
        <f t="shared" si="0"/>
        <v>42422.876111005462</v>
      </c>
      <c r="V3" s="42">
        <f t="shared" si="0"/>
        <v>40724.325030962391</v>
      </c>
      <c r="W3" s="42">
        <f t="shared" si="0"/>
        <v>39138.954659516399</v>
      </c>
      <c r="X3" s="42">
        <f t="shared" si="0"/>
        <v>37657.493696974227</v>
      </c>
      <c r="Y3" s="42">
        <f t="shared" si="0"/>
        <v>36271.553364028543</v>
      </c>
    </row>
    <row r="4" spans="1:25" x14ac:dyDescent="0.25">
      <c r="A4" s="31" t="s">
        <v>27</v>
      </c>
      <c r="B4" s="69">
        <v>3.16</v>
      </c>
      <c r="Q4" s="28" t="s">
        <v>55</v>
      </c>
      <c r="R4" s="42">
        <f>SUM(R13:R52)-$G$2</f>
        <v>48331.907064234452</v>
      </c>
      <c r="S4" s="42">
        <f t="shared" ref="S4:Y4" si="1">SUM(S13:S52)-$G$2</f>
        <v>46220.084577875379</v>
      </c>
      <c r="T4" s="42">
        <f t="shared" si="1"/>
        <v>44257.975899100682</v>
      </c>
      <c r="U4" s="42">
        <f t="shared" si="1"/>
        <v>42432.25168872979</v>
      </c>
      <c r="V4" s="42">
        <f t="shared" si="1"/>
        <v>40731.059718251687</v>
      </c>
      <c r="W4" s="42">
        <f t="shared" si="1"/>
        <v>39143.811337082501</v>
      </c>
      <c r="X4" s="42">
        <f t="shared" si="1"/>
        <v>37661.009519313331</v>
      </c>
      <c r="Y4" s="42">
        <f t="shared" si="1"/>
        <v>36274.108091665119</v>
      </c>
    </row>
    <row r="5" spans="1:25" x14ac:dyDescent="0.25">
      <c r="A5" s="31" t="s">
        <v>45</v>
      </c>
      <c r="B5" s="73">
        <v>0.5</v>
      </c>
      <c r="Q5" s="28" t="s">
        <v>56</v>
      </c>
      <c r="R5" s="42">
        <f>SUM(R13:R62)-$G$2</f>
        <v>48358.406683764762</v>
      </c>
      <c r="S5" s="42">
        <f t="shared" ref="S5:Y5" si="2">SUM(S13:S62)-$G$2</f>
        <v>46237.108481941868</v>
      </c>
      <c r="T5" s="42">
        <f t="shared" si="2"/>
        <v>44268.969032208035</v>
      </c>
      <c r="U5" s="42">
        <f t="shared" si="2"/>
        <v>42439.386442718547</v>
      </c>
      <c r="V5" s="42">
        <f t="shared" si="2"/>
        <v>40735.713277452138</v>
      </c>
      <c r="W5" s="42">
        <f t="shared" si="2"/>
        <v>39146.861302042693</v>
      </c>
      <c r="X5" s="42">
        <f t="shared" si="2"/>
        <v>37663.017981015473</v>
      </c>
      <c r="Y5" s="42">
        <f t="shared" si="2"/>
        <v>36275.436856593638</v>
      </c>
    </row>
    <row r="6" spans="1:25" x14ac:dyDescent="0.25">
      <c r="A6" s="31" t="s">
        <v>46</v>
      </c>
      <c r="B6" s="69">
        <v>8</v>
      </c>
      <c r="Q6" s="28" t="s">
        <v>57</v>
      </c>
      <c r="R6" s="42">
        <f>R11-$G$2</f>
        <v>48459.186360487191</v>
      </c>
      <c r="S6" s="42">
        <f t="shared" ref="S6:Y6" si="3">S11-$G$2</f>
        <v>46265.767191480576</v>
      </c>
      <c r="T6" s="42">
        <f t="shared" si="3"/>
        <v>44263.898550245452</v>
      </c>
      <c r="U6" s="42">
        <f t="shared" si="3"/>
        <v>42418.105432238182</v>
      </c>
      <c r="V6" s="42">
        <f t="shared" si="3"/>
        <v>40706.433160260567</v>
      </c>
      <c r="W6" s="42">
        <f t="shared" si="3"/>
        <v>39113.533742300133</v>
      </c>
      <c r="X6" s="42">
        <f t="shared" si="3"/>
        <v>37627.593733827103</v>
      </c>
      <c r="Y6" s="42">
        <f t="shared" si="3"/>
        <v>36238.902554540859</v>
      </c>
    </row>
    <row r="7" spans="1:25" x14ac:dyDescent="0.25">
      <c r="A7" s="31" t="s">
        <v>48</v>
      </c>
      <c r="B7" s="76">
        <v>4845.2</v>
      </c>
      <c r="C7" s="25"/>
      <c r="O7" s="47" t="s">
        <v>114</v>
      </c>
      <c r="P7" s="41">
        <f>L11+M11+N11+O11+P11</f>
        <v>36557.189147474637</v>
      </c>
    </row>
    <row r="8" spans="1:25" x14ac:dyDescent="0.25">
      <c r="A8" s="35" t="s">
        <v>50</v>
      </c>
      <c r="B8" s="75">
        <v>3.9100000000000003E-2</v>
      </c>
      <c r="L8" s="47"/>
      <c r="M8" s="48"/>
      <c r="O8" s="47" t="s">
        <v>115</v>
      </c>
      <c r="P8" s="41">
        <f>J11+K11+G2</f>
        <v>280.41099684606394</v>
      </c>
    </row>
    <row r="9" spans="1:25" x14ac:dyDescent="0.25">
      <c r="B9" s="28" t="s">
        <v>58</v>
      </c>
      <c r="J9" s="47" t="s">
        <v>52</v>
      </c>
      <c r="L9" s="39" t="s">
        <v>53</v>
      </c>
      <c r="M9" s="40">
        <v>7.0000000000000007E-2</v>
      </c>
      <c r="O9" s="39" t="s">
        <v>113</v>
      </c>
      <c r="P9" s="77">
        <f>(L11+M11+N11+O11+P11)/(J11+K11+G2)</f>
        <v>130.37002670599</v>
      </c>
      <c r="R9" s="28" t="s">
        <v>51</v>
      </c>
    </row>
    <row r="10" spans="1:25" x14ac:dyDescent="0.25">
      <c r="A10" s="21" t="s">
        <v>3</v>
      </c>
      <c r="C10" s="21">
        <v>0.02</v>
      </c>
      <c r="D10" s="21">
        <v>8.0000000000000004E-4</v>
      </c>
      <c r="E10" s="38">
        <v>5.0000000000000001E-4</v>
      </c>
      <c r="F10" s="21">
        <v>5.0000000000000001E-4</v>
      </c>
      <c r="G10" s="38">
        <v>5.0000000000000001E-4</v>
      </c>
      <c r="J10" s="28"/>
      <c r="K10" s="28"/>
      <c r="L10" s="28"/>
      <c r="M10" s="28"/>
      <c r="N10" s="28"/>
      <c r="O10" s="28"/>
      <c r="R10" s="28">
        <v>0</v>
      </c>
      <c r="S10" s="28">
        <v>0.01</v>
      </c>
      <c r="T10" s="28">
        <v>0.02</v>
      </c>
      <c r="U10" s="28">
        <v>0.03</v>
      </c>
      <c r="V10" s="28">
        <v>0.04</v>
      </c>
      <c r="W10" s="28">
        <v>0.05</v>
      </c>
      <c r="X10" s="28">
        <v>0.06</v>
      </c>
      <c r="Y10" s="28">
        <v>7.0000000000000007E-2</v>
      </c>
    </row>
    <row r="11" spans="1:25" x14ac:dyDescent="0.25">
      <c r="B11" s="22"/>
      <c r="C11" s="22"/>
      <c r="D11" s="22"/>
      <c r="J11" s="72">
        <f>SUM(J13:J112)</f>
        <v>132.89119669467348</v>
      </c>
      <c r="K11" s="72">
        <f t="shared" ref="K11:P11" si="4">SUM(K13:K112)</f>
        <v>109.61980015139048</v>
      </c>
      <c r="L11" s="72">
        <f t="shared" si="4"/>
        <v>10.261088456059731</v>
      </c>
      <c r="M11" s="72">
        <f t="shared" si="4"/>
        <v>0.94490820492834759</v>
      </c>
      <c r="N11" s="72">
        <f t="shared" si="4"/>
        <v>60.87490599608001</v>
      </c>
      <c r="O11" s="72">
        <f>SUM(O13:O112)</f>
        <v>36484.736733876351</v>
      </c>
      <c r="P11" s="72">
        <f t="shared" si="4"/>
        <v>0.371510941215969</v>
      </c>
      <c r="R11" s="27">
        <f>SUM(R13:R112)-$G$2</f>
        <v>48497.086360487192</v>
      </c>
      <c r="S11" s="27">
        <f t="shared" ref="S11:Y11" si="5">SUM(S13:S112)-$G$2</f>
        <v>46303.667191480577</v>
      </c>
      <c r="T11" s="27">
        <f t="shared" si="5"/>
        <v>44301.798550245454</v>
      </c>
      <c r="U11" s="27">
        <f t="shared" si="5"/>
        <v>42456.005432238184</v>
      </c>
      <c r="V11" s="27">
        <f t="shared" si="5"/>
        <v>40744.333160260569</v>
      </c>
      <c r="W11" s="27">
        <f t="shared" si="5"/>
        <v>39151.433742300134</v>
      </c>
      <c r="X11" s="27">
        <f t="shared" si="5"/>
        <v>37665.493733827105</v>
      </c>
      <c r="Y11" s="27">
        <f t="shared" si="5"/>
        <v>36276.80255454086</v>
      </c>
    </row>
    <row r="12" spans="1:25" ht="60" x14ac:dyDescent="0.25">
      <c r="A12" s="21" t="s">
        <v>0</v>
      </c>
      <c r="B12" s="24" t="s">
        <v>4</v>
      </c>
      <c r="C12" s="24" t="s">
        <v>5</v>
      </c>
      <c r="D12" s="24" t="s">
        <v>6</v>
      </c>
      <c r="E12" s="24" t="s">
        <v>44</v>
      </c>
      <c r="F12" s="24" t="s">
        <v>7</v>
      </c>
      <c r="G12" s="26" t="s">
        <v>47</v>
      </c>
      <c r="H12" s="26" t="s">
        <v>49</v>
      </c>
      <c r="I12" s="26"/>
      <c r="J12" s="24" t="s">
        <v>4</v>
      </c>
      <c r="K12" s="24" t="s">
        <v>5</v>
      </c>
      <c r="L12" s="24" t="s">
        <v>6</v>
      </c>
      <c r="M12" s="24" t="s">
        <v>44</v>
      </c>
      <c r="N12" s="24" t="s">
        <v>7</v>
      </c>
      <c r="O12" s="26" t="s">
        <v>47</v>
      </c>
      <c r="P12" s="26" t="s">
        <v>49</v>
      </c>
      <c r="R12" s="27"/>
      <c r="S12" s="27"/>
      <c r="T12" s="27"/>
      <c r="U12" s="27"/>
      <c r="V12" s="27"/>
      <c r="W12" s="27"/>
      <c r="X12" s="27"/>
      <c r="Y12" s="27"/>
    </row>
    <row r="13" spans="1:25" x14ac:dyDescent="0.25">
      <c r="A13" s="21">
        <v>1</v>
      </c>
      <c r="B13" s="22">
        <f>B$2*'Cost Distribution By Year'!C20</f>
        <v>4.5813260340632596</v>
      </c>
      <c r="C13" s="25">
        <f>B3</f>
        <v>5.7965</v>
      </c>
      <c r="D13" s="23">
        <f>($B$4/CommAndSportFishingValues!$I$18)*FishHarvestTimeTrends!AC22*((1+'OriginalBCACalculations$2012'!D$10)^MIN('OriginalBCACalculations$2012'!$A13,20))</f>
        <v>-0.62933605921813196</v>
      </c>
      <c r="E13" s="23">
        <f>($B$5/CommAndSportFishingValues!$I$19)*FishHarvestTimeTrends!AD22*((1+'OriginalBCACalculations$2012'!E$10)^MIN('OriginalBCACalculations$2012'!$A13,20))</f>
        <v>-0.13845701501135921</v>
      </c>
      <c r="G13" s="27">
        <f>B7</f>
        <v>4845.2</v>
      </c>
      <c r="J13" s="41">
        <f>B13/((1+$M$9)^($A13-1))</f>
        <v>4.5813260340632596</v>
      </c>
      <c r="K13" s="41">
        <f t="shared" ref="K13:N76" si="6">C13/((1+$M$9)^($A13-1))</f>
        <v>5.7965</v>
      </c>
      <c r="L13" s="41">
        <f t="shared" si="6"/>
        <v>-0.62933605921813196</v>
      </c>
      <c r="M13" s="41">
        <f t="shared" si="6"/>
        <v>-0.13845701501135921</v>
      </c>
      <c r="N13" s="41"/>
      <c r="O13" s="41">
        <f>B7</f>
        <v>4845.2</v>
      </c>
      <c r="P13" s="41"/>
      <c r="R13" s="27">
        <f>(SUM($D13:$H13)-SUM($B13:$C13))/((1+R$10)^($A13-1))</f>
        <v>4834.0543808917073</v>
      </c>
      <c r="S13" s="27">
        <f t="shared" ref="S13:Y28" si="7">(SUM($D13:$H13)-SUM($B13:$C13))/((1+S$10)^($A13-1))</f>
        <v>4834.0543808917073</v>
      </c>
      <c r="T13" s="27">
        <f t="shared" si="7"/>
        <v>4834.0543808917073</v>
      </c>
      <c r="U13" s="27">
        <f t="shared" si="7"/>
        <v>4834.0543808917073</v>
      </c>
      <c r="V13" s="27">
        <f t="shared" si="7"/>
        <v>4834.0543808917073</v>
      </c>
      <c r="W13" s="27">
        <f t="shared" si="7"/>
        <v>4834.0543808917073</v>
      </c>
      <c r="X13" s="27">
        <f t="shared" si="7"/>
        <v>4834.0543808917073</v>
      </c>
      <c r="Y13" s="27">
        <f t="shared" si="7"/>
        <v>4834.0543808917073</v>
      </c>
    </row>
    <row r="14" spans="1:25" x14ac:dyDescent="0.25">
      <c r="A14" s="21">
        <v>2</v>
      </c>
      <c r="B14" s="22">
        <f>B$2*'Cost Distribution By Year'!C21</f>
        <v>5.0841545012165437</v>
      </c>
      <c r="C14" s="25">
        <f>C13*(1+C$10)</f>
        <v>5.9124300000000005</v>
      </c>
      <c r="D14" s="23">
        <f>($B$4/CommAndSportFishingValues!$I$18)*FishHarvestTimeTrends!AC23*((1+'OriginalBCACalculations$2012'!D$10)^MIN('OriginalBCACalculations$2012'!$A14,20))</f>
        <v>-0.62983952806550647</v>
      </c>
      <c r="E14" s="23">
        <f>($B$5/CommAndSportFishingValues!$I$19)*FishHarvestTimeTrends!AD23*((1+'OriginalBCACalculations$2012'!E$10)^MIN('OriginalBCACalculations$2012'!$A14,20))</f>
        <v>-0.13852624351886486</v>
      </c>
      <c r="G14" s="27">
        <f t="shared" ref="G14:G22" si="8">G13*(1+G$10)</f>
        <v>4847.6225999999997</v>
      </c>
      <c r="J14" s="41">
        <f t="shared" ref="J14:J31" si="9">B14/((1+$M$9)^($A14-1))</f>
        <v>4.7515462628191996</v>
      </c>
      <c r="K14" s="41">
        <f t="shared" si="6"/>
        <v>5.5256355140186919</v>
      </c>
      <c r="L14" s="41">
        <f t="shared" si="6"/>
        <v>-0.58863507295841722</v>
      </c>
      <c r="M14" s="41">
        <f t="shared" si="6"/>
        <v>-0.12946377898959333</v>
      </c>
      <c r="N14" s="41"/>
      <c r="O14" s="41">
        <f t="shared" ref="O14:O19" si="10">G14/((1+$M$9)^($A14-1))</f>
        <v>4530.488411214953</v>
      </c>
      <c r="P14" s="41"/>
      <c r="R14" s="27">
        <f t="shared" ref="R14:Y29" si="11">(SUM($D14:$H14)-SUM($B14:$C14))/((1+R$10)^($A14-1))</f>
        <v>4835.8576497271988</v>
      </c>
      <c r="S14" s="27">
        <f t="shared" si="7"/>
        <v>4787.9778710170285</v>
      </c>
      <c r="T14" s="27">
        <f t="shared" si="7"/>
        <v>4741.0369114972536</v>
      </c>
      <c r="U14" s="27">
        <f t="shared" si="7"/>
        <v>4695.0074269196102</v>
      </c>
      <c r="V14" s="27">
        <f t="shared" si="7"/>
        <v>4649.8631247376907</v>
      </c>
      <c r="W14" s="27">
        <f t="shared" si="7"/>
        <v>4605.5787140259035</v>
      </c>
      <c r="X14" s="27">
        <f t="shared" si="7"/>
        <v>4562.1298582332065</v>
      </c>
      <c r="Y14" s="27">
        <f t="shared" si="7"/>
        <v>4519.4931305861664</v>
      </c>
    </row>
    <row r="15" spans="1:25" x14ac:dyDescent="0.25">
      <c r="A15" s="21">
        <v>3</v>
      </c>
      <c r="B15" s="22">
        <f>B$2*'Cost Distribution By Year'!C22</f>
        <v>9.4280337591240837</v>
      </c>
      <c r="C15" s="25">
        <f t="shared" ref="C15:C32" si="12">C14*(1+C$10)</f>
        <v>6.0306786000000008</v>
      </c>
      <c r="D15" s="23">
        <f>($B$4/CommAndSportFishingValues!$I$18)*FishHarvestTimeTrends!AC24*((1+'OriginalBCACalculations$2012'!D$10)^MIN('OriginalBCACalculations$2012'!$A15,20))</f>
        <v>-0.57071830533216983</v>
      </c>
      <c r="E15" s="23">
        <f>($B$5/CommAndSportFishingValues!$I$19)*FishHarvestTimeTrends!AD24*((1+'OriginalBCACalculations$2012'!E$10)^MIN('OriginalBCACalculations$2012'!$A15,20))</f>
        <v>-0.13859550664062431</v>
      </c>
      <c r="G15" s="27">
        <f t="shared" si="8"/>
        <v>4850.0464112999998</v>
      </c>
      <c r="J15" s="41">
        <f t="shared" si="9"/>
        <v>8.234809816686246</v>
      </c>
      <c r="K15" s="41">
        <f t="shared" si="6"/>
        <v>5.267428247008473</v>
      </c>
      <c r="L15" s="41">
        <f t="shared" si="6"/>
        <v>-0.49848747081157291</v>
      </c>
      <c r="M15" s="41">
        <f t="shared" si="6"/>
        <v>-0.12105468306456835</v>
      </c>
      <c r="N15" s="41"/>
      <c r="O15" s="41">
        <f t="shared" si="10"/>
        <v>4236.2183695519261</v>
      </c>
      <c r="P15" s="41"/>
      <c r="R15" s="27">
        <f t="shared" si="11"/>
        <v>4833.8783851289036</v>
      </c>
      <c r="S15" s="27">
        <f t="shared" si="7"/>
        <v>4738.631884255371</v>
      </c>
      <c r="T15" s="27">
        <f t="shared" si="7"/>
        <v>4646.1729960869889</v>
      </c>
      <c r="U15" s="27">
        <f t="shared" si="7"/>
        <v>4556.393991072583</v>
      </c>
      <c r="V15" s="27">
        <f t="shared" si="7"/>
        <v>4469.1922939431424</v>
      </c>
      <c r="W15" s="27">
        <f t="shared" si="7"/>
        <v>4384.4701905931097</v>
      </c>
      <c r="X15" s="27">
        <f t="shared" si="7"/>
        <v>4302.1345542265071</v>
      </c>
      <c r="Y15" s="27">
        <f t="shared" si="7"/>
        <v>4222.0965893343555</v>
      </c>
    </row>
    <row r="16" spans="1:25" x14ac:dyDescent="0.25">
      <c r="A16" s="21">
        <v>4</v>
      </c>
      <c r="B16" s="22">
        <f>B$2*'Cost Distribution By Year'!C23</f>
        <v>15.475942822384424</v>
      </c>
      <c r="C16" s="25">
        <f t="shared" si="12"/>
        <v>6.1512921720000007</v>
      </c>
      <c r="D16" s="23">
        <f>($B$4/CommAndSportFishingValues!$I$18)*FishHarvestTimeTrends!AC25*((1+'OriginalBCACalculations$2012'!D$10)^MIN('OriginalBCACalculations$2012'!$A16,20))</f>
        <v>-0.56376433765347322</v>
      </c>
      <c r="E16" s="23">
        <f>($B$5/CommAndSportFishingValues!$I$19)*FishHarvestTimeTrends!AD25*((1+'OriginalBCACalculations$2012'!E$10)^MIN('OriginalBCACalculations$2012'!$A16,20))</f>
        <v>-0.13866480439394463</v>
      </c>
      <c r="G16" s="27">
        <f t="shared" si="8"/>
        <v>4852.47143450565</v>
      </c>
      <c r="J16" s="41">
        <f t="shared" si="9"/>
        <v>12.632979268796623</v>
      </c>
      <c r="K16" s="41">
        <f t="shared" si="6"/>
        <v>5.0212867401389181</v>
      </c>
      <c r="L16" s="41">
        <f t="shared" si="6"/>
        <v>-0.46019963189330754</v>
      </c>
      <c r="M16" s="41">
        <f t="shared" si="6"/>
        <v>-0.11319178542626228</v>
      </c>
      <c r="N16" s="41"/>
      <c r="O16" s="41">
        <f t="shared" si="10"/>
        <v>3961.0621296604686</v>
      </c>
      <c r="P16" s="41"/>
      <c r="R16" s="27">
        <f t="shared" si="11"/>
        <v>4830.1417703692177</v>
      </c>
      <c r="S16" s="27">
        <f t="shared" si="7"/>
        <v>4688.0880154141541</v>
      </c>
      <c r="T16" s="27">
        <f t="shared" si="7"/>
        <v>4551.550469247516</v>
      </c>
      <c r="U16" s="27">
        <f t="shared" si="7"/>
        <v>4420.2639546466935</v>
      </c>
      <c r="V16" s="27">
        <f t="shared" si="7"/>
        <v>4293.9784457225205</v>
      </c>
      <c r="W16" s="27">
        <f t="shared" si="7"/>
        <v>4172.4580674823173</v>
      </c>
      <c r="X16" s="27">
        <f t="shared" si="7"/>
        <v>4055.4801701817746</v>
      </c>
      <c r="Y16" s="27">
        <f t="shared" si="7"/>
        <v>3942.8344722342131</v>
      </c>
    </row>
    <row r="17" spans="1:25" x14ac:dyDescent="0.25">
      <c r="A17" s="21">
        <v>5</v>
      </c>
      <c r="B17" s="22">
        <f>B$2*'Cost Distribution By Year'!C24</f>
        <v>47.461420316301684</v>
      </c>
      <c r="C17" s="25">
        <f t="shared" si="12"/>
        <v>6.2743180154400005</v>
      </c>
      <c r="D17" s="23">
        <f>($B$4/CommAndSportFishingValues!$I$18)*FishHarvestTimeTrends!AC26*((1+'OriginalBCACalculations$2012'!D$10)^MIN('OriginalBCACalculations$2012'!$A17,20))</f>
        <v>-0.55176040913478319</v>
      </c>
      <c r="E17" s="23">
        <f>($B$5/CommAndSportFishingValues!$I$19)*FishHarvestTimeTrends!AD26*((1+'OriginalBCACalculations$2012'!E$10)^MIN('OriginalBCACalculations$2012'!$A17,20))</f>
        <v>-0.13806537109650474</v>
      </c>
      <c r="G17" s="27">
        <f t="shared" si="8"/>
        <v>4854.8976702229029</v>
      </c>
      <c r="J17" s="41">
        <f t="shared" si="9"/>
        <v>36.208090316281698</v>
      </c>
      <c r="K17" s="41">
        <f t="shared" si="6"/>
        <v>4.7866471728427067</v>
      </c>
      <c r="L17" s="41">
        <f t="shared" si="6"/>
        <v>-0.42093537432630967</v>
      </c>
      <c r="M17" s="41">
        <f t="shared" si="6"/>
        <v>-0.10532941055908825</v>
      </c>
      <c r="N17" s="41"/>
      <c r="O17" s="41">
        <f t="shared" si="10"/>
        <v>3703.7781875937376</v>
      </c>
      <c r="P17" s="41"/>
      <c r="R17" s="27">
        <f t="shared" si="11"/>
        <v>4800.4721061109303</v>
      </c>
      <c r="S17" s="27">
        <f t="shared" si="7"/>
        <v>4613.1593382106321</v>
      </c>
      <c r="T17" s="27">
        <f t="shared" si="7"/>
        <v>4434.8941979984502</v>
      </c>
      <c r="U17" s="27">
        <f t="shared" si="7"/>
        <v>4265.1572901601103</v>
      </c>
      <c r="V17" s="27">
        <f t="shared" si="7"/>
        <v>4103.4636752249171</v>
      </c>
      <c r="W17" s="27">
        <f t="shared" si="7"/>
        <v>3949.3602818668601</v>
      </c>
      <c r="X17" s="27">
        <f t="shared" si="7"/>
        <v>3802.4235358013416</v>
      </c>
      <c r="Y17" s="27">
        <f t="shared" si="7"/>
        <v>3662.2571853197283</v>
      </c>
    </row>
    <row r="18" spans="1:25" x14ac:dyDescent="0.25">
      <c r="A18" s="21">
        <v>6</v>
      </c>
      <c r="B18" s="22">
        <f>B$2*'Cost Distribution By Year'!C25</f>
        <v>31.789933090024316</v>
      </c>
      <c r="C18" s="25">
        <f t="shared" si="12"/>
        <v>6.3998043757488006</v>
      </c>
      <c r="D18" s="23">
        <f>($B$4/CommAndSportFishingValues!$I$18)*FishHarvestTimeTrends!AC27*((1+'OriginalBCACalculations$2012'!D$10)^MIN('OriginalBCACalculations$2012'!$A18,20))</f>
        <v>-0.51188909536971294</v>
      </c>
      <c r="E18" s="23">
        <f>($B$5/CommAndSportFishingValues!$I$19)*FishHarvestTimeTrends!AD27*((1+'OriginalBCACalculations$2012'!E$10)^MIN('OriginalBCACalculations$2012'!$A18,20))</f>
        <v>-0.12916474082473378</v>
      </c>
      <c r="G18" s="27">
        <f t="shared" si="8"/>
        <v>4857.325119058014</v>
      </c>
      <c r="J18" s="41">
        <f t="shared" si="9"/>
        <v>22.665782939897884</v>
      </c>
      <c r="K18" s="41">
        <f t="shared" si="6"/>
        <v>4.5629720713080006</v>
      </c>
      <c r="L18" s="41">
        <f t="shared" si="6"/>
        <v>-0.36496985042700281</v>
      </c>
      <c r="M18" s="41">
        <f t="shared" si="6"/>
        <v>-9.2092675084625139E-2</v>
      </c>
      <c r="N18" s="41"/>
      <c r="O18" s="41">
        <f t="shared" si="10"/>
        <v>3463.2056791472278</v>
      </c>
      <c r="P18" s="41"/>
      <c r="R18" s="27">
        <f t="shared" si="11"/>
        <v>4818.4943277560469</v>
      </c>
      <c r="S18" s="27">
        <f t="shared" si="7"/>
        <v>4584.6320187876263</v>
      </c>
      <c r="T18" s="27">
        <f t="shared" si="7"/>
        <v>4364.2587696393402</v>
      </c>
      <c r="U18" s="27">
        <f t="shared" si="7"/>
        <v>4156.4755346276334</v>
      </c>
      <c r="V18" s="27">
        <f t="shared" si="7"/>
        <v>3960.4511017488744</v>
      </c>
      <c r="W18" s="27">
        <f t="shared" si="7"/>
        <v>3775.4163887767095</v>
      </c>
      <c r="X18" s="27">
        <f t="shared" si="7"/>
        <v>3600.6592673244427</v>
      </c>
      <c r="Y18" s="27">
        <f t="shared" si="7"/>
        <v>3435.5198616105108</v>
      </c>
    </row>
    <row r="19" spans="1:25" x14ac:dyDescent="0.25">
      <c r="A19" s="21">
        <v>7</v>
      </c>
      <c r="B19" s="22">
        <f>B$2*'Cost Distribution By Year'!C26</f>
        <v>30.574764294403881</v>
      </c>
      <c r="C19" s="25">
        <f t="shared" si="12"/>
        <v>6.5278004632637767</v>
      </c>
      <c r="D19" s="23">
        <f>($B$4/CommAndSportFishingValues!$I$18)*FishHarvestTimeTrends!AC28*((1+'OriginalBCACalculations$2012'!D$10)^MIN('OriginalBCACalculations$2012'!$A19,20))</f>
        <v>-0.43099456588841162</v>
      </c>
      <c r="E19" s="23">
        <f>($B$5/CommAndSportFishingValues!$I$19)*FishHarvestTimeTrends!AD28*((1+'OriginalBCACalculations$2012'!E$10)^MIN('OriginalBCACalculations$2012'!$A19,20))</f>
        <v>-0.11665961191579305</v>
      </c>
      <c r="F19" s="23">
        <f>B6/10</f>
        <v>0.8</v>
      </c>
      <c r="G19" s="27">
        <f t="shared" si="8"/>
        <v>4859.7537816175427</v>
      </c>
      <c r="J19" s="41">
        <f t="shared" si="9"/>
        <v>20.373256432598787</v>
      </c>
      <c r="K19" s="41">
        <f t="shared" si="6"/>
        <v>4.3497490773216461</v>
      </c>
      <c r="L19" s="41">
        <f t="shared" si="6"/>
        <v>-0.28718987748691666</v>
      </c>
      <c r="M19" s="41">
        <f t="shared" si="6"/>
        <v>-7.7735225233540858E-2</v>
      </c>
      <c r="N19" s="41"/>
      <c r="O19" s="41">
        <f t="shared" si="10"/>
        <v>3238.2591420437398</v>
      </c>
      <c r="P19" s="41"/>
      <c r="R19" s="27">
        <f t="shared" si="11"/>
        <v>4822.9035626820705</v>
      </c>
      <c r="S19" s="27">
        <f t="shared" si="7"/>
        <v>4543.3933213151822</v>
      </c>
      <c r="T19" s="27">
        <f t="shared" si="7"/>
        <v>4282.6003427055075</v>
      </c>
      <c r="U19" s="27">
        <f t="shared" si="7"/>
        <v>4039.1058052497424</v>
      </c>
      <c r="V19" s="27">
        <f t="shared" si="7"/>
        <v>3811.6107417833105</v>
      </c>
      <c r="W19" s="27">
        <f t="shared" si="7"/>
        <v>3598.9248949670059</v>
      </c>
      <c r="X19" s="27">
        <f t="shared" si="7"/>
        <v>3399.9567020367926</v>
      </c>
      <c r="Y19" s="27">
        <f t="shared" si="7"/>
        <v>3213.7042852101517</v>
      </c>
    </row>
    <row r="20" spans="1:25" x14ac:dyDescent="0.25">
      <c r="A20" s="21">
        <v>8</v>
      </c>
      <c r="B20" s="22">
        <f>B$2*'Cost Distribution By Year'!C27</f>
        <v>30.602699209245731</v>
      </c>
      <c r="C20" s="25">
        <f t="shared" si="12"/>
        <v>6.6583564725290527</v>
      </c>
      <c r="D20" s="23">
        <f>($B$4/CommAndSportFishingValues!$I$18)*FishHarvestTimeTrends!AC29*((1+'OriginalBCACalculations$2012'!D$10)^MIN('OriginalBCACalculations$2012'!$A20,20))</f>
        <v>-0.44399817631708827</v>
      </c>
      <c r="E20" s="23">
        <f>($B$5/CommAndSportFishingValues!$I$19)*FishHarvestTimeTrends!AD29*((1+'OriginalBCACalculations$2012'!E$10)^MIN('OriginalBCACalculations$2012'!$A20,20))</f>
        <v>-0.11853580918350226</v>
      </c>
      <c r="F20" s="23">
        <f>2*(B6/10)</f>
        <v>1.6</v>
      </c>
      <c r="G20" s="27">
        <f t="shared" si="8"/>
        <v>4862.1836585083511</v>
      </c>
      <c r="H20" s="22">
        <f>B$8</f>
        <v>3.9100000000000003E-2</v>
      </c>
      <c r="I20" s="22"/>
      <c r="J20" s="41">
        <f t="shared" si="9"/>
        <v>19.057823033529559</v>
      </c>
      <c r="K20" s="41">
        <f t="shared" si="6"/>
        <v>4.1464897746430642</v>
      </c>
      <c r="L20" s="41">
        <f t="shared" si="6"/>
        <v>-0.2764997496986959</v>
      </c>
      <c r="M20" s="41">
        <f t="shared" si="6"/>
        <v>-7.3818144573107175E-2</v>
      </c>
      <c r="N20" s="41">
        <f t="shared" si="6"/>
        <v>0.99639958701534581</v>
      </c>
      <c r="O20" s="41">
        <f>(G20/((1+$M$9)^($A20-1)))</f>
        <v>3027.9236183315525</v>
      </c>
      <c r="P20" s="41">
        <f t="shared" ref="P20:P83" si="13">H20/((1+$M$9)^($A20-1))</f>
        <v>2.4349514907687515E-2</v>
      </c>
      <c r="R20" s="27">
        <f t="shared" si="11"/>
        <v>4825.9991688410764</v>
      </c>
      <c r="S20" s="27">
        <f t="shared" si="7"/>
        <v>4501.2965567797019</v>
      </c>
      <c r="T20" s="27">
        <f t="shared" si="7"/>
        <v>4201.3226984168878</v>
      </c>
      <c r="U20" s="27">
        <f t="shared" si="7"/>
        <v>3923.9789579347598</v>
      </c>
      <c r="V20" s="27">
        <f t="shared" si="7"/>
        <v>3667.3627349006856</v>
      </c>
      <c r="W20" s="27">
        <f t="shared" si="7"/>
        <v>3429.7475085188366</v>
      </c>
      <c r="X20" s="27">
        <f t="shared" si="7"/>
        <v>3209.5650775732388</v>
      </c>
      <c r="Y20" s="27">
        <f t="shared" si="7"/>
        <v>3005.3897367310315</v>
      </c>
    </row>
    <row r="21" spans="1:25" x14ac:dyDescent="0.25">
      <c r="A21" s="21">
        <v>9</v>
      </c>
      <c r="B21" s="22">
        <f>B$2*'Cost Distribution By Year'!C28</f>
        <v>2.3465328467153275</v>
      </c>
      <c r="C21" s="25">
        <f t="shared" si="12"/>
        <v>6.7915236019796339</v>
      </c>
      <c r="D21" s="23">
        <f>($B$4/CommAndSportFishingValues!$I$18)*FishHarvestTimeTrends!AC30*((1+'OriginalBCACalculations$2012'!D$10)^MIN('OriginalBCACalculations$2012'!$A21,20))</f>
        <v>-0.34108747979230947</v>
      </c>
      <c r="E21" s="23">
        <f>($B$5/CommAndSportFishingValues!$I$19)*FishHarvestTimeTrends!AD30*((1+'OriginalBCACalculations$2012'!E$10)^MIN('OriginalBCACalculations$2012'!$A21,20))</f>
        <v>-0.10012611694182239</v>
      </c>
      <c r="F21" s="23">
        <f>3*(B6/10)</f>
        <v>2.4000000000000004</v>
      </c>
      <c r="G21" s="27">
        <f t="shared" si="8"/>
        <v>4864.6147503376051</v>
      </c>
      <c r="H21" s="22">
        <f t="shared" ref="H21:H84" si="14">B$8</f>
        <v>3.9100000000000003E-2</v>
      </c>
      <c r="I21" s="22"/>
      <c r="J21" s="41">
        <f t="shared" si="9"/>
        <v>1.3657034809492383</v>
      </c>
      <c r="K21" s="41">
        <f t="shared" si="6"/>
        <v>3.9527285702204913</v>
      </c>
      <c r="L21" s="41">
        <f t="shared" si="6"/>
        <v>-0.19851601869226768</v>
      </c>
      <c r="M21" s="41">
        <f t="shared" si="6"/>
        <v>-5.8274311664884372E-2</v>
      </c>
      <c r="N21" s="41">
        <f t="shared" si="6"/>
        <v>1.3968218509560923</v>
      </c>
      <c r="O21" s="41">
        <f>G21/((1+$M$9)^($A21-1))</f>
        <v>2831.2500748978678</v>
      </c>
      <c r="P21" s="41">
        <f t="shared" si="13"/>
        <v>2.2756555988493004E-2</v>
      </c>
      <c r="R21" s="27">
        <f t="shared" si="11"/>
        <v>4857.4745802921752</v>
      </c>
      <c r="S21" s="27">
        <f t="shared" si="7"/>
        <v>4485.7962785341342</v>
      </c>
      <c r="T21" s="27">
        <f t="shared" si="7"/>
        <v>4145.8077825801001</v>
      </c>
      <c r="U21" s="27">
        <f t="shared" si="7"/>
        <v>3834.5352891278526</v>
      </c>
      <c r="V21" s="27">
        <f t="shared" si="7"/>
        <v>3549.3090968656147</v>
      </c>
      <c r="W21" s="27">
        <f t="shared" si="7"/>
        <v>3287.7299959955208</v>
      </c>
      <c r="X21" s="27">
        <f t="shared" si="7"/>
        <v>3047.6396451537571</v>
      </c>
      <c r="Y21" s="27">
        <f t="shared" si="7"/>
        <v>2827.094430923285</v>
      </c>
    </row>
    <row r="22" spans="1:25" x14ac:dyDescent="0.25">
      <c r="A22" s="21">
        <v>10</v>
      </c>
      <c r="B22" s="22">
        <f>B$2*'Cost Distribution By Year'!C29</f>
        <v>2.3465328467153275</v>
      </c>
      <c r="C22" s="25">
        <f t="shared" si="12"/>
        <v>6.9273540740192265</v>
      </c>
      <c r="D22" s="23">
        <f>($B$4/CommAndSportFishingValues!$I$18)*FishHarvestTimeTrends!AC31*((1+'OriginalBCACalculations$2012'!D$10)^MIN('OriginalBCACalculations$2012'!$A22,20))</f>
        <v>-0.27165023488605505</v>
      </c>
      <c r="E22" s="23">
        <f>($B$5/CommAndSportFishingValues!$I$19)*FishHarvestTimeTrends!AD31*((1+'OriginalBCACalculations$2012'!E$10)^MIN('OriginalBCACalculations$2012'!$A22,20))</f>
        <v>-9.2496156022187789E-2</v>
      </c>
      <c r="F22" s="23">
        <f>4*(B6/10)</f>
        <v>3.2</v>
      </c>
      <c r="G22" s="27">
        <f t="shared" si="8"/>
        <v>4867.0470577127735</v>
      </c>
      <c r="H22" s="22">
        <f t="shared" si="14"/>
        <v>3.9100000000000003E-2</v>
      </c>
      <c r="I22" s="22"/>
      <c r="J22" s="41">
        <f t="shared" si="9"/>
        <v>1.2763583934105029</v>
      </c>
      <c r="K22" s="41">
        <f t="shared" si="6"/>
        <v>3.768021627686823</v>
      </c>
      <c r="L22" s="41">
        <f t="shared" si="6"/>
        <v>-0.14775972893543482</v>
      </c>
      <c r="M22" s="41">
        <f t="shared" si="6"/>
        <v>-5.0311780319795885E-2</v>
      </c>
      <c r="N22" s="41">
        <f t="shared" si="6"/>
        <v>1.7405879762692738</v>
      </c>
      <c r="O22" s="41">
        <f>G22/((1+$M$9)^($A22-1))</f>
        <v>2647.3511214348746</v>
      </c>
      <c r="P22" s="41">
        <f t="shared" si="13"/>
        <v>2.1267809335040189E-2</v>
      </c>
      <c r="R22" s="27">
        <f t="shared" si="11"/>
        <v>4860.6481244011311</v>
      </c>
      <c r="S22" s="27">
        <f t="shared" si="7"/>
        <v>4444.2841517569923</v>
      </c>
      <c r="T22" s="27">
        <f t="shared" si="7"/>
        <v>4067.172913646707</v>
      </c>
      <c r="U22" s="27">
        <f t="shared" si="7"/>
        <v>3725.2820525756938</v>
      </c>
      <c r="V22" s="27">
        <f t="shared" si="7"/>
        <v>3415.0268985203561</v>
      </c>
      <c r="W22" s="27">
        <f t="shared" si="7"/>
        <v>3133.217119586282</v>
      </c>
      <c r="X22" s="27">
        <f t="shared" si="7"/>
        <v>2877.0101565931272</v>
      </c>
      <c r="Y22" s="27">
        <f t="shared" si="7"/>
        <v>2643.8705256901267</v>
      </c>
    </row>
    <row r="23" spans="1:25" x14ac:dyDescent="0.25">
      <c r="A23" s="21">
        <v>11</v>
      </c>
      <c r="B23" s="22">
        <f>B$2*'Cost Distribution By Year'!C30</f>
        <v>0.92185218978102168</v>
      </c>
      <c r="C23" s="25">
        <f t="shared" si="12"/>
        <v>7.0659011554996116</v>
      </c>
      <c r="D23" s="23">
        <f>($B$4/CommAndSportFishingValues!$I$18)*FishHarvestTimeTrends!AC32*((1+'OriginalBCACalculations$2012'!D$10)^MIN('OriginalBCACalculations$2012'!$A23,20))</f>
        <v>1.2048230694968432E-2</v>
      </c>
      <c r="E23" s="23">
        <f>($B$5/CommAndSportFishingValues!$I$19)*FishHarvestTimeTrends!AD32*((1+'OriginalBCACalculations$2012'!E$10)^MIN('OriginalBCACalculations$2012'!$A23,20))</f>
        <v>-4.6284121385927211E-2</v>
      </c>
      <c r="F23" s="23">
        <f>5*(B6/10)</f>
        <v>4</v>
      </c>
      <c r="H23" s="22">
        <f t="shared" si="14"/>
        <v>3.9100000000000003E-2</v>
      </c>
      <c r="I23" s="22"/>
      <c r="J23" s="41">
        <f t="shared" si="9"/>
        <v>0.46862290812802188</v>
      </c>
      <c r="K23" s="41">
        <f t="shared" si="6"/>
        <v>3.5919458506921123</v>
      </c>
      <c r="L23" s="41">
        <f t="shared" si="6"/>
        <v>6.1247095452629814E-3</v>
      </c>
      <c r="M23" s="41">
        <f t="shared" si="6"/>
        <v>-2.3528500343613451E-2</v>
      </c>
      <c r="N23" s="41">
        <f t="shared" si="6"/>
        <v>2.0333971685388712</v>
      </c>
      <c r="O23" s="67"/>
      <c r="P23" s="41">
        <f t="shared" si="13"/>
        <v>1.9876457322467466E-2</v>
      </c>
      <c r="R23" s="27">
        <f t="shared" si="11"/>
        <v>-3.9828892359715917</v>
      </c>
      <c r="S23" s="27">
        <f t="shared" si="7"/>
        <v>-3.6056576673121845</v>
      </c>
      <c r="T23" s="27">
        <f t="shared" si="7"/>
        <v>-3.2673564133203516</v>
      </c>
      <c r="U23" s="27">
        <f t="shared" si="7"/>
        <v>-2.9636436441941285</v>
      </c>
      <c r="V23" s="27">
        <f t="shared" si="7"/>
        <v>-2.6906972562243681</v>
      </c>
      <c r="W23" s="27">
        <f t="shared" si="7"/>
        <v>-2.4451484893477891</v>
      </c>
      <c r="X23" s="27">
        <f t="shared" si="7"/>
        <v>-2.2240245463979811</v>
      </c>
      <c r="Y23" s="27">
        <f t="shared" si="7"/>
        <v>-2.0246989237571458</v>
      </c>
    </row>
    <row r="24" spans="1:25" x14ac:dyDescent="0.25">
      <c r="A24" s="21">
        <v>12</v>
      </c>
      <c r="B24" s="22">
        <f>B$2*'Cost Distribution By Year'!C31</f>
        <v>0.90788473236009692</v>
      </c>
      <c r="C24" s="25">
        <f t="shared" si="12"/>
        <v>7.2072191786096038</v>
      </c>
      <c r="D24" s="23">
        <f>($B$4/CommAndSportFishingValues!$I$18)*FishHarvestTimeTrends!AC33*((1+'OriginalBCACalculations$2012'!D$10)^MIN('OriginalBCACalculations$2012'!$A24,20))</f>
        <v>0.29620078767707175</v>
      </c>
      <c r="E24" s="23">
        <f>($B$5/CommAndSportFishingValues!$I$19)*FishHarvestTimeTrends!AD33*((1+'OriginalBCACalculations$2012'!E$10)^MIN('OriginalBCACalculations$2012'!$A24,20))</f>
        <v>-2.58515909913833E-5</v>
      </c>
      <c r="F24" s="23">
        <f>6*(B6/10)</f>
        <v>4.8000000000000007</v>
      </c>
      <c r="H24" s="22">
        <f t="shared" si="14"/>
        <v>3.9100000000000003E-2</v>
      </c>
      <c r="I24" s="22"/>
      <c r="J24" s="41">
        <f t="shared" si="9"/>
        <v>0.43132949629455414</v>
      </c>
      <c r="K24" s="41">
        <f t="shared" si="6"/>
        <v>3.4240979137438821</v>
      </c>
      <c r="L24" s="41">
        <f t="shared" si="6"/>
        <v>0.14072286050970584</v>
      </c>
      <c r="M24" s="41">
        <f t="shared" si="6"/>
        <v>-1.2281904655164436E-5</v>
      </c>
      <c r="N24" s="41">
        <f t="shared" si="6"/>
        <v>2.2804454226604163</v>
      </c>
      <c r="O24" s="67"/>
      <c r="P24" s="41">
        <f t="shared" si="13"/>
        <v>1.857612833875464E-2</v>
      </c>
      <c r="R24" s="27">
        <f t="shared" si="11"/>
        <v>-2.9798289748836195</v>
      </c>
      <c r="S24" s="27">
        <f t="shared" si="7"/>
        <v>-2.6708913843349564</v>
      </c>
      <c r="T24" s="27">
        <f t="shared" si="7"/>
        <v>-2.3965663073181416</v>
      </c>
      <c r="U24" s="27">
        <f t="shared" si="7"/>
        <v>-2.1526918520814058</v>
      </c>
      <c r="V24" s="27">
        <f t="shared" si="7"/>
        <v>-1.9356400814041193</v>
      </c>
      <c r="W24" s="27">
        <f t="shared" si="7"/>
        <v>-1.7422442866341221</v>
      </c>
      <c r="X24" s="27">
        <f t="shared" si="7"/>
        <v>-1.5697367317691913</v>
      </c>
      <c r="Y24" s="27">
        <f t="shared" si="7"/>
        <v>-1.4156952804342144</v>
      </c>
    </row>
    <row r="25" spans="1:25" x14ac:dyDescent="0.25">
      <c r="A25" s="21">
        <v>13</v>
      </c>
      <c r="B25" s="22">
        <f>B$2*'Cost Distribution By Year'!C32</f>
        <v>0.50282846715328455</v>
      </c>
      <c r="C25" s="25">
        <f t="shared" si="12"/>
        <v>7.3513635621817963</v>
      </c>
      <c r="D25" s="23">
        <f>($B$4/CommAndSportFishingValues!$I$18)*FishHarvestTimeTrends!AC34*((1+'OriginalBCACalculations$2012'!D$10)^MIN('OriginalBCACalculations$2012'!$A25,20))</f>
        <v>0.58080798103947862</v>
      </c>
      <c r="E25" s="23">
        <f>($B$5/CommAndSportFishingValues!$I$19)*FishHarvestTimeTrends!AD34*((1+'OriginalBCACalculations$2012'!E$10)^MIN('OriginalBCACalculations$2012'!$A25,20))</f>
        <v>4.6278688044769707E-2</v>
      </c>
      <c r="F25" s="23">
        <f>7*(B6/10)</f>
        <v>5.6000000000000005</v>
      </c>
      <c r="H25" s="22">
        <f t="shared" si="14"/>
        <v>3.9100000000000003E-2</v>
      </c>
      <c r="I25" s="22"/>
      <c r="J25" s="41">
        <f t="shared" si="9"/>
        <v>0.22326185286274558</v>
      </c>
      <c r="K25" s="41">
        <f t="shared" si="6"/>
        <v>3.2640933383352904</v>
      </c>
      <c r="L25" s="41">
        <f t="shared" si="6"/>
        <v>0.25788568960399472</v>
      </c>
      <c r="M25" s="41">
        <f t="shared" si="6"/>
        <v>2.0548290949848991E-2</v>
      </c>
      <c r="N25" s="41">
        <f t="shared" si="6"/>
        <v>2.486466971748118</v>
      </c>
      <c r="O25" s="67"/>
      <c r="P25" s="41">
        <f t="shared" si="13"/>
        <v>1.7360867606312752E-2</v>
      </c>
      <c r="R25" s="27">
        <f t="shared" si="11"/>
        <v>-1.5880053602508317</v>
      </c>
      <c r="S25" s="27">
        <f t="shared" si="7"/>
        <v>-1.4092741266715119</v>
      </c>
      <c r="T25" s="27">
        <f t="shared" si="7"/>
        <v>-1.2521313893448707</v>
      </c>
      <c r="U25" s="27">
        <f t="shared" si="7"/>
        <v>-1.1137950093185276</v>
      </c>
      <c r="V25" s="27">
        <f t="shared" si="7"/>
        <v>-0.99186346272999792</v>
      </c>
      <c r="W25" s="27">
        <f t="shared" si="7"/>
        <v>-0.88426080485419845</v>
      </c>
      <c r="X25" s="27">
        <f t="shared" si="7"/>
        <v>-0.78919001324072124</v>
      </c>
      <c r="Y25" s="27">
        <f t="shared" si="7"/>
        <v>-0.70509337128976146</v>
      </c>
    </row>
    <row r="26" spans="1:25" x14ac:dyDescent="0.25">
      <c r="A26" s="21">
        <v>14</v>
      </c>
      <c r="B26" s="22">
        <f>B$2*'Cost Distribution By Year'!C33</f>
        <v>0.4609260948905109</v>
      </c>
      <c r="C26" s="25">
        <f t="shared" si="12"/>
        <v>7.4983908334254323</v>
      </c>
      <c r="D26" s="23">
        <f>($B$4/CommAndSportFishingValues!$I$18)*FishHarvestTimeTrends!AC35*((1+'OriginalBCACalculations$2012'!D$10)^MIN('OriginalBCACalculations$2012'!$A26,20))</f>
        <v>0.86587035634276188</v>
      </c>
      <c r="E26" s="23">
        <f>($B$5/CommAndSportFishingValues!$I$19)*FishHarvestTimeTrends!AD35*((1+'OriginalBCACalculations$2012'!E$10)^MIN('OriginalBCACalculations$2012'!$A26,20))</f>
        <v>9.2629532226629466E-2</v>
      </c>
      <c r="F26" s="23">
        <f>8*(B6/10)</f>
        <v>6.4</v>
      </c>
      <c r="H26" s="22">
        <f t="shared" si="14"/>
        <v>3.9100000000000003E-2</v>
      </c>
      <c r="I26" s="22"/>
      <c r="J26" s="41">
        <f t="shared" si="9"/>
        <v>0.19126794248366055</v>
      </c>
      <c r="K26" s="41">
        <f t="shared" si="6"/>
        <v>3.1115656122448558</v>
      </c>
      <c r="L26" s="41">
        <f t="shared" si="6"/>
        <v>0.35930541436282548</v>
      </c>
      <c r="M26" s="41">
        <f t="shared" si="6"/>
        <v>3.8437962698596798E-2</v>
      </c>
      <c r="N26" s="41">
        <f t="shared" si="6"/>
        <v>2.6557724664866407</v>
      </c>
      <c r="O26" s="67"/>
      <c r="P26" s="41">
        <f t="shared" si="13"/>
        <v>1.6225109912441821E-2</v>
      </c>
      <c r="R26" s="27">
        <f t="shared" si="11"/>
        <v>-0.56171703974655163</v>
      </c>
      <c r="S26" s="27">
        <f t="shared" si="7"/>
        <v>-0.49355975419931958</v>
      </c>
      <c r="T26" s="27">
        <f t="shared" si="7"/>
        <v>-0.43422554161577059</v>
      </c>
      <c r="U26" s="27">
        <f t="shared" si="7"/>
        <v>-0.3825019709124155</v>
      </c>
      <c r="V26" s="27">
        <f t="shared" si="7"/>
        <v>-0.33735269781206184</v>
      </c>
      <c r="W26" s="27">
        <f t="shared" si="7"/>
        <v>-0.29789053919886793</v>
      </c>
      <c r="X26" s="27">
        <f t="shared" si="7"/>
        <v>-0.26335486769169852</v>
      </c>
      <c r="Y26" s="27">
        <f t="shared" si="7"/>
        <v>-0.23309260126801154</v>
      </c>
    </row>
    <row r="27" spans="1:25" x14ac:dyDescent="0.25">
      <c r="A27" s="21">
        <v>15</v>
      </c>
      <c r="B27" s="22">
        <f>B$2*'Cost Distribution By Year'!C34</f>
        <v>0.37712135036496341</v>
      </c>
      <c r="C27" s="25">
        <f t="shared" si="12"/>
        <v>7.6483586500939413</v>
      </c>
      <c r="D27" s="23">
        <f>($B$4/CommAndSportFishingValues!$I$18)*FishHarvestTimeTrends!AC36*((1+'OriginalBCACalculations$2012'!D$10)^MIN('OriginalBCACalculations$2012'!$A27,20))</f>
        <v>1.1513884597294215</v>
      </c>
      <c r="E27" s="23">
        <f>($B$5/CommAndSportFishingValues!$I$19)*FishHarvestTimeTrends!AD36*((1+'OriginalBCACalculations$2012'!E$10)^MIN('OriginalBCACalculations$2012'!$A27,20))</f>
        <v>0.13902671568299907</v>
      </c>
      <c r="F27" s="23">
        <f>9*(B6/10)</f>
        <v>7.2</v>
      </c>
      <c r="H27" s="22">
        <f t="shared" si="14"/>
        <v>3.9100000000000003E-2</v>
      </c>
      <c r="I27" s="22"/>
      <c r="J27" s="41">
        <f t="shared" si="9"/>
        <v>0.14625416162726804</v>
      </c>
      <c r="K27" s="41">
        <f t="shared" si="6"/>
        <v>2.9661653499904239</v>
      </c>
      <c r="L27" s="41">
        <f t="shared" si="6"/>
        <v>0.44652829579145153</v>
      </c>
      <c r="M27" s="41">
        <f t="shared" si="6"/>
        <v>5.3916957303880755E-2</v>
      </c>
      <c r="N27" s="41">
        <f t="shared" si="6"/>
        <v>2.7922841353247394</v>
      </c>
      <c r="O27" s="67"/>
      <c r="P27" s="41">
        <f t="shared" si="13"/>
        <v>1.5163654123777405E-2</v>
      </c>
      <c r="R27" s="27">
        <f t="shared" si="11"/>
        <v>0.50403517495351657</v>
      </c>
      <c r="S27" s="27">
        <f t="shared" si="7"/>
        <v>0.43849193757365396</v>
      </c>
      <c r="T27" s="27">
        <f t="shared" si="7"/>
        <v>0.38199567061125916</v>
      </c>
      <c r="U27" s="27">
        <f t="shared" si="7"/>
        <v>0.33322662892067273</v>
      </c>
      <c r="V27" s="27">
        <f t="shared" si="7"/>
        <v>0.29106775440138533</v>
      </c>
      <c r="W27" s="27">
        <f t="shared" si="7"/>
        <v>0.25457201405151081</v>
      </c>
      <c r="X27" s="27">
        <f t="shared" si="7"/>
        <v>0.22293524396321754</v>
      </c>
      <c r="Y27" s="27">
        <f t="shared" si="7"/>
        <v>0.19547353092615746</v>
      </c>
    </row>
    <row r="28" spans="1:25" x14ac:dyDescent="0.25">
      <c r="A28" s="21">
        <v>16</v>
      </c>
      <c r="B28" s="22">
        <f>B$2*'Cost Distribution By Year'!C35</f>
        <v>0.36315389294403877</v>
      </c>
      <c r="C28" s="25">
        <f t="shared" si="12"/>
        <v>7.8013258230958202</v>
      </c>
      <c r="D28" s="23">
        <f>($B$4/CommAndSportFishingValues!$I$18)*FishHarvestTimeTrends!AC37*((1+'OriginalBCACalculations$2012'!D$10)^MIN('OriginalBCACalculations$2012'!$A28,20))</f>
        <v>1.3497232513777457</v>
      </c>
      <c r="E28" s="23">
        <f>($B$5/CommAndSportFishingValues!$I$19)*FishHarvestTimeTrends!AD37*((1+'OriginalBCACalculations$2012'!E$10)^MIN('OriginalBCACalculations$2012'!$A28,20))</f>
        <v>0.17100057258204029</v>
      </c>
      <c r="F28" s="23">
        <f>10*(B6/10)</f>
        <v>8</v>
      </c>
      <c r="H28" s="22">
        <f t="shared" si="14"/>
        <v>3.9100000000000003E-2</v>
      </c>
      <c r="I28" s="22"/>
      <c r="J28" s="41">
        <f t="shared" si="9"/>
        <v>0.13162368301519445</v>
      </c>
      <c r="K28" s="41">
        <f t="shared" si="6"/>
        <v>2.8275594925142356</v>
      </c>
      <c r="L28" s="41">
        <f t="shared" si="6"/>
        <v>0.48920182008060797</v>
      </c>
      <c r="M28" s="41">
        <f t="shared" si="6"/>
        <v>6.1978476888924924E-2</v>
      </c>
      <c r="N28" s="41">
        <f t="shared" si="6"/>
        <v>2.8995681571388774</v>
      </c>
      <c r="O28" s="67"/>
      <c r="P28" s="41">
        <f t="shared" si="13"/>
        <v>1.4171639368016265E-2</v>
      </c>
      <c r="R28" s="27">
        <f t="shared" si="11"/>
        <v>1.3953441079199269</v>
      </c>
      <c r="S28" s="27">
        <f t="shared" si="7"/>
        <v>1.2018789145617021</v>
      </c>
      <c r="T28" s="27">
        <f t="shared" si="7"/>
        <v>1.0367612255871959</v>
      </c>
      <c r="U28" s="27">
        <f t="shared" si="7"/>
        <v>0.8956182863980201</v>
      </c>
      <c r="V28" s="27">
        <f t="shared" si="7"/>
        <v>0.77478505219805627</v>
      </c>
      <c r="W28" s="27">
        <f t="shared" si="7"/>
        <v>0.67118437362997674</v>
      </c>
      <c r="X28" s="27">
        <f t="shared" si="7"/>
        <v>0.58222834393818668</v>
      </c>
      <c r="Y28" s="27">
        <f t="shared" si="7"/>
        <v>0.50573691794699671</v>
      </c>
    </row>
    <row r="29" spans="1:25" x14ac:dyDescent="0.25">
      <c r="A29" s="21">
        <v>17</v>
      </c>
      <c r="B29" s="22">
        <f>B$2*'Cost Distribution By Year'!C36</f>
        <v>0.16760948905109482</v>
      </c>
      <c r="C29" s="25">
        <f t="shared" si="12"/>
        <v>7.9573523395577368</v>
      </c>
      <c r="D29" s="23">
        <f>($B$4/CommAndSportFishingValues!$I$18)*FishHarvestTimeTrends!AC38*((1+'OriginalBCACalculations$2012'!D$10)^MIN('OriginalBCACalculations$2012'!$A29,20))</f>
        <v>1.5483746418040925</v>
      </c>
      <c r="E29" s="23">
        <f>($B$5/CommAndSportFishingValues!$I$19)*FishHarvestTimeTrends!AD38*((1+'OriginalBCACalculations$2012'!E$10)^MIN('OriginalBCACalculations$2012'!$A29,20))</f>
        <v>0.20300636858130156</v>
      </c>
      <c r="F29" s="23">
        <f t="shared" ref="F29:F33" si="15">F28*(1+F$10)</f>
        <v>8.0039999999999996</v>
      </c>
      <c r="H29" s="22">
        <f t="shared" si="14"/>
        <v>3.9100000000000003E-2</v>
      </c>
      <c r="I29" s="22"/>
      <c r="J29" s="41">
        <f t="shared" si="9"/>
        <v>5.6775132860615876E-2</v>
      </c>
      <c r="K29" s="41">
        <f t="shared" si="6"/>
        <v>2.695430544265907</v>
      </c>
      <c r="L29" s="41">
        <f t="shared" si="6"/>
        <v>0.52448806152996053</v>
      </c>
      <c r="M29" s="41">
        <f t="shared" si="6"/>
        <v>6.8765280611535085E-2</v>
      </c>
      <c r="N29" s="41">
        <f t="shared" si="6"/>
        <v>2.7112317207639691</v>
      </c>
      <c r="O29" s="67"/>
      <c r="P29" s="41">
        <f t="shared" si="13"/>
        <v>1.3244522773846978E-2</v>
      </c>
      <c r="R29" s="27">
        <f t="shared" si="11"/>
        <v>1.6695191817765611</v>
      </c>
      <c r="S29" s="27">
        <f t="shared" si="11"/>
        <v>1.4238014558803422</v>
      </c>
      <c r="T29" s="27">
        <f t="shared" si="11"/>
        <v>1.2161542588807499</v>
      </c>
      <c r="U29" s="27">
        <f t="shared" si="11"/>
        <v>1.0403891584769693</v>
      </c>
      <c r="V29" s="27">
        <f t="shared" si="11"/>
        <v>0.89136994061484187</v>
      </c>
      <c r="W29" s="27">
        <f t="shared" si="11"/>
        <v>0.76482597335749758</v>
      </c>
      <c r="X29" s="27">
        <f t="shared" si="11"/>
        <v>0.65720002149353451</v>
      </c>
      <c r="Y29" s="27">
        <f t="shared" si="11"/>
        <v>0.56552390855278856</v>
      </c>
    </row>
    <row r="30" spans="1:25" x14ac:dyDescent="0.25">
      <c r="A30" s="21">
        <v>18</v>
      </c>
      <c r="B30" s="22">
        <f>B$2*'Cost Distribution By Year'!C37</f>
        <v>0.16760948905109482</v>
      </c>
      <c r="C30" s="25">
        <f t="shared" si="12"/>
        <v>8.1164993863488917</v>
      </c>
      <c r="D30" s="23">
        <f>($B$4/CommAndSportFishingValues!$I$18)*FishHarvestTimeTrends!AC39*((1+'OriginalBCACalculations$2012'!D$10)^MIN('OriginalBCACalculations$2012'!$A30,20))</f>
        <v>1.747343010632241</v>
      </c>
      <c r="E30" s="23">
        <f>($B$5/CommAndSportFishingValues!$I$19)*FishHarvestTimeTrends!AD39*((1+'OriginalBCACalculations$2012'!E$10)^MIN('OriginalBCACalculations$2012'!$A30,20))</f>
        <v>0.23504412762641899</v>
      </c>
      <c r="F30" s="23">
        <f t="shared" si="15"/>
        <v>8.0080019999999994</v>
      </c>
      <c r="H30" s="22">
        <f t="shared" si="14"/>
        <v>3.9100000000000003E-2</v>
      </c>
      <c r="I30" s="22"/>
      <c r="J30" s="41">
        <f t="shared" si="9"/>
        <v>5.3060871832351288E-2</v>
      </c>
      <c r="K30" s="41">
        <f t="shared" si="6"/>
        <v>2.5694758459357243</v>
      </c>
      <c r="L30" s="41">
        <f t="shared" si="6"/>
        <v>0.5531640485226248</v>
      </c>
      <c r="M30" s="41">
        <f t="shared" si="6"/>
        <v>7.4408951435502108E-2</v>
      </c>
      <c r="N30" s="41">
        <f t="shared" si="6"/>
        <v>2.5351283519853749</v>
      </c>
      <c r="O30" s="67"/>
      <c r="P30" s="41">
        <f t="shared" si="13"/>
        <v>1.2378058667146708E-2</v>
      </c>
      <c r="R30" s="27">
        <f t="shared" ref="R30:Y45" si="16">(SUM($D30:$H30)-SUM($B30:$C30))/((1+R$10)^($A30-1))</f>
        <v>1.7453802628586725</v>
      </c>
      <c r="S30" s="27">
        <f t="shared" si="16"/>
        <v>1.473759800793192</v>
      </c>
      <c r="T30" s="27">
        <f t="shared" si="16"/>
        <v>1.2464852409988727</v>
      </c>
      <c r="U30" s="27">
        <f t="shared" si="16"/>
        <v>1.0559837632823665</v>
      </c>
      <c r="V30" s="27">
        <f t="shared" si="16"/>
        <v>0.8960315307893727</v>
      </c>
      <c r="W30" s="27">
        <f t="shared" si="16"/>
        <v>0.76150362730660626</v>
      </c>
      <c r="X30" s="27">
        <f t="shared" si="16"/>
        <v>0.6481721265471142</v>
      </c>
      <c r="Y30" s="27">
        <f t="shared" si="16"/>
        <v>0.55254269284257262</v>
      </c>
    </row>
    <row r="31" spans="1:25" x14ac:dyDescent="0.25">
      <c r="A31" s="21">
        <v>19</v>
      </c>
      <c r="B31" s="22">
        <f>B$2*'Cost Distribution By Year'!C38</f>
        <v>0.1396745742092457</v>
      </c>
      <c r="C31" s="25">
        <f t="shared" si="12"/>
        <v>8.2788293740758689</v>
      </c>
      <c r="D31" s="23">
        <f>($B$4/CommAndSportFishingValues!$I$18)*FishHarvestTimeTrends!AC40*((1+'OriginalBCACalculations$2012'!D$10)^MIN('OriginalBCACalculations$2012'!$A31,20))</f>
        <v>1.9466287378907439</v>
      </c>
      <c r="E31" s="23">
        <f>($B$5/CommAndSportFishingValues!$I$19)*FishHarvestTimeTrends!AD40*((1+'OriginalBCACalculations$2012'!E$10)^MIN('OriginalBCACalculations$2012'!$A31,20))</f>
        <v>0.26711387367898942</v>
      </c>
      <c r="F31" s="23">
        <f t="shared" si="15"/>
        <v>8.0120060009999996</v>
      </c>
      <c r="H31" s="22">
        <f t="shared" si="14"/>
        <v>3.9100000000000003E-2</v>
      </c>
      <c r="I31" s="22"/>
      <c r="J31" s="41">
        <f t="shared" si="9"/>
        <v>4.132466653609914E-2</v>
      </c>
      <c r="K31" s="41">
        <f t="shared" si="6"/>
        <v>2.4494068811723726</v>
      </c>
      <c r="L31" s="41">
        <f t="shared" si="6"/>
        <v>0.57593720201652554</v>
      </c>
      <c r="M31" s="41">
        <f t="shared" si="6"/>
        <v>7.9029356770498493E-2</v>
      </c>
      <c r="N31" s="41">
        <f t="shared" si="6"/>
        <v>2.370463473048007</v>
      </c>
      <c r="O31" s="67"/>
      <c r="P31" s="41">
        <f t="shared" si="13"/>
        <v>1.1568279128174493E-2</v>
      </c>
      <c r="R31" s="27">
        <f t="shared" si="16"/>
        <v>1.8463446642846186</v>
      </c>
      <c r="S31" s="27">
        <f t="shared" si="16"/>
        <v>1.5435761073062488</v>
      </c>
      <c r="T31" s="27">
        <f t="shared" si="16"/>
        <v>1.2927355261166322</v>
      </c>
      <c r="U31" s="27">
        <f t="shared" si="16"/>
        <v>1.0845328996018808</v>
      </c>
      <c r="V31" s="27">
        <f t="shared" si="16"/>
        <v>0.91140764737008806</v>
      </c>
      <c r="W31" s="27">
        <f t="shared" si="16"/>
        <v>0.76719434401462805</v>
      </c>
      <c r="X31" s="27">
        <f t="shared" si="16"/>
        <v>0.64685538941665133</v>
      </c>
      <c r="Y31" s="27">
        <f t="shared" si="16"/>
        <v>0.54626676325473389</v>
      </c>
    </row>
    <row r="32" spans="1:25" x14ac:dyDescent="0.25">
      <c r="A32" s="21">
        <v>20</v>
      </c>
      <c r="C32" s="25">
        <f t="shared" si="12"/>
        <v>8.4444059615573863</v>
      </c>
      <c r="D32" s="23">
        <f>($B$4/CommAndSportFishingValues!$I$18)*FishHarvestTimeTrends!AC41*((1+'OriginalBCACalculations$2012'!D$10)^MIN('OriginalBCACalculations$2012'!$A32,20))</f>
        <v>2.1462322040133328</v>
      </c>
      <c r="E32" s="23">
        <f>($B$5/CommAndSportFishingValues!$I$19)*FishHarvestTimeTrends!AD41*((1+'OriginalBCACalculations$2012'!E$10)^MIN('OriginalBCACalculations$2012'!$A32,20))</f>
        <v>0.29921563071658053</v>
      </c>
      <c r="F32" s="23">
        <f t="shared" si="15"/>
        <v>8.0160120040004994</v>
      </c>
      <c r="H32" s="22">
        <f t="shared" si="14"/>
        <v>3.9100000000000003E-2</v>
      </c>
      <c r="I32" s="22"/>
      <c r="J32" s="41"/>
      <c r="K32" s="41">
        <f t="shared" si="6"/>
        <v>2.3349486156970278</v>
      </c>
      <c r="L32" s="41">
        <f>D44/((1+$M$9)^($A32-1))</f>
        <v>0.70360513774376221</v>
      </c>
      <c r="M32" s="41">
        <f>E44/((1+$M$9)^($A32-1))</f>
        <v>9.9927390474374808E-2</v>
      </c>
      <c r="N32" s="41">
        <f t="shared" si="6"/>
        <v>2.2164941166210568</v>
      </c>
      <c r="O32" s="67"/>
      <c r="P32" s="41">
        <f t="shared" si="13"/>
        <v>1.0811475820723825E-2</v>
      </c>
      <c r="R32" s="27">
        <f t="shared" ref="R32:Y43" si="17">(SUM($D32:$H32)-SUM($B32:$C32))/((1+R$10)^($A32-1))</f>
        <v>2.0561538771730259</v>
      </c>
      <c r="S32" s="27">
        <f t="shared" si="17"/>
        <v>1.7019606356017416</v>
      </c>
      <c r="T32" s="27">
        <f t="shared" si="17"/>
        <v>1.4114072681123617</v>
      </c>
      <c r="U32" s="27">
        <f t="shared" si="17"/>
        <v>1.1725958251269397</v>
      </c>
      <c r="V32" s="27">
        <f t="shared" si="17"/>
        <v>0.97593786047986164</v>
      </c>
      <c r="W32" s="27">
        <f t="shared" si="17"/>
        <v>0.81368991004880975</v>
      </c>
      <c r="X32" s="27">
        <f t="shared" si="17"/>
        <v>0.67958560799416046</v>
      </c>
      <c r="Y32" s="27">
        <f t="shared" si="17"/>
        <v>0.56854368099088781</v>
      </c>
    </row>
    <row r="33" spans="1:25" x14ac:dyDescent="0.25">
      <c r="A33" s="21">
        <v>21</v>
      </c>
      <c r="C33" s="25">
        <f>C32</f>
        <v>8.4444059615573863</v>
      </c>
      <c r="D33" s="23">
        <f>($B$4/CommAndSportFishingValues!$I$18)*FishHarvestTimeTrends!AC42*((1+'OriginalBCACalculations$2012'!D$10)^MIN('OriginalBCACalculations$2012'!$A33,20))</f>
        <v>2.2053654640881928</v>
      </c>
      <c r="E33" s="23">
        <f>($B$5/CommAndSportFishingValues!$I$19)*FishHarvestTimeTrends!AD42*((1+'OriginalBCACalculations$2012'!E$10)^MIN('OriginalBCACalculations$2012'!$A33,20))</f>
        <v>0.30876042625561451</v>
      </c>
      <c r="F33" s="23">
        <f t="shared" si="15"/>
        <v>8.020020010002499</v>
      </c>
      <c r="H33" s="22">
        <f t="shared" si="14"/>
        <v>3.9100000000000003E-2</v>
      </c>
      <c r="I33" s="22"/>
      <c r="J33" s="41"/>
      <c r="K33" s="41">
        <f t="shared" si="6"/>
        <v>2.1821949679411476</v>
      </c>
      <c r="L33" s="41">
        <f t="shared" ref="L33:M43" si="18">D45/((1+$M$9)^($A33-1))</f>
        <v>0.65840964413946879</v>
      </c>
      <c r="M33" s="41">
        <f t="shared" si="18"/>
        <v>9.3510095922689718E-2</v>
      </c>
      <c r="N33" s="41">
        <f t="shared" si="6"/>
        <v>2.0725255735321189</v>
      </c>
      <c r="O33" s="67"/>
      <c r="P33" s="41">
        <f t="shared" si="13"/>
        <v>1.0104183010022267E-2</v>
      </c>
      <c r="R33" s="27">
        <f t="shared" si="17"/>
        <v>2.1288399387889196</v>
      </c>
      <c r="S33" s="27">
        <f t="shared" si="17"/>
        <v>1.7446790000676455</v>
      </c>
      <c r="T33" s="27">
        <f t="shared" si="17"/>
        <v>1.4326482515804553</v>
      </c>
      <c r="U33" s="27">
        <f t="shared" si="17"/>
        <v>1.1786870586509461</v>
      </c>
      <c r="V33" s="27">
        <f t="shared" si="17"/>
        <v>0.97157475861522058</v>
      </c>
      <c r="W33" s="27">
        <f t="shared" si="17"/>
        <v>0.80233738364954621</v>
      </c>
      <c r="X33" s="27">
        <f t="shared" si="17"/>
        <v>0.66378235569826749</v>
      </c>
      <c r="Y33" s="27">
        <f t="shared" si="17"/>
        <v>0.55013269413216992</v>
      </c>
    </row>
    <row r="34" spans="1:25" x14ac:dyDescent="0.25">
      <c r="A34" s="21">
        <v>22</v>
      </c>
      <c r="C34" s="25">
        <f t="shared" ref="C34:C97" si="19">C33</f>
        <v>8.4444059615573863</v>
      </c>
      <c r="D34" s="23">
        <f>($B$4/CommAndSportFishingValues!$I$18)*FishHarvestTimeTrends!AC43*((1+'OriginalBCACalculations$2012'!D$10)^MIN('OriginalBCACalculations$2012'!$A34,20))</f>
        <v>2.2644987241630532</v>
      </c>
      <c r="E34" s="23">
        <f>($B$5/CommAndSportFishingValues!$I$19)*FishHarvestTimeTrends!AD43*((1+'OriginalBCACalculations$2012'!E$10)^MIN('OriginalBCACalculations$2012'!$A34,20))</f>
        <v>0.31830522179464865</v>
      </c>
      <c r="F34" s="23">
        <f t="shared" ref="F34:F85" si="20">F33*(1+F$10)</f>
        <v>8.0240300200074994</v>
      </c>
      <c r="H34" s="22">
        <f t="shared" si="14"/>
        <v>3.9100000000000003E-2</v>
      </c>
      <c r="I34" s="22"/>
      <c r="J34" s="41"/>
      <c r="K34" s="41">
        <f t="shared" si="6"/>
        <v>2.0394345494777082</v>
      </c>
      <c r="L34" s="41">
        <f t="shared" si="18"/>
        <v>0.61611625531898073</v>
      </c>
      <c r="M34" s="41">
        <f t="shared" si="18"/>
        <v>8.7504773168120539E-2</v>
      </c>
      <c r="N34" s="41">
        <f t="shared" si="6"/>
        <v>1.9379082582419485</v>
      </c>
      <c r="O34" s="67"/>
      <c r="P34" s="41">
        <f t="shared" si="13"/>
        <v>9.4431616916095945E-3</v>
      </c>
      <c r="R34" s="27">
        <f t="shared" si="17"/>
        <v>2.2015280044078143</v>
      </c>
      <c r="S34" s="27">
        <f t="shared" si="17"/>
        <v>1.7863862399060646</v>
      </c>
      <c r="T34" s="27">
        <f t="shared" si="17"/>
        <v>1.4525149372559303</v>
      </c>
      <c r="U34" s="27">
        <f t="shared" si="17"/>
        <v>1.1834297846629453</v>
      </c>
      <c r="V34" s="27">
        <f t="shared" si="17"/>
        <v>0.96610446433491037</v>
      </c>
      <c r="W34" s="27">
        <f t="shared" si="17"/>
        <v>0.79022166772541913</v>
      </c>
      <c r="X34" s="27">
        <f t="shared" si="17"/>
        <v>0.6475913567419288</v>
      </c>
      <c r="Y34" s="27">
        <f t="shared" si="17"/>
        <v>0.53169782389333986</v>
      </c>
    </row>
    <row r="35" spans="1:25" x14ac:dyDescent="0.25">
      <c r="A35" s="21">
        <v>23</v>
      </c>
      <c r="C35" s="25">
        <f t="shared" si="19"/>
        <v>8.4444059615573863</v>
      </c>
      <c r="D35" s="23">
        <f>($B$4/CommAndSportFishingValues!$I$18)*FishHarvestTimeTrends!AC44*((1+'OriginalBCACalculations$2012'!D$10)^MIN('OriginalBCACalculations$2012'!$A35,20))</f>
        <v>2.3236319842379132</v>
      </c>
      <c r="E35" s="23">
        <f>($B$5/CommAndSportFishingValues!$I$19)*FishHarvestTimeTrends!AD44*((1+'OriginalBCACalculations$2012'!E$10)^MIN('OriginalBCACalculations$2012'!$A35,20))</f>
        <v>0.32785001733368269</v>
      </c>
      <c r="F35" s="23">
        <f t="shared" si="20"/>
        <v>8.0280420350175028</v>
      </c>
      <c r="H35" s="22">
        <f t="shared" si="14"/>
        <v>3.9100000000000003E-2</v>
      </c>
      <c r="I35" s="22"/>
      <c r="J35" s="41"/>
      <c r="K35" s="41">
        <f t="shared" si="6"/>
        <v>1.9060135976427179</v>
      </c>
      <c r="L35" s="41">
        <f t="shared" si="18"/>
        <v>0.5765386865605292</v>
      </c>
      <c r="M35" s="41">
        <f t="shared" si="18"/>
        <v>8.188498441530985E-2</v>
      </c>
      <c r="N35" s="41">
        <f t="shared" si="6"/>
        <v>1.8120347779168873</v>
      </c>
      <c r="O35" s="67"/>
      <c r="P35" s="41">
        <f t="shared" si="13"/>
        <v>8.8253847585136394E-3</v>
      </c>
      <c r="R35" s="27">
        <f t="shared" si="17"/>
        <v>2.2742180750317118</v>
      </c>
      <c r="S35" s="27">
        <f t="shared" si="17"/>
        <v>1.8270981744273773</v>
      </c>
      <c r="T35" s="27">
        <f t="shared" si="17"/>
        <v>1.471053027424579</v>
      </c>
      <c r="U35" s="27">
        <f t="shared" si="17"/>
        <v>1.1868973587306797</v>
      </c>
      <c r="V35" s="27">
        <f t="shared" si="17"/>
        <v>0.95961856717779559</v>
      </c>
      <c r="W35" s="27">
        <f t="shared" si="17"/>
        <v>0.77744115577245609</v>
      </c>
      <c r="X35" s="27">
        <f t="shared" si="17"/>
        <v>0.63110710730211739</v>
      </c>
      <c r="Y35" s="27">
        <f t="shared" si="17"/>
        <v>0.51332096002355754</v>
      </c>
    </row>
    <row r="36" spans="1:25" x14ac:dyDescent="0.25">
      <c r="A36" s="21">
        <v>24</v>
      </c>
      <c r="C36" s="25">
        <f t="shared" si="19"/>
        <v>8.4444059615573863</v>
      </c>
      <c r="D36" s="23">
        <f>($B$4/CommAndSportFishingValues!$I$18)*FishHarvestTimeTrends!AC45*((1+'OriginalBCACalculations$2012'!D$10)^MIN('OriginalBCACalculations$2012'!$A36,20))</f>
        <v>2.3827652443127736</v>
      </c>
      <c r="E36" s="23">
        <f>($B$5/CommAndSportFishingValues!$I$19)*FishHarvestTimeTrends!AD45*((1+'OriginalBCACalculations$2012'!E$10)^MIN('OriginalBCACalculations$2012'!$A36,20))</f>
        <v>0.33739481287271672</v>
      </c>
      <c r="F36" s="23">
        <f t="shared" si="20"/>
        <v>8.0320560560350103</v>
      </c>
      <c r="H36" s="22">
        <f t="shared" si="14"/>
        <v>3.9100000000000003E-2</v>
      </c>
      <c r="I36" s="22"/>
      <c r="J36" s="41"/>
      <c r="K36" s="41">
        <f t="shared" si="6"/>
        <v>1.7813211192922598</v>
      </c>
      <c r="L36" s="41">
        <f t="shared" si="18"/>
        <v>0.53950260627177193</v>
      </c>
      <c r="M36" s="41">
        <f t="shared" si="18"/>
        <v>7.6625987842294102E-2</v>
      </c>
      <c r="N36" s="41">
        <f t="shared" si="6"/>
        <v>1.6943371918746217</v>
      </c>
      <c r="O36" s="67"/>
      <c r="P36" s="41">
        <f t="shared" si="13"/>
        <v>8.2480231387977946E-3</v>
      </c>
      <c r="R36" s="27">
        <f t="shared" si="17"/>
        <v>2.3469101516631135</v>
      </c>
      <c r="S36" s="27">
        <f t="shared" si="17"/>
        <v>1.8668304089523042</v>
      </c>
      <c r="T36" s="27">
        <f t="shared" si="17"/>
        <v>1.4883069609817865</v>
      </c>
      <c r="U36" s="27">
        <f t="shared" si="17"/>
        <v>1.1891600081535829</v>
      </c>
      <c r="V36" s="27">
        <f t="shared" si="17"/>
        <v>0.9522032504608019</v>
      </c>
      <c r="W36" s="27">
        <f t="shared" si="17"/>
        <v>0.76408660266468509</v>
      </c>
      <c r="X36" s="27">
        <f t="shared" si="17"/>
        <v>0.61441465006808926</v>
      </c>
      <c r="Y36" s="27">
        <f t="shared" si="17"/>
        <v>0.49507338198457285</v>
      </c>
    </row>
    <row r="37" spans="1:25" x14ac:dyDescent="0.25">
      <c r="A37" s="21">
        <v>25</v>
      </c>
      <c r="C37" s="25">
        <f t="shared" si="19"/>
        <v>8.4444059615573863</v>
      </c>
      <c r="D37" s="23">
        <f>($B$4/CommAndSportFishingValues!$I$18)*FishHarvestTimeTrends!AC46*((1+'OriginalBCACalculations$2012'!D$10)^MIN('OriginalBCACalculations$2012'!$A37,20))</f>
        <v>2.4418985043876336</v>
      </c>
      <c r="E37" s="23">
        <f>($B$5/CommAndSportFishingValues!$I$19)*FishHarvestTimeTrends!AD46*((1+'OriginalBCACalculations$2012'!E$10)^MIN('OriginalBCACalculations$2012'!$A37,20))</f>
        <v>0.34693960841175081</v>
      </c>
      <c r="F37" s="23">
        <f t="shared" si="20"/>
        <v>8.0360720840630275</v>
      </c>
      <c r="H37" s="22">
        <f t="shared" si="14"/>
        <v>3.9100000000000003E-2</v>
      </c>
      <c r="I37" s="22"/>
      <c r="J37" s="41"/>
      <c r="K37" s="41">
        <f t="shared" si="6"/>
        <v>1.6647860927965044</v>
      </c>
      <c r="L37" s="41">
        <f t="shared" si="18"/>
        <v>0.50484486929955719</v>
      </c>
      <c r="M37" s="41">
        <f t="shared" si="18"/>
        <v>7.170462884723515E-2</v>
      </c>
      <c r="N37" s="41">
        <f t="shared" si="6"/>
        <v>1.5842844490379056</v>
      </c>
      <c r="O37" s="67"/>
      <c r="P37" s="41">
        <f t="shared" si="13"/>
        <v>7.7084328399979378E-3</v>
      </c>
      <c r="R37" s="27">
        <f t="shared" si="17"/>
        <v>2.4196042353050249</v>
      </c>
      <c r="S37" s="27">
        <f t="shared" si="17"/>
        <v>1.9055983374972127</v>
      </c>
      <c r="T37" s="27">
        <f t="shared" si="17"/>
        <v>1.5043199453969711</v>
      </c>
      <c r="U37" s="27">
        <f t="shared" si="17"/>
        <v>1.1902849519365024</v>
      </c>
      <c r="V37" s="27">
        <f t="shared" si="17"/>
        <v>0.94393957160647912</v>
      </c>
      <c r="W37" s="27">
        <f t="shared" si="17"/>
        <v>0.75024162895207891</v>
      </c>
      <c r="X37" s="27">
        <f t="shared" si="17"/>
        <v>0.59759034157874524</v>
      </c>
      <c r="Y37" s="27">
        <f t="shared" si="17"/>
        <v>0.47701679660417778</v>
      </c>
    </row>
    <row r="38" spans="1:25" x14ac:dyDescent="0.25">
      <c r="A38" s="21">
        <v>26</v>
      </c>
      <c r="C38" s="25">
        <f t="shared" si="19"/>
        <v>8.4444059615573863</v>
      </c>
      <c r="D38" s="23">
        <f>($B$4/CommAndSportFishingValues!$I$18)*FishHarvestTimeTrends!AC47*((1+'OriginalBCACalculations$2012'!D$10)^MIN('OriginalBCACalculations$2012'!$A38,20))</f>
        <v>2.4611481882240289</v>
      </c>
      <c r="E38" s="23">
        <f>($B$5/CommAndSportFishingValues!$I$19)*FishHarvestTimeTrends!AD47*((1+'OriginalBCACalculations$2012'!E$10)^MIN('OriginalBCACalculations$2012'!$A38,20))</f>
        <v>0.34964395611114202</v>
      </c>
      <c r="F38" s="23">
        <f t="shared" si="20"/>
        <v>8.0400901201050594</v>
      </c>
      <c r="H38" s="22">
        <f t="shared" si="14"/>
        <v>3.9100000000000003E-2</v>
      </c>
      <c r="I38" s="22"/>
      <c r="J38" s="41"/>
      <c r="K38" s="41">
        <f t="shared" si="6"/>
        <v>1.5558748530808451</v>
      </c>
      <c r="L38" s="41">
        <f t="shared" si="18"/>
        <v>0.47241279939669856</v>
      </c>
      <c r="M38" s="41">
        <f t="shared" si="18"/>
        <v>6.7099238266039946E-2</v>
      </c>
      <c r="N38" s="41">
        <f t="shared" si="6"/>
        <v>1.4813799918340416</v>
      </c>
      <c r="O38" s="67"/>
      <c r="P38" s="41">
        <f t="shared" si="13"/>
        <v>7.2041428411195683E-3</v>
      </c>
      <c r="R38" s="27">
        <f t="shared" si="17"/>
        <v>2.4455763028828432</v>
      </c>
      <c r="S38" s="27">
        <f t="shared" si="17"/>
        <v>1.9069832259214476</v>
      </c>
      <c r="T38" s="27">
        <f t="shared" si="17"/>
        <v>1.4906542528395104</v>
      </c>
      <c r="U38" s="27">
        <f t="shared" si="17"/>
        <v>1.1680208623111854</v>
      </c>
      <c r="V38" s="27">
        <f t="shared" si="17"/>
        <v>0.91737676240548327</v>
      </c>
      <c r="W38" s="27">
        <f t="shared" si="17"/>
        <v>0.72218546063966937</v>
      </c>
      <c r="X38" s="27">
        <f t="shared" si="17"/>
        <v>0.56981592936448178</v>
      </c>
      <c r="Y38" s="27">
        <f t="shared" si="17"/>
        <v>0.45059542237404332</v>
      </c>
    </row>
    <row r="39" spans="1:25" x14ac:dyDescent="0.25">
      <c r="A39" s="21">
        <v>27</v>
      </c>
      <c r="C39" s="25">
        <f t="shared" si="19"/>
        <v>8.4444059615573863</v>
      </c>
      <c r="D39" s="23">
        <f>($B$4/CommAndSportFishingValues!$I$18)*FishHarvestTimeTrends!AC48*((1+'OriginalBCACalculations$2012'!D$10)^MIN('OriginalBCACalculations$2012'!$A39,20))</f>
        <v>2.4803978720604234</v>
      </c>
      <c r="E39" s="23">
        <f>($B$5/CommAndSportFishingValues!$I$19)*FishHarvestTimeTrends!AD48*((1+'OriginalBCACalculations$2012'!E$10)^MIN('OriginalBCACalculations$2012'!$A39,20))</f>
        <v>0.35234830381053317</v>
      </c>
      <c r="F39" s="23">
        <f t="shared" si="20"/>
        <v>8.0441101651651117</v>
      </c>
      <c r="H39" s="22">
        <f t="shared" si="14"/>
        <v>3.9100000000000003E-2</v>
      </c>
      <c r="I39" s="22"/>
      <c r="J39" s="41"/>
      <c r="K39" s="41">
        <f t="shared" si="6"/>
        <v>1.4540886477391077</v>
      </c>
      <c r="L39" s="41">
        <f t="shared" si="18"/>
        <v>0.4420635176953252</v>
      </c>
      <c r="M39" s="41">
        <f t="shared" si="18"/>
        <v>6.2789537114237334E-2</v>
      </c>
      <c r="N39" s="41">
        <f t="shared" si="6"/>
        <v>1.3851595157289334</v>
      </c>
      <c r="O39" s="67"/>
      <c r="P39" s="41">
        <f t="shared" si="13"/>
        <v>6.7328437767472608E-3</v>
      </c>
      <c r="R39" s="27">
        <f t="shared" si="17"/>
        <v>2.4715503794786819</v>
      </c>
      <c r="S39" s="27">
        <f t="shared" si="17"/>
        <v>1.9081554368186</v>
      </c>
      <c r="T39" s="27">
        <f t="shared" si="17"/>
        <v>1.4769473081942548</v>
      </c>
      <c r="U39" s="27">
        <f t="shared" si="17"/>
        <v>1.1460448795628997</v>
      </c>
      <c r="V39" s="27">
        <f t="shared" si="17"/>
        <v>0.89146161053809037</v>
      </c>
      <c r="W39" s="27">
        <f t="shared" si="17"/>
        <v>0.69510064519115289</v>
      </c>
      <c r="X39" s="27">
        <f t="shared" si="17"/>
        <v>0.54327156003765609</v>
      </c>
      <c r="Y39" s="27">
        <f t="shared" si="17"/>
        <v>0.42558983609694045</v>
      </c>
    </row>
    <row r="40" spans="1:25" x14ac:dyDescent="0.25">
      <c r="A40" s="21">
        <v>28</v>
      </c>
      <c r="C40" s="25">
        <f t="shared" si="19"/>
        <v>8.4444059615573863</v>
      </c>
      <c r="D40" s="23">
        <f>($B$4/CommAndSportFishingValues!$I$18)*FishHarvestTimeTrends!AC49*((1+'OriginalBCACalculations$2012'!D$10)^MIN('OriginalBCACalculations$2012'!$A40,20))</f>
        <v>2.4996475558968188</v>
      </c>
      <c r="E40" s="23">
        <f>($B$5/CommAndSportFishingValues!$I$19)*FishHarvestTimeTrends!AD49*((1+'OriginalBCACalculations$2012'!E$10)^MIN('OriginalBCACalculations$2012'!$A40,20))</f>
        <v>0.35505265150992432</v>
      </c>
      <c r="F40" s="23">
        <f t="shared" si="20"/>
        <v>8.0481322202476946</v>
      </c>
      <c r="H40" s="22">
        <f t="shared" si="14"/>
        <v>3.9100000000000003E-2</v>
      </c>
      <c r="I40" s="22"/>
      <c r="J40" s="41"/>
      <c r="K40" s="41">
        <f t="shared" si="6"/>
        <v>1.3589613530272031</v>
      </c>
      <c r="L40" s="41">
        <f t="shared" si="18"/>
        <v>0.41366331423818448</v>
      </c>
      <c r="M40" s="41">
        <f t="shared" si="18"/>
        <v>5.8756547435084246E-2</v>
      </c>
      <c r="N40" s="41">
        <f t="shared" si="6"/>
        <v>1.2951888742867268</v>
      </c>
      <c r="O40" s="67"/>
      <c r="P40" s="41">
        <f t="shared" si="13"/>
        <v>6.2923773614460363E-3</v>
      </c>
      <c r="R40" s="27">
        <f t="shared" si="17"/>
        <v>2.4975264660970513</v>
      </c>
      <c r="S40" s="27">
        <f t="shared" si="17"/>
        <v>1.9091190312756243</v>
      </c>
      <c r="T40" s="27">
        <f t="shared" si="17"/>
        <v>1.4632059602533187</v>
      </c>
      <c r="U40" s="27">
        <f t="shared" si="17"/>
        <v>1.1243590815216733</v>
      </c>
      <c r="V40" s="27">
        <f t="shared" si="17"/>
        <v>0.8661835627838097</v>
      </c>
      <c r="W40" s="27">
        <f t="shared" si="17"/>
        <v>0.66895826560269933</v>
      </c>
      <c r="X40" s="27">
        <f t="shared" si="17"/>
        <v>0.51790694753279276</v>
      </c>
      <c r="Y40" s="27">
        <f t="shared" si="17"/>
        <v>0.4019278515314938</v>
      </c>
    </row>
    <row r="41" spans="1:25" x14ac:dyDescent="0.25">
      <c r="A41" s="21">
        <v>29</v>
      </c>
      <c r="C41" s="25">
        <f t="shared" si="19"/>
        <v>8.4444059615573863</v>
      </c>
      <c r="D41" s="23">
        <f>($B$4/CommAndSportFishingValues!$I$18)*FishHarvestTimeTrends!AC50*((1+'OriginalBCACalculations$2012'!D$10)^MIN('OriginalBCACalculations$2012'!$A41,20))</f>
        <v>2.5188972397332146</v>
      </c>
      <c r="E41" s="23">
        <f>($B$5/CommAndSportFishingValues!$I$19)*FishHarvestTimeTrends!AD50*((1+'OriginalBCACalculations$2012'!E$10)^MIN('OriginalBCACalculations$2012'!$A41,20))</f>
        <v>0.35775699920931553</v>
      </c>
      <c r="F41" s="23">
        <f t="shared" si="20"/>
        <v>8.0521562863578175</v>
      </c>
      <c r="H41" s="22">
        <f t="shared" si="14"/>
        <v>3.9100000000000003E-2</v>
      </c>
      <c r="I41" s="22"/>
      <c r="J41" s="41"/>
      <c r="K41" s="41">
        <f t="shared" si="6"/>
        <v>1.2700573392777601</v>
      </c>
      <c r="L41" s="41">
        <f t="shared" si="18"/>
        <v>0.38662279523354148</v>
      </c>
      <c r="M41" s="41">
        <f t="shared" si="18"/>
        <v>5.4914623756664865E-2</v>
      </c>
      <c r="N41" s="41">
        <f t="shared" si="6"/>
        <v>1.2110621203026823</v>
      </c>
      <c r="O41" s="67"/>
      <c r="P41" s="41">
        <f t="shared" si="13"/>
        <v>5.8807265060243346E-3</v>
      </c>
      <c r="R41" s="27">
        <f t="shared" si="17"/>
        <v>2.5235045637429607</v>
      </c>
      <c r="S41" s="27">
        <f t="shared" si="17"/>
        <v>1.9098780109478253</v>
      </c>
      <c r="T41" s="27">
        <f t="shared" si="17"/>
        <v>1.449436805527599</v>
      </c>
      <c r="U41" s="27">
        <f t="shared" si="17"/>
        <v>1.1029651813315247</v>
      </c>
      <c r="V41" s="27">
        <f t="shared" si="17"/>
        <v>0.84153192068067173</v>
      </c>
      <c r="W41" s="27">
        <f t="shared" si="17"/>
        <v>0.64372995751236217</v>
      </c>
      <c r="X41" s="27">
        <f t="shared" si="17"/>
        <v>0.4936735588963031</v>
      </c>
      <c r="Y41" s="27">
        <f t="shared" si="17"/>
        <v>0.37954066946487475</v>
      </c>
    </row>
    <row r="42" spans="1:25" x14ac:dyDescent="0.25">
      <c r="A42" s="21">
        <v>30</v>
      </c>
      <c r="C42" s="25">
        <f t="shared" si="19"/>
        <v>8.4444059615573863</v>
      </c>
      <c r="D42" s="23">
        <f>($B$4/CommAndSportFishingValues!$I$18)*FishHarvestTimeTrends!AC51*((1+'OriginalBCACalculations$2012'!D$10)^MIN('OriginalBCACalculations$2012'!$A42,20))</f>
        <v>2.5381469235696095</v>
      </c>
      <c r="E42" s="23">
        <f>($B$5/CommAndSportFishingValues!$I$19)*FishHarvestTimeTrends!AD51*((1+'OriginalBCACalculations$2012'!E$10)^MIN('OriginalBCACalculations$2012'!$A42,20))</f>
        <v>0.36046134690870668</v>
      </c>
      <c r="F42" s="23">
        <f t="shared" si="20"/>
        <v>8.0561823645009962</v>
      </c>
      <c r="H42" s="22">
        <f t="shared" si="14"/>
        <v>3.9100000000000003E-2</v>
      </c>
      <c r="I42" s="22"/>
      <c r="J42" s="41"/>
      <c r="K42" s="41">
        <f t="shared" si="6"/>
        <v>1.1869694759605236</v>
      </c>
      <c r="L42" s="41">
        <f t="shared" si="18"/>
        <v>0.36134987122158618</v>
      </c>
      <c r="M42" s="41">
        <f t="shared" si="18"/>
        <v>5.1323912485089156E-2</v>
      </c>
      <c r="N42" s="41">
        <f t="shared" si="6"/>
        <v>1.1323996741708726</v>
      </c>
      <c r="O42" s="67"/>
      <c r="P42" s="41">
        <f t="shared" si="13"/>
        <v>5.4960060803965743E-3</v>
      </c>
      <c r="R42" s="27">
        <f t="shared" si="17"/>
        <v>2.5494846734219259</v>
      </c>
      <c r="S42" s="27">
        <f t="shared" si="17"/>
        <v>1.9104363188363358</v>
      </c>
      <c r="T42" s="27">
        <f t="shared" si="17"/>
        <v>1.4356461954986375</v>
      </c>
      <c r="U42" s="27">
        <f t="shared" si="17"/>
        <v>1.0818645469097266</v>
      </c>
      <c r="V42" s="27">
        <f t="shared" si="17"/>
        <v>0.81749586726922252</v>
      </c>
      <c r="W42" s="27">
        <f t="shared" si="17"/>
        <v>0.61938792207975768</v>
      </c>
      <c r="X42" s="27">
        <f t="shared" si="17"/>
        <v>0.47052457685879601</v>
      </c>
      <c r="Y42" s="27">
        <f t="shared" si="17"/>
        <v>0.35836274340165669</v>
      </c>
    </row>
    <row r="43" spans="1:25" x14ac:dyDescent="0.25">
      <c r="A43" s="21">
        <v>31</v>
      </c>
      <c r="C43" s="25">
        <f t="shared" si="19"/>
        <v>8.4444059615573863</v>
      </c>
      <c r="D43" s="23">
        <f>($B$4/CommAndSportFishingValues!$I$18)*FishHarvestTimeTrends!AC52*((1+'OriginalBCACalculations$2012'!D$10)^MIN('OriginalBCACalculations$2012'!$A43,20))</f>
        <v>2.5413771390055926</v>
      </c>
      <c r="E43" s="23">
        <f>($B$5/CommAndSportFishingValues!$I$19)*FishHarvestTimeTrends!AD52*((1+'OriginalBCACalculations$2012'!E$10)^MIN('OriginalBCACalculations$2012'!$A43,20))</f>
        <v>0.36092575303167934</v>
      </c>
      <c r="F43" s="23">
        <f t="shared" si="20"/>
        <v>8.0602104556832455</v>
      </c>
      <c r="H43" s="22">
        <f t="shared" si="14"/>
        <v>3.9100000000000003E-2</v>
      </c>
      <c r="I43" s="22"/>
      <c r="J43" s="41"/>
      <c r="K43" s="41">
        <f t="shared" si="6"/>
        <v>1.1093172672528258</v>
      </c>
      <c r="L43" s="41">
        <f t="shared" si="18"/>
        <v>0.33772899745012946</v>
      </c>
      <c r="M43" s="41">
        <f t="shared" si="18"/>
        <v>4.7967987563477969E-2</v>
      </c>
      <c r="N43" s="41">
        <f t="shared" si="6"/>
        <v>1.0588466112223907</v>
      </c>
      <c r="O43" s="67"/>
      <c r="P43" s="41">
        <f t="shared" si="13"/>
        <v>5.1364542807444619E-3</v>
      </c>
      <c r="R43" s="27">
        <f t="shared" si="17"/>
        <v>2.5572073861631299</v>
      </c>
      <c r="S43" s="27">
        <f t="shared" si="17"/>
        <v>1.8972507653289339</v>
      </c>
      <c r="T43" s="27">
        <f t="shared" si="17"/>
        <v>1.4117597549850762</v>
      </c>
      <c r="U43" s="27">
        <f t="shared" si="17"/>
        <v>1.0535355844354903</v>
      </c>
      <c r="V43" s="27">
        <f t="shared" si="17"/>
        <v>0.78843477503360804</v>
      </c>
      <c r="W43" s="27">
        <f t="shared" si="17"/>
        <v>0.59168012069434084</v>
      </c>
      <c r="X43" s="27">
        <f t="shared" si="17"/>
        <v>0.44523571277050344</v>
      </c>
      <c r="Y43" s="27">
        <f t="shared" si="17"/>
        <v>0.33593296228667424</v>
      </c>
    </row>
    <row r="44" spans="1:25" x14ac:dyDescent="0.25">
      <c r="A44" s="21">
        <v>32</v>
      </c>
      <c r="C44" s="25">
        <f t="shared" si="19"/>
        <v>8.4444059615573863</v>
      </c>
      <c r="D44" s="23">
        <f>($B$4/CommAndSportFishingValues!$I$18)*FishHarvestTimeTrends!AC53*((1+'OriginalBCACalculations$2012'!D$10)^MIN('OriginalBCACalculations$2012'!$A44,20))</f>
        <v>2.5446073544415748</v>
      </c>
      <c r="E44" s="23">
        <f>($B$5/CommAndSportFishingValues!$I$19)*FishHarvestTimeTrends!AD53*((1+'OriginalBCACalculations$2012'!E$10)^MIN('OriginalBCACalculations$2012'!$A44,20))</f>
        <v>0.36139015915465206</v>
      </c>
      <c r="F44" s="23">
        <f t="shared" si="20"/>
        <v>8.0642405609110863</v>
      </c>
      <c r="H44" s="22">
        <f t="shared" si="14"/>
        <v>3.9100000000000003E-2</v>
      </c>
      <c r="I44" s="22"/>
      <c r="J44" s="41"/>
      <c r="K44" s="41">
        <f t="shared" si="6"/>
        <v>1.0367451095820799</v>
      </c>
      <c r="L44" s="41">
        <f t="shared" si="6"/>
        <v>0.31240909574145526</v>
      </c>
      <c r="M44" s="41">
        <f t="shared" si="6"/>
        <v>4.4368956426341144E-2</v>
      </c>
      <c r="N44" s="41">
        <f t="shared" si="6"/>
        <v>0.99007106030654346</v>
      </c>
      <c r="O44" s="67"/>
      <c r="P44" s="41">
        <f t="shared" si="13"/>
        <v>4.8004245614434215E-3</v>
      </c>
      <c r="R44" s="27">
        <f t="shared" si="16"/>
        <v>2.5649321129499274</v>
      </c>
      <c r="S44" s="27">
        <f t="shared" si="16"/>
        <v>1.8841405120452512</v>
      </c>
      <c r="T44" s="27">
        <f t="shared" si="16"/>
        <v>1.3882591684013637</v>
      </c>
      <c r="U44" s="27">
        <f t="shared" si="16"/>
        <v>1.0259398733908045</v>
      </c>
      <c r="V44" s="27">
        <f t="shared" si="16"/>
        <v>0.76040043510285771</v>
      </c>
      <c r="W44" s="27">
        <f t="shared" si="16"/>
        <v>0.56520709359031751</v>
      </c>
      <c r="X44" s="27">
        <f t="shared" si="16"/>
        <v>0.42130251505905802</v>
      </c>
      <c r="Y44" s="27">
        <f t="shared" si="16"/>
        <v>0.31490442745370339</v>
      </c>
    </row>
    <row r="45" spans="1:25" x14ac:dyDescent="0.25">
      <c r="A45" s="21">
        <v>33</v>
      </c>
      <c r="C45" s="25">
        <f t="shared" si="19"/>
        <v>8.4444059615573863</v>
      </c>
      <c r="D45" s="23">
        <f>($B$4/CommAndSportFishingValues!$I$18)*FishHarvestTimeTrends!AC54*((1+'OriginalBCACalculations$2012'!D$10)^MIN('OriginalBCACalculations$2012'!$A45,20))</f>
        <v>2.5478375698775571</v>
      </c>
      <c r="E45" s="23">
        <f>($B$5/CommAndSportFishingValues!$I$19)*FishHarvestTimeTrends!AD54*((1+'OriginalBCACalculations$2012'!E$10)^MIN('OriginalBCACalculations$2012'!$A45,20))</f>
        <v>0.36185456527762466</v>
      </c>
      <c r="F45" s="23">
        <f t="shared" si="20"/>
        <v>8.0682726811915408</v>
      </c>
      <c r="H45" s="22">
        <f t="shared" si="14"/>
        <v>3.9100000000000003E-2</v>
      </c>
      <c r="I45" s="22"/>
      <c r="J45" s="41"/>
      <c r="K45" s="41">
        <f t="shared" si="6"/>
        <v>0.96892066316082248</v>
      </c>
      <c r="L45" s="41">
        <f t="shared" si="6"/>
        <v>0.29234175607736085</v>
      </c>
      <c r="M45" s="41">
        <f t="shared" si="6"/>
        <v>4.1519600899422554E-2</v>
      </c>
      <c r="N45" s="41">
        <f t="shared" si="6"/>
        <v>0.92576270638943614</v>
      </c>
      <c r="O45" s="67"/>
      <c r="P45" s="41">
        <f t="shared" si="13"/>
        <v>4.4863780948069367E-3</v>
      </c>
      <c r="R45" s="27">
        <f t="shared" si="16"/>
        <v>2.5726588547893368</v>
      </c>
      <c r="S45" s="27">
        <f t="shared" si="16"/>
        <v>1.8711053465505203</v>
      </c>
      <c r="T45" s="27">
        <f t="shared" si="16"/>
        <v>1.3651384669411684</v>
      </c>
      <c r="U45" s="27">
        <f t="shared" si="16"/>
        <v>0.99905870951509379</v>
      </c>
      <c r="V45" s="27">
        <f t="shared" si="16"/>
        <v>0.73335683363412829</v>
      </c>
      <c r="W45" s="27">
        <f t="shared" si="16"/>
        <v>0.5399140517760167</v>
      </c>
      <c r="X45" s="27">
        <f t="shared" si="16"/>
        <v>0.39865251868616397</v>
      </c>
      <c r="Y45" s="27">
        <f t="shared" si="16"/>
        <v>0.29518977830020404</v>
      </c>
    </row>
    <row r="46" spans="1:25" x14ac:dyDescent="0.25">
      <c r="A46" s="21">
        <v>34</v>
      </c>
      <c r="C46" s="25">
        <f t="shared" si="19"/>
        <v>8.4444059615573863</v>
      </c>
      <c r="D46" s="23">
        <f>($B$4/CommAndSportFishingValues!$I$18)*FishHarvestTimeTrends!AC55*((1+'OriginalBCACalculations$2012'!D$10)^MIN('OriginalBCACalculations$2012'!$A46,20))</f>
        <v>2.5510677853135397</v>
      </c>
      <c r="E46" s="23">
        <f>($B$5/CommAndSportFishingValues!$I$19)*FishHarvestTimeTrends!AD55*((1+'OriginalBCACalculations$2012'!E$10)^MIN('OriginalBCACalculations$2012'!$A46,20))</f>
        <v>0.36231897140059738</v>
      </c>
      <c r="F46" s="23">
        <f t="shared" si="20"/>
        <v>8.0723068175321355</v>
      </c>
      <c r="H46" s="22">
        <f t="shared" si="14"/>
        <v>3.9100000000000003E-2</v>
      </c>
      <c r="I46" s="22"/>
      <c r="J46" s="41"/>
      <c r="K46" s="41">
        <f t="shared" si="6"/>
        <v>0.90553333005684344</v>
      </c>
      <c r="L46" s="41">
        <f t="shared" si="6"/>
        <v>0.27356298564424569</v>
      </c>
      <c r="M46" s="41">
        <f t="shared" si="6"/>
        <v>3.8853165777293322E-2</v>
      </c>
      <c r="N46" s="41">
        <f t="shared" si="6"/>
        <v>0.86563139041367354</v>
      </c>
      <c r="O46" s="67"/>
      <c r="P46" s="41">
        <f t="shared" si="13"/>
        <v>4.1928767241186321E-3</v>
      </c>
      <c r="R46" s="27">
        <f t="shared" ref="R46:Y61" si="21">(SUM($D46:$H46)-SUM($B46:$C46))/((1+R$10)^($A46-1))</f>
        <v>2.5803876126888863</v>
      </c>
      <c r="S46" s="27">
        <f t="shared" si="21"/>
        <v>1.858145053365851</v>
      </c>
      <c r="T46" s="27">
        <f t="shared" si="21"/>
        <v>1.3423917679191131</v>
      </c>
      <c r="U46" s="27">
        <f t="shared" si="21"/>
        <v>0.97287385673336646</v>
      </c>
      <c r="V46" s="27">
        <f t="shared" si="21"/>
        <v>0.70726920907714297</v>
      </c>
      <c r="W46" s="27">
        <f t="shared" si="21"/>
        <v>0.51574862530364751</v>
      </c>
      <c r="X46" s="27">
        <f t="shared" si="21"/>
        <v>0.37721711970741034</v>
      </c>
      <c r="Y46" s="27">
        <f t="shared" si="21"/>
        <v>0.27670708850248782</v>
      </c>
    </row>
    <row r="47" spans="1:25" x14ac:dyDescent="0.25">
      <c r="A47" s="21">
        <v>35</v>
      </c>
      <c r="C47" s="25">
        <f t="shared" si="19"/>
        <v>8.4444059615573863</v>
      </c>
      <c r="D47" s="23">
        <f>($B$4/CommAndSportFishingValues!$I$18)*FishHarvestTimeTrends!AC56*((1+'OriginalBCACalculations$2012'!D$10)^MIN('OriginalBCACalculations$2012'!$A47,20))</f>
        <v>2.554298000749522</v>
      </c>
      <c r="E47" s="23">
        <f>($B$5/CommAndSportFishingValues!$I$19)*FishHarvestTimeTrends!AD56*((1+'OriginalBCACalculations$2012'!E$10)^MIN('OriginalBCACalculations$2012'!$A47,20))</f>
        <v>0.36278337752357009</v>
      </c>
      <c r="F47" s="23">
        <f t="shared" si="20"/>
        <v>8.0763429709409014</v>
      </c>
      <c r="H47" s="22">
        <f t="shared" si="14"/>
        <v>3.9100000000000003E-2</v>
      </c>
      <c r="I47" s="22"/>
      <c r="J47" s="41"/>
      <c r="K47" s="41">
        <f t="shared" si="6"/>
        <v>0.84629283182882564</v>
      </c>
      <c r="L47" s="41">
        <f t="shared" si="6"/>
        <v>0.25599007179782074</v>
      </c>
      <c r="M47" s="41">
        <f t="shared" si="6"/>
        <v>3.63579123626388E-2</v>
      </c>
      <c r="N47" s="41">
        <f t="shared" si="6"/>
        <v>0.80940580010175744</v>
      </c>
      <c r="O47" s="67"/>
      <c r="P47" s="41">
        <f t="shared" si="13"/>
        <v>3.9185763776809646E-3</v>
      </c>
      <c r="R47" s="27">
        <f t="shared" si="21"/>
        <v>2.588118387656607</v>
      </c>
      <c r="S47" s="27">
        <f t="shared" si="21"/>
        <v>1.8452594140480938</v>
      </c>
      <c r="T47" s="27">
        <f t="shared" si="21"/>
        <v>1.3200132736806707</v>
      </c>
      <c r="U47" s="27">
        <f t="shared" si="21"/>
        <v>0.94736753573184329</v>
      </c>
      <c r="V47" s="27">
        <f t="shared" si="21"/>
        <v>0.6821040090861934</v>
      </c>
      <c r="W47" s="27">
        <f t="shared" si="21"/>
        <v>0.49266075707574414</v>
      </c>
      <c r="X47" s="27">
        <f t="shared" si="21"/>
        <v>0.35693137028584782</v>
      </c>
      <c r="Y47" s="27">
        <f t="shared" si="21"/>
        <v>0.25937952881107224</v>
      </c>
    </row>
    <row r="48" spans="1:25" x14ac:dyDescent="0.25">
      <c r="A48" s="21">
        <v>36</v>
      </c>
      <c r="C48" s="25">
        <f t="shared" si="19"/>
        <v>8.4444059615573863</v>
      </c>
      <c r="D48" s="23">
        <f>($B$4/CommAndSportFishingValues!$I$18)*FishHarvestTimeTrends!AC57*((1+'OriginalBCACalculations$2012'!D$10)^MIN('OriginalBCACalculations$2012'!$A48,20))</f>
        <v>2.5575282161855042</v>
      </c>
      <c r="E48" s="23">
        <f>($B$5/CommAndSportFishingValues!$I$19)*FishHarvestTimeTrends!AD57*((1+'OriginalBCACalculations$2012'!E$10)^MIN('OriginalBCACalculations$2012'!$A48,20))</f>
        <v>0.36324778364654275</v>
      </c>
      <c r="F48" s="23">
        <f t="shared" si="20"/>
        <v>8.0803811424263721</v>
      </c>
      <c r="H48" s="22">
        <f t="shared" si="14"/>
        <v>3.9100000000000003E-2</v>
      </c>
      <c r="I48" s="22"/>
      <c r="J48" s="41"/>
      <c r="K48" s="41">
        <f t="shared" si="6"/>
        <v>0.79092788021385574</v>
      </c>
      <c r="L48" s="41">
        <f t="shared" si="6"/>
        <v>0.23954560922621246</v>
      </c>
      <c r="M48" s="41">
        <f t="shared" si="6"/>
        <v>3.4022854990613763E-2</v>
      </c>
      <c r="N48" s="41">
        <f t="shared" si="6"/>
        <v>0.75683224579608255</v>
      </c>
      <c r="O48" s="67"/>
      <c r="P48" s="41">
        <f t="shared" si="13"/>
        <v>3.6622209137205275E-3</v>
      </c>
      <c r="R48" s="27">
        <f t="shared" si="21"/>
        <v>2.5958511807010325</v>
      </c>
      <c r="S48" s="27">
        <f t="shared" si="21"/>
        <v>1.8324482072684427</v>
      </c>
      <c r="T48" s="27">
        <f t="shared" si="21"/>
        <v>1.2979972705218514</v>
      </c>
      <c r="U48" s="27">
        <f t="shared" si="21"/>
        <v>0.92252241280244707</v>
      </c>
      <c r="V48" s="27">
        <f t="shared" si="21"/>
        <v>0.65782884889534499</v>
      </c>
      <c r="W48" s="27">
        <f t="shared" si="21"/>
        <v>0.47060260128211451</v>
      </c>
      <c r="X48" s="27">
        <f t="shared" si="21"/>
        <v>0.33773378454396474</v>
      </c>
      <c r="Y48" s="27">
        <f t="shared" si="21"/>
        <v>0.24313505071277353</v>
      </c>
    </row>
    <row r="49" spans="1:25" x14ac:dyDescent="0.25">
      <c r="A49" s="21">
        <v>37</v>
      </c>
      <c r="C49" s="25">
        <f t="shared" si="19"/>
        <v>8.4444059615573863</v>
      </c>
      <c r="D49" s="23">
        <f>($B$4/CommAndSportFishingValues!$I$18)*FishHarvestTimeTrends!AC58*((1+'OriginalBCACalculations$2012'!D$10)^MIN('OriginalBCACalculations$2012'!$A49,20))</f>
        <v>2.5607584316214873</v>
      </c>
      <c r="E49" s="23">
        <f>($B$5/CommAndSportFishingValues!$I$19)*FishHarvestTimeTrends!AD58*((1+'OriginalBCACalculations$2012'!E$10)^MIN('OriginalBCACalculations$2012'!$A49,20))</f>
        <v>0.36371218976951536</v>
      </c>
      <c r="F49" s="23">
        <f t="shared" si="20"/>
        <v>8.084421332997584</v>
      </c>
      <c r="H49" s="22">
        <f t="shared" si="14"/>
        <v>3.9100000000000003E-2</v>
      </c>
      <c r="I49" s="22"/>
      <c r="J49" s="41"/>
      <c r="K49" s="41">
        <f t="shared" si="6"/>
        <v>0.73918493477930447</v>
      </c>
      <c r="L49" s="41">
        <f t="shared" si="6"/>
        <v>0.22415715953032933</v>
      </c>
      <c r="M49" s="41">
        <f t="shared" si="6"/>
        <v>3.1837712741090624E-2</v>
      </c>
      <c r="N49" s="41">
        <f t="shared" si="6"/>
        <v>0.70767351581213123</v>
      </c>
      <c r="O49" s="67"/>
      <c r="P49" s="41">
        <f t="shared" si="13"/>
        <v>3.4226363679631098E-3</v>
      </c>
      <c r="R49" s="27">
        <f t="shared" si="21"/>
        <v>2.6035859928311993</v>
      </c>
      <c r="S49" s="27">
        <f t="shared" si="21"/>
        <v>1.8197112088897824</v>
      </c>
      <c r="T49" s="27">
        <f t="shared" si="21"/>
        <v>1.2763381276187071</v>
      </c>
      <c r="U49" s="27">
        <f t="shared" si="21"/>
        <v>0.89832158895017022</v>
      </c>
      <c r="V49" s="27">
        <f t="shared" si="21"/>
        <v>0.63441247110797927</v>
      </c>
      <c r="W49" s="27">
        <f t="shared" si="21"/>
        <v>0.44952842626699152</v>
      </c>
      <c r="X49" s="27">
        <f t="shared" si="21"/>
        <v>0.31956615468366334</v>
      </c>
      <c r="Y49" s="27">
        <f t="shared" si="21"/>
        <v>0.22790608967220979</v>
      </c>
    </row>
    <row r="50" spans="1:25" x14ac:dyDescent="0.25">
      <c r="A50" s="21">
        <v>38</v>
      </c>
      <c r="C50" s="25">
        <f t="shared" si="19"/>
        <v>8.4444059615573863</v>
      </c>
      <c r="D50" s="23">
        <f>($B$4/CommAndSportFishingValues!$I$18)*FishHarvestTimeTrends!AC59*((1+'OriginalBCACalculations$2012'!D$10)^MIN('OriginalBCACalculations$2012'!$A50,20))</f>
        <v>2.5639886470574695</v>
      </c>
      <c r="E50" s="23">
        <f>($B$5/CommAndSportFishingValues!$I$19)*FishHarvestTimeTrends!AD59*((1+'OriginalBCACalculations$2012'!E$10)^MIN('OriginalBCACalculations$2012'!$A50,20))</f>
        <v>0.36417659589248808</v>
      </c>
      <c r="F50" s="23">
        <f t="shared" si="20"/>
        <v>8.0884635436640817</v>
      </c>
      <c r="H50" s="22">
        <f t="shared" si="14"/>
        <v>3.9100000000000003E-2</v>
      </c>
      <c r="I50" s="22"/>
      <c r="J50" s="41"/>
      <c r="K50" s="41">
        <f t="shared" si="6"/>
        <v>0.69082704184981714</v>
      </c>
      <c r="L50" s="41">
        <f t="shared" si="6"/>
        <v>0.20975693263052858</v>
      </c>
      <c r="M50" s="41">
        <f t="shared" si="6"/>
        <v>2.9792864246065309E-2</v>
      </c>
      <c r="N50" s="41">
        <f t="shared" si="6"/>
        <v>0.66170780614022162</v>
      </c>
      <c r="O50" s="67"/>
      <c r="P50" s="41">
        <f t="shared" si="13"/>
        <v>3.1987255775356165E-3</v>
      </c>
      <c r="R50" s="27">
        <f t="shared" si="21"/>
        <v>2.6113228250566518</v>
      </c>
      <c r="S50" s="27">
        <f t="shared" si="21"/>
        <v>1.8070481920428032</v>
      </c>
      <c r="T50" s="27">
        <f t="shared" si="21"/>
        <v>1.2550302959666815</v>
      </c>
      <c r="U50" s="27">
        <f t="shared" si="21"/>
        <v>0.87474858925745136</v>
      </c>
      <c r="V50" s="27">
        <f t="shared" si="21"/>
        <v>0.61182470685341106</v>
      </c>
      <c r="W50" s="27">
        <f t="shared" si="21"/>
        <v>0.42939452163466518</v>
      </c>
      <c r="X50" s="27">
        <f t="shared" si="21"/>
        <v>0.30237337683369492</v>
      </c>
      <c r="Y50" s="27">
        <f t="shared" si="21"/>
        <v>0.21362928674453388</v>
      </c>
    </row>
    <row r="51" spans="1:25" x14ac:dyDescent="0.25">
      <c r="A51" s="21">
        <v>39</v>
      </c>
      <c r="C51" s="25">
        <f t="shared" si="19"/>
        <v>8.4444059615573863</v>
      </c>
      <c r="D51" s="23">
        <f>($B$4/CommAndSportFishingValues!$I$18)*FishHarvestTimeTrends!AC60*((1+'OriginalBCACalculations$2012'!D$10)^MIN('OriginalBCACalculations$2012'!$A51,20))</f>
        <v>2.5672188624934518</v>
      </c>
      <c r="E51" s="23">
        <f>($B$5/CommAndSportFishingValues!$I$19)*FishHarvestTimeTrends!AD60*((1+'OriginalBCACalculations$2012'!E$10)^MIN('OriginalBCACalculations$2012'!$A51,20))</f>
        <v>0.36464100201546074</v>
      </c>
      <c r="F51" s="23">
        <f t="shared" si="20"/>
        <v>8.092507775435914</v>
      </c>
      <c r="H51" s="22">
        <f t="shared" si="14"/>
        <v>3.9100000000000003E-2</v>
      </c>
      <c r="I51" s="22"/>
      <c r="J51" s="41"/>
      <c r="K51" s="41">
        <f t="shared" si="6"/>
        <v>0.64563274939235249</v>
      </c>
      <c r="L51" s="41">
        <f t="shared" si="6"/>
        <v>0.19628148860075278</v>
      </c>
      <c r="M51" s="41">
        <f t="shared" si="6"/>
        <v>2.7879305393911383E-2</v>
      </c>
      <c r="N51" s="41">
        <f t="shared" si="6"/>
        <v>0.61872771966662787</v>
      </c>
      <c r="O51" s="67"/>
      <c r="P51" s="41">
        <f t="shared" si="13"/>
        <v>2.9894631565753425E-3</v>
      </c>
      <c r="R51" s="27">
        <f t="shared" si="21"/>
        <v>2.6190616783874408</v>
      </c>
      <c r="S51" s="27">
        <f t="shared" si="21"/>
        <v>1.7944589272008877</v>
      </c>
      <c r="T51" s="27">
        <f t="shared" si="21"/>
        <v>1.2340683073298235</v>
      </c>
      <c r="U51" s="27">
        <f t="shared" si="21"/>
        <v>0.85178735249981619</v>
      </c>
      <c r="V51" s="27">
        <f t="shared" si="21"/>
        <v>0.59003643826485763</v>
      </c>
      <c r="W51" s="27">
        <f t="shared" si="21"/>
        <v>0.41015910941009298</v>
      </c>
      <c r="X51" s="27">
        <f t="shared" si="21"/>
        <v>0.28610328611231678</v>
      </c>
      <c r="Y51" s="27">
        <f t="shared" si="21"/>
        <v>0.2002452274255149</v>
      </c>
    </row>
    <row r="52" spans="1:25" x14ac:dyDescent="0.25">
      <c r="A52" s="21">
        <v>40</v>
      </c>
      <c r="C52" s="25">
        <f t="shared" si="19"/>
        <v>8.4444059615573863</v>
      </c>
      <c r="D52" s="23">
        <f>($B$4/CommAndSportFishingValues!$I$18)*FishHarvestTimeTrends!AC61*((1+'OriginalBCACalculations$2012'!D$10)^MIN('OriginalBCACalculations$2012'!$A52,20))</f>
        <v>2.5704490779294349</v>
      </c>
      <c r="E52" s="23">
        <f>($B$5/CommAndSportFishingValues!$I$19)*FishHarvestTimeTrends!AD61*((1+'OriginalBCACalculations$2012'!E$10)^MIN('OriginalBCACalculations$2012'!$A52,20))</f>
        <v>0.36510540813843345</v>
      </c>
      <c r="F52" s="23">
        <f t="shared" si="20"/>
        <v>8.0965540293236309</v>
      </c>
      <c r="H52" s="22">
        <f t="shared" si="14"/>
        <v>3.9100000000000003E-2</v>
      </c>
      <c r="I52" s="22"/>
      <c r="J52" s="41"/>
      <c r="K52" s="41">
        <f t="shared" si="6"/>
        <v>0.603395092890049</v>
      </c>
      <c r="L52" s="41">
        <f t="shared" si="6"/>
        <v>0.18367145862091225</v>
      </c>
      <c r="M52" s="41">
        <f t="shared" si="6"/>
        <v>2.6088609744872957E-2</v>
      </c>
      <c r="N52" s="41">
        <f t="shared" si="6"/>
        <v>0.57853933039856176</v>
      </c>
      <c r="O52" s="67"/>
      <c r="P52" s="41">
        <f t="shared" si="13"/>
        <v>2.7938908005377032E-3</v>
      </c>
      <c r="R52" s="27">
        <f t="shared" si="21"/>
        <v>2.6268025538341124</v>
      </c>
      <c r="S52" s="27">
        <f t="shared" si="21"/>
        <v>1.7819431822537899</v>
      </c>
      <c r="T52" s="27">
        <f t="shared" si="21"/>
        <v>1.2134467731998821</v>
      </c>
      <c r="U52" s="27">
        <f t="shared" si="21"/>
        <v>0.82942222100715168</v>
      </c>
      <c r="V52" s="27">
        <f t="shared" si="21"/>
        <v>0.56901956223453243</v>
      </c>
      <c r="W52" s="27">
        <f t="shared" si="21"/>
        <v>0.39178225907885267</v>
      </c>
      <c r="X52" s="27">
        <f t="shared" si="21"/>
        <v>0.27070650041976446</v>
      </c>
      <c r="Y52" s="27">
        <f t="shared" si="21"/>
        <v>0.18769819667483559</v>
      </c>
    </row>
    <row r="53" spans="1:25" x14ac:dyDescent="0.25">
      <c r="A53" s="21">
        <v>41</v>
      </c>
      <c r="C53" s="25">
        <f t="shared" si="19"/>
        <v>8.4444059615573863</v>
      </c>
      <c r="D53" s="23">
        <f>($B$4/CommAndSportFishingValues!$I$18)*FishHarvestTimeTrends!AC62*((1+'OriginalBCACalculations$2012'!D$10)^MIN('OriginalBCACalculations$2012'!$A53,20))</f>
        <v>2.5705924732506036</v>
      </c>
      <c r="E53" s="23">
        <f>($B$5/CommAndSportFishingValues!$I$19)*FishHarvestTimeTrends!AD62*((1+'OriginalBCACalculations$2012'!E$10)^MIN('OriginalBCACalculations$2012'!$A53,20))</f>
        <v>0.36511845716443381</v>
      </c>
      <c r="F53" s="23">
        <f t="shared" si="20"/>
        <v>8.1006023063382919</v>
      </c>
      <c r="H53" s="22">
        <f t="shared" si="14"/>
        <v>3.9100000000000003E-2</v>
      </c>
      <c r="I53" s="22"/>
      <c r="J53" s="41"/>
      <c r="K53" s="41">
        <f t="shared" si="6"/>
        <v>0.56392064756079352</v>
      </c>
      <c r="L53" s="41">
        <f t="shared" si="6"/>
        <v>0.17166514479877437</v>
      </c>
      <c r="M53" s="41">
        <f t="shared" si="6"/>
        <v>2.438274968516459E-2</v>
      </c>
      <c r="N53" s="41">
        <f t="shared" si="6"/>
        <v>0.5409613084708047</v>
      </c>
      <c r="O53" s="67"/>
      <c r="P53" s="41">
        <f t="shared" si="13"/>
        <v>2.6111128976987882E-3</v>
      </c>
      <c r="R53" s="27">
        <f t="shared" si="21"/>
        <v>2.6310072751959428</v>
      </c>
      <c r="S53" s="27">
        <f t="shared" si="21"/>
        <v>1.7671242947500032</v>
      </c>
      <c r="T53" s="27">
        <f t="shared" si="21"/>
        <v>1.191557977218868</v>
      </c>
      <c r="U53" s="27">
        <f t="shared" si="21"/>
        <v>0.8065532783369701</v>
      </c>
      <c r="V53" s="27">
        <f t="shared" si="21"/>
        <v>0.54800999185181054</v>
      </c>
      <c r="W53" s="27">
        <f t="shared" si="21"/>
        <v>0.37372322354220255</v>
      </c>
      <c r="X53" s="27">
        <f t="shared" si="21"/>
        <v>0.25579228317154379</v>
      </c>
      <c r="Y53" s="27">
        <f t="shared" si="21"/>
        <v>0.17569966829164888</v>
      </c>
    </row>
    <row r="54" spans="1:25" x14ac:dyDescent="0.25">
      <c r="A54" s="21">
        <v>42</v>
      </c>
      <c r="C54" s="25">
        <f t="shared" si="19"/>
        <v>8.4444059615573863</v>
      </c>
      <c r="D54" s="23">
        <f>($B$4/CommAndSportFishingValues!$I$18)*FishHarvestTimeTrends!AC63*((1+'OriginalBCACalculations$2012'!D$10)^MIN('OriginalBCACalculations$2012'!$A54,20))</f>
        <v>2.5707358685717709</v>
      </c>
      <c r="E54" s="23">
        <f>($B$5/CommAndSportFishingValues!$I$19)*FishHarvestTimeTrends!AD63*((1+'OriginalBCACalculations$2012'!E$10)^MIN('OriginalBCACalculations$2012'!$A54,20))</f>
        <v>0.36513150619043427</v>
      </c>
      <c r="F54" s="23">
        <f t="shared" si="20"/>
        <v>8.1046526074914613</v>
      </c>
      <c r="H54" s="22">
        <f t="shared" si="14"/>
        <v>3.9100000000000003E-2</v>
      </c>
      <c r="I54" s="22"/>
      <c r="J54" s="41"/>
      <c r="K54" s="41">
        <f t="shared" si="6"/>
        <v>0.52702864258018089</v>
      </c>
      <c r="L54" s="41">
        <f t="shared" si="6"/>
        <v>0.16044366429248386</v>
      </c>
      <c r="M54" s="41">
        <f t="shared" si="6"/>
        <v>2.2788430938404467E-2</v>
      </c>
      <c r="N54" s="41">
        <f t="shared" si="6"/>
        <v>0.50582410198601879</v>
      </c>
      <c r="O54" s="67"/>
      <c r="P54" s="41">
        <f t="shared" si="13"/>
        <v>2.4402924277558769E-3</v>
      </c>
      <c r="R54" s="27">
        <f t="shared" si="21"/>
        <v>2.6352140206962797</v>
      </c>
      <c r="S54" s="27">
        <f t="shared" si="21"/>
        <v>1.7524255134353381</v>
      </c>
      <c r="T54" s="27">
        <f t="shared" si="21"/>
        <v>1.1700619332697004</v>
      </c>
      <c r="U54" s="27">
        <f t="shared" si="21"/>
        <v>0.78431348053154637</v>
      </c>
      <c r="V54" s="27">
        <f t="shared" si="21"/>
        <v>0.52777520274347678</v>
      </c>
      <c r="W54" s="27">
        <f t="shared" si="21"/>
        <v>0.35649597483529666</v>
      </c>
      <c r="X54" s="27">
        <f t="shared" si="21"/>
        <v>0.24169931337001838</v>
      </c>
      <c r="Y54" s="27">
        <f t="shared" si="21"/>
        <v>0.16446784706448209</v>
      </c>
    </row>
    <row r="55" spans="1:25" x14ac:dyDescent="0.25">
      <c r="A55" s="21">
        <v>43</v>
      </c>
      <c r="C55" s="25">
        <f t="shared" si="19"/>
        <v>8.4444059615573863</v>
      </c>
      <c r="D55" s="23">
        <f>($B$4/CommAndSportFishingValues!$I$18)*FishHarvestTimeTrends!AC64*((1+'OriginalBCACalculations$2012'!D$10)^MIN('OriginalBCACalculations$2012'!$A55,20))</f>
        <v>2.5708792638929401</v>
      </c>
      <c r="E55" s="23">
        <f>($B$5/CommAndSportFishingValues!$I$19)*FishHarvestTimeTrends!AD64*((1+'OriginalBCACalculations$2012'!E$10)^MIN('OriginalBCACalculations$2012'!$A55,20))</f>
        <v>0.36514455521643474</v>
      </c>
      <c r="F55" s="23">
        <f t="shared" si="20"/>
        <v>8.108704933795206</v>
      </c>
      <c r="H55" s="22">
        <f t="shared" si="14"/>
        <v>3.9100000000000003E-2</v>
      </c>
      <c r="I55" s="22"/>
      <c r="J55" s="41"/>
      <c r="K55" s="41">
        <f t="shared" si="6"/>
        <v>0.49255013325250552</v>
      </c>
      <c r="L55" s="41">
        <f t="shared" si="6"/>
        <v>0.14995571385024126</v>
      </c>
      <c r="M55" s="41">
        <f t="shared" si="6"/>
        <v>2.1298360138895075E-2</v>
      </c>
      <c r="N55" s="41">
        <f t="shared" si="6"/>
        <v>0.47296917199720723</v>
      </c>
      <c r="O55" s="67"/>
      <c r="P55" s="41">
        <f t="shared" si="13"/>
        <v>2.2806471287438101E-3</v>
      </c>
      <c r="R55" s="27">
        <f t="shared" si="21"/>
        <v>2.6394227913471937</v>
      </c>
      <c r="S55" s="27">
        <f t="shared" si="21"/>
        <v>1.7378458999981583</v>
      </c>
      <c r="T55" s="27">
        <f t="shared" si="21"/>
        <v>1.148951637661098</v>
      </c>
      <c r="U55" s="27">
        <f t="shared" si="21"/>
        <v>0.76268556167572665</v>
      </c>
      <c r="V55" s="27">
        <f t="shared" si="21"/>
        <v>0.50828666019905711</v>
      </c>
      <c r="W55" s="27">
        <f t="shared" si="21"/>
        <v>0.34006223244971967</v>
      </c>
      <c r="X55" s="27">
        <f t="shared" si="21"/>
        <v>0.22838239414601696</v>
      </c>
      <c r="Y55" s="27">
        <f t="shared" si="21"/>
        <v>0.15395375986258183</v>
      </c>
    </row>
    <row r="56" spans="1:25" x14ac:dyDescent="0.25">
      <c r="A56" s="21">
        <v>44</v>
      </c>
      <c r="C56" s="25">
        <f t="shared" si="19"/>
        <v>8.4444059615573863</v>
      </c>
      <c r="D56" s="23">
        <f>($B$4/CommAndSportFishingValues!$I$18)*FishHarvestTimeTrends!AC65*((1+'OriginalBCACalculations$2012'!D$10)^MIN('OriginalBCACalculations$2012'!$A56,20))</f>
        <v>2.5710226592141083</v>
      </c>
      <c r="E56" s="23">
        <f>($B$5/CommAndSportFishingValues!$I$19)*FishHarvestTimeTrends!AD65*((1+'OriginalBCACalculations$2012'!E$10)^MIN('OriginalBCACalculations$2012'!$A56,20))</f>
        <v>0.3651576042424351</v>
      </c>
      <c r="F56" s="23">
        <f t="shared" si="20"/>
        <v>8.1127592862621025</v>
      </c>
      <c r="H56" s="22">
        <f t="shared" si="14"/>
        <v>3.9100000000000003E-2</v>
      </c>
      <c r="I56" s="22"/>
      <c r="J56" s="41"/>
      <c r="K56" s="41">
        <f t="shared" si="6"/>
        <v>0.46032722733879011</v>
      </c>
      <c r="L56" s="41">
        <f t="shared" si="6"/>
        <v>0.14015334382656333</v>
      </c>
      <c r="M56" s="41">
        <f t="shared" si="6"/>
        <v>1.9905720813023831E-2</v>
      </c>
      <c r="N56" s="41">
        <f t="shared" si="6"/>
        <v>0.44224827718056609</v>
      </c>
      <c r="O56" s="67"/>
      <c r="P56" s="41">
        <f t="shared" si="13"/>
        <v>2.1314459147138407E-3</v>
      </c>
      <c r="R56" s="27">
        <f t="shared" si="21"/>
        <v>2.6436335881612596</v>
      </c>
      <c r="S56" s="27">
        <f t="shared" si="21"/>
        <v>1.7233845230523825</v>
      </c>
      <c r="T56" s="27">
        <f t="shared" si="21"/>
        <v>1.1282202106844175</v>
      </c>
      <c r="U56" s="27">
        <f t="shared" si="21"/>
        <v>0.74165272840356178</v>
      </c>
      <c r="V56" s="27">
        <f t="shared" si="21"/>
        <v>0.48951687894445162</v>
      </c>
      <c r="W56" s="27">
        <f t="shared" si="21"/>
        <v>0.32438547611039648</v>
      </c>
      <c r="X56" s="27">
        <f t="shared" si="21"/>
        <v>0.21579881457572703</v>
      </c>
      <c r="Y56" s="27">
        <f t="shared" si="21"/>
        <v>0.14411156039607695</v>
      </c>
    </row>
    <row r="57" spans="1:25" x14ac:dyDescent="0.25">
      <c r="A57" s="21">
        <v>45</v>
      </c>
      <c r="C57" s="25">
        <f t="shared" si="19"/>
        <v>8.4444059615573863</v>
      </c>
      <c r="D57" s="23">
        <f>($B$4/CommAndSportFishingValues!$I$18)*FishHarvestTimeTrends!AC66*((1+'OriginalBCACalculations$2012'!D$10)^MIN('OriginalBCACalculations$2012'!$A57,20))</f>
        <v>2.5711660545352761</v>
      </c>
      <c r="E57" s="23">
        <f>($B$5/CommAndSportFishingValues!$I$19)*FishHarvestTimeTrends!AD66*((1+'OriginalBCACalculations$2012'!E$10)^MIN('OriginalBCACalculations$2012'!$A57,20))</f>
        <v>0.36517065326843556</v>
      </c>
      <c r="F57" s="23">
        <f t="shared" si="20"/>
        <v>8.116815665905234</v>
      </c>
      <c r="H57" s="22">
        <f t="shared" si="14"/>
        <v>3.9100000000000003E-2</v>
      </c>
      <c r="I57" s="22"/>
      <c r="J57" s="41"/>
      <c r="K57" s="41">
        <f t="shared" si="6"/>
        <v>0.43021236199886936</v>
      </c>
      <c r="L57" s="41">
        <f t="shared" si="6"/>
        <v>0.1309917389628826</v>
      </c>
      <c r="M57" s="41">
        <f t="shared" si="6"/>
        <v>1.860414219667738E-2</v>
      </c>
      <c r="N57" s="41">
        <f t="shared" si="6"/>
        <v>0.41352280497117427</v>
      </c>
      <c r="O57" s="67"/>
      <c r="P57" s="41">
        <f t="shared" si="13"/>
        <v>1.9920055277699452E-3</v>
      </c>
      <c r="R57" s="27">
        <f t="shared" si="21"/>
        <v>2.6478464121515586</v>
      </c>
      <c r="S57" s="27">
        <f t="shared" si="21"/>
        <v>1.7090404580912038</v>
      </c>
      <c r="T57" s="27">
        <f t="shared" si="21"/>
        <v>1.1078608944380015</v>
      </c>
      <c r="U57" s="27">
        <f t="shared" si="21"/>
        <v>0.72119864700431902</v>
      </c>
      <c r="V57" s="27">
        <f t="shared" si="21"/>
        <v>0.47143938460495949</v>
      </c>
      <c r="W57" s="27">
        <f t="shared" si="21"/>
        <v>0.30943086490950644</v>
      </c>
      <c r="X57" s="27">
        <f t="shared" si="21"/>
        <v>0.20390821303027329</v>
      </c>
      <c r="Y57" s="27">
        <f t="shared" si="21"/>
        <v>0.1348983296596348</v>
      </c>
    </row>
    <row r="58" spans="1:25" x14ac:dyDescent="0.25">
      <c r="A58" s="21">
        <v>46</v>
      </c>
      <c r="C58" s="25">
        <f t="shared" si="19"/>
        <v>8.4444059615573863</v>
      </c>
      <c r="D58" s="23">
        <f>($B$4/CommAndSportFishingValues!$I$18)*FishHarvestTimeTrends!AC67*((1+'OriginalBCACalculations$2012'!D$10)^MIN('OriginalBCACalculations$2012'!$A58,20))</f>
        <v>2.5713094498564448</v>
      </c>
      <c r="E58" s="23">
        <f>($B$5/CommAndSportFishingValues!$I$19)*FishHarvestTimeTrends!AD67*((1+'OriginalBCACalculations$2012'!E$10)^MIN('OriginalBCACalculations$2012'!$A58,20))</f>
        <v>0.36518370229443597</v>
      </c>
      <c r="F58" s="23">
        <f t="shared" si="20"/>
        <v>8.1208740737381859</v>
      </c>
      <c r="H58" s="22">
        <f t="shared" si="14"/>
        <v>3.9100000000000003E-2</v>
      </c>
      <c r="I58" s="22"/>
      <c r="J58" s="41"/>
      <c r="K58" s="41">
        <f t="shared" si="6"/>
        <v>0.40206762803632645</v>
      </c>
      <c r="L58" s="41">
        <f t="shared" si="6"/>
        <v>0.12242901349812688</v>
      </c>
      <c r="M58" s="41">
        <f t="shared" si="6"/>
        <v>1.7387670091593813E-2</v>
      </c>
      <c r="N58" s="41">
        <f t="shared" si="6"/>
        <v>0.38666314614360725</v>
      </c>
      <c r="O58" s="67"/>
      <c r="P58" s="41">
        <f t="shared" si="13"/>
        <v>1.8616874091307897E-3</v>
      </c>
      <c r="R58" s="27">
        <f t="shared" si="21"/>
        <v>2.6520612643316799</v>
      </c>
      <c r="S58" s="27">
        <f t="shared" si="21"/>
        <v>1.6948127874410652</v>
      </c>
      <c r="T58" s="27">
        <f t="shared" si="21"/>
        <v>1.0878670506893002</v>
      </c>
      <c r="U58" s="27">
        <f t="shared" si="21"/>
        <v>0.70130743087912395</v>
      </c>
      <c r="V58" s="27">
        <f t="shared" si="21"/>
        <v>0.4540286765811089</v>
      </c>
      <c r="W58" s="27">
        <f t="shared" si="21"/>
        <v>0.29516516015182259</v>
      </c>
      <c r="X58" s="27">
        <f t="shared" si="21"/>
        <v>0.19267244803206127</v>
      </c>
      <c r="Y58" s="27">
        <f t="shared" si="21"/>
        <v>0.12627388910613224</v>
      </c>
    </row>
    <row r="59" spans="1:25" x14ac:dyDescent="0.25">
      <c r="A59" s="21">
        <v>47</v>
      </c>
      <c r="C59" s="25">
        <f t="shared" si="19"/>
        <v>8.4444059615573863</v>
      </c>
      <c r="D59" s="23">
        <f>($B$4/CommAndSportFishingValues!$I$18)*FishHarvestTimeTrends!AC68*((1+'OriginalBCACalculations$2012'!D$10)^MIN('OriginalBCACalculations$2012'!$A59,20))</f>
        <v>2.5714528451776126</v>
      </c>
      <c r="E59" s="23">
        <f>($B$5/CommAndSportFishingValues!$I$19)*FishHarvestTimeTrends!AD68*((1+'OriginalBCACalculations$2012'!E$10)^MIN('OriginalBCACalculations$2012'!$A59,20))</f>
        <v>0.36519675132043644</v>
      </c>
      <c r="F59" s="23">
        <f t="shared" si="20"/>
        <v>8.1249345107750539</v>
      </c>
      <c r="H59" s="22">
        <f t="shared" si="14"/>
        <v>3.9100000000000003E-2</v>
      </c>
      <c r="I59" s="22"/>
      <c r="J59" s="41"/>
      <c r="K59" s="41">
        <f t="shared" si="6"/>
        <v>0.37576413835170697</v>
      </c>
      <c r="L59" s="41">
        <f t="shared" si="6"/>
        <v>0.11442601967255556</v>
      </c>
      <c r="M59" s="41">
        <f t="shared" si="6"/>
        <v>1.6250739627332852E-2</v>
      </c>
      <c r="N59" s="41">
        <f t="shared" si="6"/>
        <v>0.36154811001558784</v>
      </c>
      <c r="O59" s="67"/>
      <c r="P59" s="41">
        <f t="shared" si="13"/>
        <v>1.7398947748885885E-3</v>
      </c>
      <c r="R59" s="27">
        <f t="shared" si="21"/>
        <v>2.6562781457157154</v>
      </c>
      <c r="S59" s="27">
        <f t="shared" si="21"/>
        <v>1.6807006002158724</v>
      </c>
      <c r="T59" s="27">
        <f t="shared" si="21"/>
        <v>1.0682321587741128</v>
      </c>
      <c r="U59" s="27">
        <f t="shared" si="21"/>
        <v>0.68196362833873458</v>
      </c>
      <c r="V59" s="27">
        <f t="shared" si="21"/>
        <v>0.43726019228558982</v>
      </c>
      <c r="W59" s="27">
        <f t="shared" si="21"/>
        <v>0.28155665174131356</v>
      </c>
      <c r="X59" s="27">
        <f t="shared" si="21"/>
        <v>0.18205547620578563</v>
      </c>
      <c r="Y59" s="27">
        <f t="shared" si="21"/>
        <v>0.11820062573865783</v>
      </c>
    </row>
    <row r="60" spans="1:25" x14ac:dyDescent="0.25">
      <c r="A60" s="21">
        <v>48</v>
      </c>
      <c r="C60" s="25">
        <f t="shared" si="19"/>
        <v>8.4444059615573863</v>
      </c>
      <c r="D60" s="23">
        <f>($B$4/CommAndSportFishingValues!$I$18)*FishHarvestTimeTrends!AC69*((1+'OriginalBCACalculations$2012'!D$10)^MIN('OriginalBCACalculations$2012'!$A60,20))</f>
        <v>2.5715962404987818</v>
      </c>
      <c r="E60" s="23">
        <f>($B$5/CommAndSportFishingValues!$I$19)*FishHarvestTimeTrends!AD69*((1+'OriginalBCACalculations$2012'!E$10)^MIN('OriginalBCACalculations$2012'!$A60,20))</f>
        <v>0.36520980034643691</v>
      </c>
      <c r="F60" s="23">
        <f t="shared" si="20"/>
        <v>8.1289969780304414</v>
      </c>
      <c r="H60" s="22">
        <f t="shared" si="14"/>
        <v>3.9100000000000003E-2</v>
      </c>
      <c r="I60" s="22"/>
      <c r="J60" s="41"/>
      <c r="K60" s="41">
        <f t="shared" si="6"/>
        <v>0.35118143771187565</v>
      </c>
      <c r="L60" s="41">
        <f t="shared" si="6"/>
        <v>0.10694616874935985</v>
      </c>
      <c r="M60" s="41">
        <f t="shared" si="6"/>
        <v>1.5188149804261064E-2</v>
      </c>
      <c r="N60" s="41">
        <f t="shared" si="6"/>
        <v>0.33806437763607067</v>
      </c>
      <c r="O60" s="67"/>
      <c r="P60" s="41">
        <f t="shared" si="13"/>
        <v>1.6260698830734472E-3</v>
      </c>
      <c r="R60" s="27">
        <f t="shared" si="21"/>
        <v>2.6604970573182722</v>
      </c>
      <c r="S60" s="27">
        <f t="shared" si="21"/>
        <v>1.6667029922714671</v>
      </c>
      <c r="T60" s="27">
        <f t="shared" si="21"/>
        <v>1.0489498135323301</v>
      </c>
      <c r="U60" s="27">
        <f t="shared" si="21"/>
        <v>0.66315221073320862</v>
      </c>
      <c r="V60" s="27">
        <f t="shared" si="21"/>
        <v>0.42111027269147971</v>
      </c>
      <c r="W60" s="27">
        <f t="shared" si="21"/>
        <v>0.26857508794663898</v>
      </c>
      <c r="X60" s="27">
        <f t="shared" si="21"/>
        <v>0.17202323693461263</v>
      </c>
      <c r="Y60" s="27">
        <f t="shared" si="21"/>
        <v>0.11064332836088933</v>
      </c>
    </row>
    <row r="61" spans="1:25" x14ac:dyDescent="0.25">
      <c r="A61" s="21">
        <v>49</v>
      </c>
      <c r="C61" s="25">
        <f t="shared" si="19"/>
        <v>8.4444059615573863</v>
      </c>
      <c r="D61" s="23">
        <f>($B$4/CommAndSportFishingValues!$I$18)*FishHarvestTimeTrends!AC70*((1+'OriginalBCACalculations$2012'!D$10)^MIN('OriginalBCACalculations$2012'!$A61,20))</f>
        <v>2.57173963581995</v>
      </c>
      <c r="E61" s="23">
        <f>($B$5/CommAndSportFishingValues!$I$19)*FishHarvestTimeTrends!AD70*((1+'OriginalBCACalculations$2012'!E$10)^MIN('OriginalBCACalculations$2012'!$A61,20))</f>
        <v>0.36522284937243726</v>
      </c>
      <c r="F61" s="23">
        <f t="shared" si="20"/>
        <v>8.1330614765194564</v>
      </c>
      <c r="H61" s="22">
        <f t="shared" si="14"/>
        <v>3.9100000000000003E-2</v>
      </c>
      <c r="I61" s="22"/>
      <c r="J61" s="41"/>
      <c r="K61" s="41">
        <f t="shared" si="6"/>
        <v>0.32820695113259407</v>
      </c>
      <c r="L61" s="41">
        <f t="shared" si="6"/>
        <v>9.9955263735762495E-2</v>
      </c>
      <c r="M61" s="41">
        <f t="shared" si="6"/>
        <v>1.4195039701096882E-2</v>
      </c>
      <c r="N61" s="41">
        <f t="shared" si="6"/>
        <v>0.31610599049055021</v>
      </c>
      <c r="O61" s="67"/>
      <c r="P61" s="41">
        <f t="shared" si="13"/>
        <v>1.5196914795078946E-3</v>
      </c>
      <c r="R61" s="27">
        <f t="shared" si="21"/>
        <v>2.6647180001544566</v>
      </c>
      <c r="S61" s="27">
        <f t="shared" si="21"/>
        <v>1.6528190661603255</v>
      </c>
      <c r="T61" s="27">
        <f t="shared" si="21"/>
        <v>1.030013723279523</v>
      </c>
      <c r="U61" s="27">
        <f t="shared" si="21"/>
        <v>0.64485856090446236</v>
      </c>
      <c r="V61" s="27">
        <f t="shared" si="21"/>
        <v>0.40555612914376016</v>
      </c>
      <c r="W61" s="27">
        <f t="shared" si="21"/>
        <v>0.25619160839060262</v>
      </c>
      <c r="X61" s="27">
        <f t="shared" si="21"/>
        <v>0.16254354335340826</v>
      </c>
      <c r="Y61" s="27">
        <f t="shared" si="21"/>
        <v>0.10356903427432337</v>
      </c>
    </row>
    <row r="62" spans="1:25" x14ac:dyDescent="0.25">
      <c r="A62" s="21">
        <v>50</v>
      </c>
      <c r="C62" s="25">
        <f t="shared" si="19"/>
        <v>8.4444059615573863</v>
      </c>
      <c r="D62" s="23">
        <f>($B$4/CommAndSportFishingValues!$I$18)*FishHarvestTimeTrends!AC71*((1+'OriginalBCACalculations$2012'!D$10)^MIN('OriginalBCACalculations$2012'!$A62,20))</f>
        <v>2.5718830311411178</v>
      </c>
      <c r="E62" s="23">
        <f>($B$5/CommAndSportFishingValues!$I$19)*FishHarvestTimeTrends!AD71*((1+'OriginalBCACalculations$2012'!E$10)^MIN('OriginalBCACalculations$2012'!$A62,20))</f>
        <v>0.36523589839843773</v>
      </c>
      <c r="F62" s="23">
        <f t="shared" si="20"/>
        <v>8.137128007257715</v>
      </c>
      <c r="H62" s="22">
        <f t="shared" si="14"/>
        <v>3.9100000000000003E-2</v>
      </c>
      <c r="I62" s="22"/>
      <c r="J62" s="41"/>
      <c r="K62" s="41">
        <f t="shared" si="6"/>
        <v>0.3067354683482188</v>
      </c>
      <c r="L62" s="41">
        <f t="shared" si="6"/>
        <v>9.342134303884346E-2</v>
      </c>
      <c r="M62" s="41">
        <f t="shared" si="6"/>
        <v>1.3266866238174748E-2</v>
      </c>
      <c r="N62" s="41">
        <f t="shared" si="6"/>
        <v>0.2955738724166313</v>
      </c>
      <c r="O62" s="67"/>
      <c r="P62" s="41">
        <f t="shared" si="13"/>
        <v>1.4202724107550417E-3</v>
      </c>
      <c r="R62" s="27">
        <f t="shared" ref="R62:Y77" si="22">(SUM($D62:$H62)-SUM($B62:$C62))/((1+R$10)^($A62-1))</f>
        <v>2.6689409752398827</v>
      </c>
      <c r="S62" s="27">
        <f t="shared" si="22"/>
        <v>1.6390479310865267</v>
      </c>
      <c r="T62" s="27">
        <f t="shared" si="22"/>
        <v>1.0114177078137969</v>
      </c>
      <c r="U62" s="27">
        <f t="shared" si="22"/>
        <v>0.62706846195298338</v>
      </c>
      <c r="V62" s="27">
        <f t="shared" si="22"/>
        <v>0.39057581138789249</v>
      </c>
      <c r="W62" s="27">
        <f t="shared" si="22"/>
        <v>0.2443786801157288</v>
      </c>
      <c r="X62" s="27">
        <f t="shared" si="22"/>
        <v>0.15358597933108692</v>
      </c>
      <c r="Y62" s="27">
        <f t="shared" si="22"/>
        <v>9.694688575618568E-2</v>
      </c>
    </row>
    <row r="63" spans="1:25" x14ac:dyDescent="0.25">
      <c r="A63" s="21">
        <v>51</v>
      </c>
      <c r="C63" s="25">
        <f t="shared" si="19"/>
        <v>8.4444059615573863</v>
      </c>
      <c r="D63" s="23">
        <f>($B$4/CommAndSportFishingValues!$I$18)*FishHarvestTimeTrends!AC72*((1+'OriginalBCACalculations$2012'!D$10)^MIN('OriginalBCACalculations$2012'!$A63,20))</f>
        <v>2.5718848695508276</v>
      </c>
      <c r="E63" s="23">
        <f>($B$5/CommAndSportFishingValues!$I$19)*FishHarvestTimeTrends!AD72*((1+'OriginalBCACalculations$2012'!E$10)^MIN('OriginalBCACalculations$2012'!$A63,20))</f>
        <v>0.36523609100859078</v>
      </c>
      <c r="F63" s="23">
        <f t="shared" si="20"/>
        <v>8.141196571261343</v>
      </c>
      <c r="H63" s="22">
        <f t="shared" si="14"/>
        <v>3.9100000000000003E-2</v>
      </c>
      <c r="I63" s="22"/>
      <c r="J63" s="41"/>
      <c r="K63" s="41">
        <f t="shared" si="6"/>
        <v>0.2866686620076811</v>
      </c>
      <c r="L63" s="41">
        <f t="shared" si="6"/>
        <v>8.7309728801333017E-2</v>
      </c>
      <c r="M63" s="41">
        <f t="shared" si="6"/>
        <v>1.2398946948192246E-2</v>
      </c>
      <c r="N63" s="41">
        <f t="shared" si="6"/>
        <v>0.27637538257274724</v>
      </c>
      <c r="O63" s="67"/>
      <c r="P63" s="41">
        <f t="shared" si="13"/>
        <v>1.3273573932290109E-3</v>
      </c>
      <c r="R63" s="27">
        <f t="shared" si="22"/>
        <v>2.673011570263375</v>
      </c>
      <c r="S63" s="27">
        <f t="shared" si="22"/>
        <v>1.6252948135629051</v>
      </c>
      <c r="T63" s="27">
        <f t="shared" si="22"/>
        <v>0.99309832760081662</v>
      </c>
      <c r="U63" s="27">
        <f t="shared" si="22"/>
        <v>0.60973286353700329</v>
      </c>
      <c r="V63" s="27">
        <f t="shared" si="22"/>
        <v>0.37612644886776847</v>
      </c>
      <c r="W63" s="27">
        <f t="shared" si="22"/>
        <v>0.23309657116726168</v>
      </c>
      <c r="X63" s="27">
        <f t="shared" si="22"/>
        <v>0.14511341926665866</v>
      </c>
      <c r="Y63" s="27">
        <f t="shared" si="22"/>
        <v>9.0742753707820423E-2</v>
      </c>
    </row>
    <row r="64" spans="1:25" x14ac:dyDescent="0.25">
      <c r="A64" s="21">
        <v>52</v>
      </c>
      <c r="C64" s="25">
        <f t="shared" si="19"/>
        <v>8.4444059615573863</v>
      </c>
      <c r="D64" s="23">
        <f>($B$4/CommAndSportFishingValues!$I$18)*FishHarvestTimeTrends!AC73*((1+'OriginalBCACalculations$2012'!D$10)^MIN('OriginalBCACalculations$2012'!$A64,20))</f>
        <v>2.5718867079605374</v>
      </c>
      <c r="E64" s="23">
        <f>($B$5/CommAndSportFishingValues!$I$19)*FishHarvestTimeTrends!AD73*((1+'OriginalBCACalculations$2012'!E$10)^MIN('OriginalBCACalculations$2012'!$A64,20))</f>
        <v>0.36523628361874383</v>
      </c>
      <c r="F64" s="23">
        <f t="shared" si="20"/>
        <v>8.1452671695469725</v>
      </c>
      <c r="H64" s="22">
        <f t="shared" si="14"/>
        <v>3.9100000000000003E-2</v>
      </c>
      <c r="I64" s="22"/>
      <c r="J64" s="41"/>
      <c r="K64" s="41">
        <f t="shared" si="6"/>
        <v>0.26791463739035615</v>
      </c>
      <c r="L64" s="41">
        <f t="shared" si="6"/>
        <v>8.1597935711423875E-2</v>
      </c>
      <c r="M64" s="41">
        <f t="shared" si="6"/>
        <v>1.1587806997079796E-2</v>
      </c>
      <c r="N64" s="41">
        <f t="shared" si="6"/>
        <v>0.25842389744302202</v>
      </c>
      <c r="O64" s="67"/>
      <c r="P64" s="41">
        <f t="shared" si="13"/>
        <v>1.2405209282514119E-3</v>
      </c>
      <c r="R64" s="27">
        <f t="shared" si="22"/>
        <v>2.677084199568867</v>
      </c>
      <c r="S64" s="27">
        <f t="shared" si="22"/>
        <v>1.6116545844546639</v>
      </c>
      <c r="T64" s="27">
        <f t="shared" si="22"/>
        <v>0.97510923817781803</v>
      </c>
      <c r="U64" s="27">
        <f t="shared" si="22"/>
        <v>0.59287559137373314</v>
      </c>
      <c r="V64" s="27">
        <f t="shared" si="22"/>
        <v>0.36221107614291059</v>
      </c>
      <c r="W64" s="27">
        <f t="shared" si="22"/>
        <v>0.22233497106788336</v>
      </c>
      <c r="X64" s="27">
        <f t="shared" si="22"/>
        <v>0.13710803362258533</v>
      </c>
      <c r="Y64" s="27">
        <f t="shared" si="22"/>
        <v>8.4935523689420936E-2</v>
      </c>
    </row>
    <row r="65" spans="1:25" x14ac:dyDescent="0.25">
      <c r="A65" s="21">
        <v>53</v>
      </c>
      <c r="C65" s="25">
        <f t="shared" si="19"/>
        <v>8.4444059615573863</v>
      </c>
      <c r="D65" s="23">
        <f>($B$4/CommAndSportFishingValues!$I$18)*FishHarvestTimeTrends!AC74*((1+'OriginalBCACalculations$2012'!D$10)^MIN('OriginalBCACalculations$2012'!$A65,20))</f>
        <v>2.5718885463702468</v>
      </c>
      <c r="E65" s="23">
        <f>($B$5/CommAndSportFishingValues!$I$19)*FishHarvestTimeTrends!AD74*((1+'OriginalBCACalculations$2012'!E$10)^MIN('OriginalBCACalculations$2012'!$A65,20))</f>
        <v>0.36523647622889699</v>
      </c>
      <c r="F65" s="23">
        <f t="shared" si="20"/>
        <v>8.1493398031317454</v>
      </c>
      <c r="H65" s="22">
        <f t="shared" si="14"/>
        <v>3.9100000000000003E-2</v>
      </c>
      <c r="I65" s="22"/>
      <c r="J65" s="41"/>
      <c r="K65" s="41">
        <f t="shared" si="6"/>
        <v>0.25038751157977213</v>
      </c>
      <c r="L65" s="41">
        <f t="shared" si="6"/>
        <v>7.6259807512546143E-2</v>
      </c>
      <c r="M65" s="41">
        <f t="shared" si="6"/>
        <v>1.0829731876634224E-2</v>
      </c>
      <c r="N65" s="41">
        <f t="shared" si="6"/>
        <v>0.24163841999228367</v>
      </c>
      <c r="O65" s="67"/>
      <c r="P65" s="41">
        <f t="shared" si="13"/>
        <v>1.1593653535059926E-3</v>
      </c>
      <c r="R65" s="27">
        <f t="shared" si="22"/>
        <v>2.6811588641735025</v>
      </c>
      <c r="S65" s="27">
        <f t="shared" si="22"/>
        <v>1.5981263450410887</v>
      </c>
      <c r="T65" s="27">
        <f t="shared" si="22"/>
        <v>0.95744451600568248</v>
      </c>
      <c r="U65" s="27">
        <f t="shared" si="22"/>
        <v>0.57648347531249999</v>
      </c>
      <c r="V65" s="27">
        <f t="shared" si="22"/>
        <v>0.34880998141803909</v>
      </c>
      <c r="W65" s="27">
        <f t="shared" si="22"/>
        <v>0.21206988259497883</v>
      </c>
      <c r="X65" s="27">
        <f t="shared" si="22"/>
        <v>0.12954407485428851</v>
      </c>
      <c r="Y65" s="27">
        <f t="shared" si="22"/>
        <v>7.9499813155197899E-2</v>
      </c>
    </row>
    <row r="66" spans="1:25" x14ac:dyDescent="0.25">
      <c r="A66" s="21">
        <v>54</v>
      </c>
      <c r="C66" s="25">
        <f t="shared" si="19"/>
        <v>8.4444059615573863</v>
      </c>
      <c r="D66" s="23">
        <f>($B$4/CommAndSportFishingValues!$I$18)*FishHarvestTimeTrends!AC75*((1+'OriginalBCACalculations$2012'!D$10)^MIN('OriginalBCACalculations$2012'!$A66,20))</f>
        <v>2.5718903847799557</v>
      </c>
      <c r="E66" s="23">
        <f>($B$5/CommAndSportFishingValues!$I$19)*FishHarvestTimeTrends!AD75*((1+'OriginalBCACalculations$2012'!E$10)^MIN('OriginalBCACalculations$2012'!$A66,20))</f>
        <v>0.36523666883905004</v>
      </c>
      <c r="F66" s="23">
        <f t="shared" si="20"/>
        <v>8.15341447303331</v>
      </c>
      <c r="H66" s="22">
        <f t="shared" si="14"/>
        <v>3.9100000000000003E-2</v>
      </c>
      <c r="I66" s="22"/>
      <c r="J66" s="41"/>
      <c r="K66" s="41">
        <f t="shared" si="6"/>
        <v>0.23400702016801128</v>
      </c>
      <c r="L66" s="41">
        <f t="shared" si="6"/>
        <v>7.1270899087627598E-2</v>
      </c>
      <c r="M66" s="41">
        <f t="shared" si="6"/>
        <v>1.0121250082031128E-2</v>
      </c>
      <c r="N66" s="41">
        <f t="shared" si="6"/>
        <v>0.22594321420773808</v>
      </c>
      <c r="O66" s="67"/>
      <c r="P66" s="41">
        <f t="shared" si="13"/>
        <v>1.0835190219682172E-3</v>
      </c>
      <c r="R66" s="27">
        <f t="shared" si="22"/>
        <v>2.6852355650949296</v>
      </c>
      <c r="S66" s="27">
        <f t="shared" si="22"/>
        <v>1.5847092034398567</v>
      </c>
      <c r="T66" s="27">
        <f t="shared" si="22"/>
        <v>0.94009834312567864</v>
      </c>
      <c r="U66" s="27">
        <f t="shared" si="22"/>
        <v>0.56054370698389833</v>
      </c>
      <c r="V66" s="27">
        <f t="shared" si="22"/>
        <v>0.33590417966112918</v>
      </c>
      <c r="W66" s="27">
        <f t="shared" si="22"/>
        <v>0.20227841405901251</v>
      </c>
      <c r="X66" s="27">
        <f t="shared" si="22"/>
        <v>0.12239721374097359</v>
      </c>
      <c r="Y66" s="27">
        <f t="shared" si="22"/>
        <v>7.4411862231353737E-2</v>
      </c>
    </row>
    <row r="67" spans="1:25" x14ac:dyDescent="0.25">
      <c r="A67" s="21">
        <v>55</v>
      </c>
      <c r="C67" s="25">
        <f t="shared" si="19"/>
        <v>8.4444059615573863</v>
      </c>
      <c r="D67" s="23">
        <f>($B$4/CommAndSportFishingValues!$I$18)*FishHarvestTimeTrends!AC76*((1+'OriginalBCACalculations$2012'!D$10)^MIN('OriginalBCACalculations$2012'!$A67,20))</f>
        <v>2.5718922231896655</v>
      </c>
      <c r="E67" s="23">
        <f>($B$5/CommAndSportFishingValues!$I$19)*FishHarvestTimeTrends!AD76*((1+'OriginalBCACalculations$2012'!E$10)^MIN('OriginalBCACalculations$2012'!$A67,20))</f>
        <v>0.36523686144920309</v>
      </c>
      <c r="F67" s="23">
        <f t="shared" si="20"/>
        <v>8.157491180269826</v>
      </c>
      <c r="H67" s="22">
        <f t="shared" si="14"/>
        <v>3.9100000000000003E-2</v>
      </c>
      <c r="I67" s="22"/>
      <c r="J67" s="41"/>
      <c r="K67" s="41">
        <f t="shared" si="6"/>
        <v>0.2186981496897302</v>
      </c>
      <c r="L67" s="41">
        <f t="shared" si="6"/>
        <v>6.6608364516531543E-2</v>
      </c>
      <c r="M67" s="41">
        <f t="shared" si="6"/>
        <v>9.4591172145273746E-3</v>
      </c>
      <c r="N67" s="41">
        <f t="shared" si="6"/>
        <v>0.21126746337835697</v>
      </c>
      <c r="O67" s="67"/>
      <c r="P67" s="41">
        <f t="shared" si="13"/>
        <v>1.0126345999702966E-3</v>
      </c>
      <c r="R67" s="27">
        <f t="shared" si="22"/>
        <v>2.6893143033513081</v>
      </c>
      <c r="S67" s="27">
        <f t="shared" si="22"/>
        <v>1.5714022745587053</v>
      </c>
      <c r="T67" s="27">
        <f t="shared" si="22"/>
        <v>0.92306500529128543</v>
      </c>
      <c r="U67" s="27">
        <f t="shared" si="22"/>
        <v>0.54504382988728761</v>
      </c>
      <c r="V67" s="27">
        <f t="shared" si="22"/>
        <v>0.32347538584292718</v>
      </c>
      <c r="W67" s="27">
        <f t="shared" si="22"/>
        <v>0.19293872841243342</v>
      </c>
      <c r="X67" s="27">
        <f t="shared" si="22"/>
        <v>0.11564446129704993</v>
      </c>
      <c r="Y67" s="27">
        <f t="shared" si="22"/>
        <v>6.964943001965597E-2</v>
      </c>
    </row>
    <row r="68" spans="1:25" x14ac:dyDescent="0.25">
      <c r="A68" s="21">
        <v>56</v>
      </c>
      <c r="C68" s="25">
        <f t="shared" si="19"/>
        <v>8.4444059615573863</v>
      </c>
      <c r="D68" s="23">
        <f>($B$4/CommAndSportFishingValues!$I$18)*FishHarvestTimeTrends!AC77*((1+'OriginalBCACalculations$2012'!D$10)^MIN('OriginalBCACalculations$2012'!$A68,20))</f>
        <v>2.5718940615993753</v>
      </c>
      <c r="E68" s="23">
        <f>($B$5/CommAndSportFishingValues!$I$19)*FishHarvestTimeTrends!AD77*((1+'OriginalBCACalculations$2012'!E$10)^MIN('OriginalBCACalculations$2012'!$A68,20))</f>
        <v>0.36523705405935625</v>
      </c>
      <c r="F68" s="23">
        <f t="shared" si="20"/>
        <v>8.1615699258599612</v>
      </c>
      <c r="H68" s="22">
        <f t="shared" si="14"/>
        <v>3.9100000000000003E-2</v>
      </c>
      <c r="I68" s="22"/>
      <c r="J68" s="41"/>
      <c r="K68" s="41">
        <f t="shared" si="6"/>
        <v>0.20439079410255159</v>
      </c>
      <c r="L68" s="41">
        <f t="shared" si="6"/>
        <v>6.2250852456764691E-2</v>
      </c>
      <c r="M68" s="41">
        <f t="shared" si="6"/>
        <v>8.8403011241658287E-3</v>
      </c>
      <c r="N68" s="41">
        <f t="shared" si="6"/>
        <v>0.19754495057013657</v>
      </c>
      <c r="O68" s="67"/>
      <c r="P68" s="41">
        <f t="shared" si="13"/>
        <v>9.4638747660775373E-4</v>
      </c>
      <c r="R68" s="27">
        <f t="shared" si="22"/>
        <v>2.6933950799613058</v>
      </c>
      <c r="S68" s="27">
        <f t="shared" si="22"/>
        <v>1.5582046800473988</v>
      </c>
      <c r="T68" s="27">
        <f t="shared" si="22"/>
        <v>0.90633889013278646</v>
      </c>
      <c r="U68" s="27">
        <f t="shared" si="22"/>
        <v>0.52997172974910578</v>
      </c>
      <c r="V68" s="27">
        <f t="shared" si="22"/>
        <v>0.31150598916044203</v>
      </c>
      <c r="W68" s="27">
        <f t="shared" si="22"/>
        <v>0.1840299946993075</v>
      </c>
      <c r="X68" s="27">
        <f t="shared" si="22"/>
        <v>0.10926409498050972</v>
      </c>
      <c r="Y68" s="27">
        <f t="shared" si="22"/>
        <v>6.5191697525123257E-2</v>
      </c>
    </row>
    <row r="69" spans="1:25" x14ac:dyDescent="0.25">
      <c r="A69" s="21">
        <v>57</v>
      </c>
      <c r="C69" s="25">
        <f t="shared" si="19"/>
        <v>8.4444059615573863</v>
      </c>
      <c r="D69" s="23">
        <f>($B$4/CommAndSportFishingValues!$I$18)*FishHarvestTimeTrends!AC78*((1+'OriginalBCACalculations$2012'!D$10)^MIN('OriginalBCACalculations$2012'!$A69,20))</f>
        <v>2.5718959000090842</v>
      </c>
      <c r="E69" s="23">
        <f>($B$5/CommAndSportFishingValues!$I$19)*FishHarvestTimeTrends!AD78*((1+'OriginalBCACalculations$2012'!E$10)^MIN('OriginalBCACalculations$2012'!$A69,20))</f>
        <v>0.3652372466695093</v>
      </c>
      <c r="F69" s="23">
        <f t="shared" si="20"/>
        <v>8.1656507108228915</v>
      </c>
      <c r="H69" s="22">
        <f t="shared" si="14"/>
        <v>3.9100000000000003E-2</v>
      </c>
      <c r="I69" s="22"/>
      <c r="J69" s="41"/>
      <c r="K69" s="41">
        <f t="shared" si="6"/>
        <v>0.1910194337407024</v>
      </c>
      <c r="L69" s="41">
        <f t="shared" si="6"/>
        <v>5.8178408368368302E-2</v>
      </c>
      <c r="M69" s="41">
        <f t="shared" si="6"/>
        <v>8.2619680244453621E-3</v>
      </c>
      <c r="N69" s="41">
        <f t="shared" si="6"/>
        <v>0.18471375985553426</v>
      </c>
      <c r="O69" s="67"/>
      <c r="P69" s="41">
        <f t="shared" si="13"/>
        <v>8.844742772035082E-4</v>
      </c>
      <c r="R69" s="27">
        <f t="shared" si="22"/>
        <v>2.6974778959440986</v>
      </c>
      <c r="S69" s="27">
        <f t="shared" si="22"/>
        <v>1.5451155482499837</v>
      </c>
      <c r="T69" s="27">
        <f t="shared" si="22"/>
        <v>0.88991448535405893</v>
      </c>
      <c r="U69" s="27">
        <f t="shared" si="22"/>
        <v>0.51531562514462625</v>
      </c>
      <c r="V69" s="27">
        <f t="shared" si="22"/>
        <v>0.29997902820829037</v>
      </c>
      <c r="W69" s="27">
        <f t="shared" si="22"/>
        <v>0.17553234173811141</v>
      </c>
      <c r="X69" s="27">
        <f t="shared" si="22"/>
        <v>0.10323558896195571</v>
      </c>
      <c r="Y69" s="27">
        <f t="shared" si="22"/>
        <v>6.1019176784849014E-2</v>
      </c>
    </row>
    <row r="70" spans="1:25" x14ac:dyDescent="0.25">
      <c r="A70" s="21">
        <v>58</v>
      </c>
      <c r="C70" s="25">
        <f t="shared" si="19"/>
        <v>8.4444059615573863</v>
      </c>
      <c r="D70" s="23">
        <f>($B$4/CommAndSportFishingValues!$I$18)*FishHarvestTimeTrends!AC79*((1+'OriginalBCACalculations$2012'!D$10)^MIN('OriginalBCACalculations$2012'!$A70,20))</f>
        <v>2.571897738418794</v>
      </c>
      <c r="E70" s="23">
        <f>($B$5/CommAndSportFishingValues!$I$19)*FishHarvestTimeTrends!AD79*((1+'OriginalBCACalculations$2012'!E$10)^MIN('OriginalBCACalculations$2012'!$A70,20))</f>
        <v>0.36523743927966251</v>
      </c>
      <c r="F70" s="23">
        <f t="shared" si="20"/>
        <v>8.1697335361783026</v>
      </c>
      <c r="H70" s="22">
        <f t="shared" si="14"/>
        <v>3.9100000000000003E-2</v>
      </c>
      <c r="I70" s="22"/>
      <c r="J70" s="41"/>
      <c r="K70" s="41">
        <f t="shared" si="6"/>
        <v>0.1785228352716845</v>
      </c>
      <c r="L70" s="41">
        <f t="shared" si="6"/>
        <v>5.4372383135246311E-2</v>
      </c>
      <c r="M70" s="41">
        <f t="shared" si="6"/>
        <v>7.7214695153701189E-3</v>
      </c>
      <c r="N70" s="41">
        <f t="shared" si="6"/>
        <v>0.17271599694902992</v>
      </c>
      <c r="O70" s="67"/>
      <c r="P70" s="41">
        <f t="shared" si="13"/>
        <v>8.2661147402197021E-4</v>
      </c>
      <c r="R70" s="27">
        <f t="shared" si="22"/>
        <v>2.7015627523193722</v>
      </c>
      <c r="S70" s="27">
        <f t="shared" si="22"/>
        <v>1.5321340141573467</v>
      </c>
      <c r="T70" s="27">
        <f t="shared" si="22"/>
        <v>0.87378637696100958</v>
      </c>
      <c r="U70" s="27">
        <f t="shared" si="22"/>
        <v>0.50106405837598256</v>
      </c>
      <c r="V70" s="27">
        <f t="shared" si="22"/>
        <v>0.28887816706309216</v>
      </c>
      <c r="W70" s="27">
        <f t="shared" si="22"/>
        <v>0.16742681393505951</v>
      </c>
      <c r="X70" s="27">
        <f t="shared" si="22"/>
        <v>9.7539548230953454E-2</v>
      </c>
      <c r="Y70" s="27">
        <f t="shared" si="22"/>
        <v>5.7113625801983807E-2</v>
      </c>
    </row>
    <row r="71" spans="1:25" x14ac:dyDescent="0.25">
      <c r="A71" s="21">
        <v>59</v>
      </c>
      <c r="C71" s="25">
        <f t="shared" si="19"/>
        <v>8.4444059615573863</v>
      </c>
      <c r="D71" s="23">
        <f>($B$4/CommAndSportFishingValues!$I$18)*FishHarvestTimeTrends!AC80*((1+'OriginalBCACalculations$2012'!D$10)^MIN('OriginalBCACalculations$2012'!$A71,20))</f>
        <v>2.5718995768285033</v>
      </c>
      <c r="E71" s="23">
        <f>($B$5/CommAndSportFishingValues!$I$19)*FishHarvestTimeTrends!AD80*((1+'OriginalBCACalculations$2012'!E$10)^MIN('OriginalBCACalculations$2012'!$A71,20))</f>
        <v>0.36523763188981545</v>
      </c>
      <c r="F71" s="23">
        <f t="shared" si="20"/>
        <v>8.1738184029463916</v>
      </c>
      <c r="H71" s="22">
        <f t="shared" si="14"/>
        <v>3.9100000000000003E-2</v>
      </c>
      <c r="I71" s="22"/>
      <c r="J71" s="41"/>
      <c r="K71" s="41">
        <f t="shared" si="6"/>
        <v>0.16684377128194813</v>
      </c>
      <c r="L71" s="41">
        <f t="shared" si="6"/>
        <v>5.08153476644762E-2</v>
      </c>
      <c r="M71" s="41">
        <f t="shared" si="6"/>
        <v>7.2163304554517327E-3</v>
      </c>
      <c r="N71" s="41">
        <f t="shared" si="6"/>
        <v>0.1614975279883219</v>
      </c>
      <c r="O71" s="67"/>
      <c r="P71" s="41">
        <f t="shared" si="13"/>
        <v>7.7253408787100026E-4</v>
      </c>
      <c r="R71" s="27">
        <f t="shared" si="22"/>
        <v>2.7056496501073237</v>
      </c>
      <c r="S71" s="27">
        <f t="shared" si="22"/>
        <v>1.5192592193600605</v>
      </c>
      <c r="T71" s="27">
        <f t="shared" si="22"/>
        <v>0.85794924752109836</v>
      </c>
      <c r="U71" s="27">
        <f t="shared" si="22"/>
        <v>0.48720588659948183</v>
      </c>
      <c r="V71" s="27">
        <f t="shared" si="22"/>
        <v>0.2781876722473911</v>
      </c>
      <c r="W71" s="27">
        <f t="shared" si="22"/>
        <v>0.15969532913004844</v>
      </c>
      <c r="X71" s="27">
        <f t="shared" si="22"/>
        <v>9.2157646328659956E-2</v>
      </c>
      <c r="Y71" s="27">
        <f t="shared" si="22"/>
        <v>5.345796891417269E-2</v>
      </c>
    </row>
    <row r="72" spans="1:25" x14ac:dyDescent="0.25">
      <c r="A72" s="21">
        <v>60</v>
      </c>
      <c r="C72" s="25">
        <f t="shared" si="19"/>
        <v>8.4444059615573863</v>
      </c>
      <c r="D72" s="23">
        <f>($B$4/CommAndSportFishingValues!$I$18)*FishHarvestTimeTrends!AC81*((1+'OriginalBCACalculations$2012'!D$10)^MIN('OriginalBCACalculations$2012'!$A72,20))</f>
        <v>2.5719014152382127</v>
      </c>
      <c r="E72" s="23">
        <f>($B$5/CommAndSportFishingValues!$I$19)*FishHarvestTimeTrends!AD81*((1+'OriginalBCACalculations$2012'!E$10)^MIN('OriginalBCACalculations$2012'!$A72,20))</f>
        <v>0.36523782449996861</v>
      </c>
      <c r="F72" s="23">
        <f t="shared" si="20"/>
        <v>8.177905312147864</v>
      </c>
      <c r="H72" s="22">
        <f t="shared" si="14"/>
        <v>3.9100000000000003E-2</v>
      </c>
      <c r="I72" s="22"/>
      <c r="J72" s="41"/>
      <c r="K72" s="41">
        <f t="shared" si="6"/>
        <v>0.15592875820742813</v>
      </c>
      <c r="L72" s="41">
        <f t="shared" si="6"/>
        <v>4.7491013072524006E-2</v>
      </c>
      <c r="M72" s="41">
        <f t="shared" si="6"/>
        <v>6.7442376271260283E-3</v>
      </c>
      <c r="N72" s="41">
        <f t="shared" si="6"/>
        <v>0.15100773528253833</v>
      </c>
      <c r="O72" s="67"/>
      <c r="P72" s="41">
        <f t="shared" si="13"/>
        <v>7.2199447464579456E-4</v>
      </c>
      <c r="R72" s="27">
        <f t="shared" si="22"/>
        <v>2.7097385903286586</v>
      </c>
      <c r="S72" s="27">
        <f t="shared" si="22"/>
        <v>1.5064903120015178</v>
      </c>
      <c r="T72" s="27">
        <f t="shared" si="22"/>
        <v>0.84239787445341452</v>
      </c>
      <c r="U72" s="27">
        <f t="shared" si="22"/>
        <v>0.47373027319541144</v>
      </c>
      <c r="V72" s="27">
        <f t="shared" si="22"/>
        <v>0.26789239054080044</v>
      </c>
      <c r="W72" s="27">
        <f t="shared" si="22"/>
        <v>0.1523206383817983</v>
      </c>
      <c r="X72" s="27">
        <f t="shared" si="22"/>
        <v>8.7072566507279681E-2</v>
      </c>
      <c r="Y72" s="27">
        <f t="shared" si="22"/>
        <v>5.0036222249406022E-2</v>
      </c>
    </row>
    <row r="73" spans="1:25" x14ac:dyDescent="0.25">
      <c r="A73" s="21">
        <v>61</v>
      </c>
      <c r="C73" s="25">
        <f t="shared" si="19"/>
        <v>8.4444059615573863</v>
      </c>
      <c r="D73" s="23">
        <f>($B$4/CommAndSportFishingValues!$I$18)*FishHarvestTimeTrends!AC82*((1+'OriginalBCACalculations$2012'!D$10)^MIN('OriginalBCACalculations$2012'!$A73,20))</f>
        <v>2.5719032536479225</v>
      </c>
      <c r="E73" s="23">
        <f>($B$5/CommAndSportFishingValues!$I$19)*FishHarvestTimeTrends!AD82*((1+'OriginalBCACalculations$2012'!E$10)^MIN('OriginalBCACalculations$2012'!$A73,20))</f>
        <v>0.36523801711012166</v>
      </c>
      <c r="F73" s="23">
        <f t="shared" si="20"/>
        <v>8.1819942648039383</v>
      </c>
      <c r="H73" s="22">
        <f t="shared" si="14"/>
        <v>3.9100000000000003E-2</v>
      </c>
      <c r="I73" s="22"/>
      <c r="J73" s="41"/>
      <c r="K73" s="41">
        <f t="shared" si="6"/>
        <v>0.14572781140881136</v>
      </c>
      <c r="L73" s="41">
        <f t="shared" si="6"/>
        <v>4.4384156092868547E-2</v>
      </c>
      <c r="M73" s="41">
        <f t="shared" si="6"/>
        <v>6.3030291436788968E-3</v>
      </c>
      <c r="N73" s="41">
        <f t="shared" si="6"/>
        <v>0.14119928892540151</v>
      </c>
      <c r="O73" s="67"/>
      <c r="P73" s="41">
        <f t="shared" si="13"/>
        <v>6.74761191257752E-4</v>
      </c>
      <c r="R73" s="27">
        <f t="shared" si="22"/>
        <v>2.7138295740045955</v>
      </c>
      <c r="S73" s="27">
        <f t="shared" si="22"/>
        <v>1.4938264467313636</v>
      </c>
      <c r="T73" s="27">
        <f t="shared" si="22"/>
        <v>0.82712712834877389</v>
      </c>
      <c r="U73" s="27">
        <f t="shared" si="22"/>
        <v>0.46062667937373852</v>
      </c>
      <c r="V73" s="27">
        <f t="shared" si="22"/>
        <v>0.25797772760726639</v>
      </c>
      <c r="W73" s="27">
        <f t="shared" si="22"/>
        <v>0.14528628760306139</v>
      </c>
      <c r="X73" s="27">
        <f t="shared" si="22"/>
        <v>8.2267946127864103E-2</v>
      </c>
      <c r="Y73" s="27">
        <f t="shared" si="22"/>
        <v>4.6833423944395353E-2</v>
      </c>
    </row>
    <row r="74" spans="1:25" x14ac:dyDescent="0.25">
      <c r="A74" s="21">
        <v>62</v>
      </c>
      <c r="C74" s="25">
        <f t="shared" si="19"/>
        <v>8.4444059615573863</v>
      </c>
      <c r="D74" s="23">
        <f>($B$4/CommAndSportFishingValues!$I$18)*FishHarvestTimeTrends!AC83*((1+'OriginalBCACalculations$2012'!D$10)^MIN('OriginalBCACalculations$2012'!$A74,20))</f>
        <v>2.5719050920576318</v>
      </c>
      <c r="E74" s="23">
        <f>($B$5/CommAndSportFishingValues!$I$19)*FishHarvestTimeTrends!AD83*((1+'OriginalBCACalculations$2012'!E$10)^MIN('OriginalBCACalculations$2012'!$A74,20))</f>
        <v>0.36523820972027482</v>
      </c>
      <c r="F74" s="23">
        <f t="shared" si="20"/>
        <v>8.1860852619363396</v>
      </c>
      <c r="H74" s="22">
        <f t="shared" si="14"/>
        <v>3.9100000000000003E-2</v>
      </c>
      <c r="I74" s="22"/>
      <c r="J74" s="41"/>
      <c r="K74" s="41">
        <f t="shared" si="6"/>
        <v>0.13619421626991715</v>
      </c>
      <c r="L74" s="41">
        <f t="shared" si="6"/>
        <v>4.1480549363450671E-2</v>
      </c>
      <c r="M74" s="41">
        <f t="shared" si="6"/>
        <v>5.8906845491718159E-3</v>
      </c>
      <c r="N74" s="41">
        <f t="shared" si="6"/>
        <v>0.13202793324286374</v>
      </c>
      <c r="O74" s="67"/>
      <c r="P74" s="41">
        <f t="shared" si="13"/>
        <v>6.3061793575490833E-4</v>
      </c>
      <c r="R74" s="27">
        <f t="shared" si="22"/>
        <v>2.7179226021568592</v>
      </c>
      <c r="S74" s="27">
        <f t="shared" si="22"/>
        <v>1.4812667846592074</v>
      </c>
      <c r="T74" s="27">
        <f t="shared" si="22"/>
        <v>0.81213197131931547</v>
      </c>
      <c r="U74" s="27">
        <f t="shared" si="22"/>
        <v>0.44788485600926842</v>
      </c>
      <c r="V74" s="27">
        <f t="shared" si="22"/>
        <v>0.24842962740847155</v>
      </c>
      <c r="W74" s="27">
        <f t="shared" si="22"/>
        <v>0.13857658096085898</v>
      </c>
      <c r="X74" s="27">
        <f t="shared" si="22"/>
        <v>7.7728324118329209E-2</v>
      </c>
      <c r="Y74" s="27">
        <f t="shared" si="22"/>
        <v>4.3835568821323979E-2</v>
      </c>
    </row>
    <row r="75" spans="1:25" x14ac:dyDescent="0.25">
      <c r="A75" s="21">
        <v>63</v>
      </c>
      <c r="C75" s="25">
        <f t="shared" si="19"/>
        <v>8.4444059615573863</v>
      </c>
      <c r="D75" s="23">
        <f>($B$4/CommAndSportFishingValues!$I$18)*FishHarvestTimeTrends!AC84*((1+'OriginalBCACalculations$2012'!D$10)^MIN('OriginalBCACalculations$2012'!$A75,20))</f>
        <v>2.5719069304673412</v>
      </c>
      <c r="E75" s="23">
        <f>($B$5/CommAndSportFishingValues!$I$19)*FishHarvestTimeTrends!AD84*((1+'OriginalBCACalculations$2012'!E$10)^MIN('OriginalBCACalculations$2012'!$A75,20))</f>
        <v>0.36523840233042781</v>
      </c>
      <c r="F75" s="23">
        <f t="shared" si="20"/>
        <v>8.1901783045673078</v>
      </c>
      <c r="H75" s="22">
        <f t="shared" si="14"/>
        <v>3.9100000000000003E-2</v>
      </c>
      <c r="I75" s="22"/>
      <c r="J75" s="41"/>
      <c r="K75" s="41">
        <f t="shared" si="6"/>
        <v>0.12728431427095063</v>
      </c>
      <c r="L75" s="41">
        <f t="shared" si="6"/>
        <v>3.8766896274710361E-2</v>
      </c>
      <c r="M75" s="41">
        <f t="shared" si="6"/>
        <v>5.5053155660309081E-3</v>
      </c>
      <c r="N75" s="41">
        <f t="shared" si="6"/>
        <v>0.1234522871116684</v>
      </c>
      <c r="O75" s="67"/>
      <c r="P75" s="41">
        <f t="shared" si="13"/>
        <v>5.8936255678028828E-4</v>
      </c>
      <c r="R75" s="27">
        <f t="shared" si="22"/>
        <v>2.7220176758076899</v>
      </c>
      <c r="S75" s="27">
        <f t="shared" si="22"/>
        <v>1.4688104933086321</v>
      </c>
      <c r="T75" s="27">
        <f t="shared" si="22"/>
        <v>0.79740745537708446</v>
      </c>
      <c r="U75" s="27">
        <f t="shared" si="22"/>
        <v>0.43549483570001585</v>
      </c>
      <c r="V75" s="27">
        <f t="shared" si="22"/>
        <v>0.23923455237450866</v>
      </c>
      <c r="W75" s="27">
        <f t="shared" si="22"/>
        <v>0.13217654596061648</v>
      </c>
      <c r="X75" s="27">
        <f t="shared" si="22"/>
        <v>7.3439091323360739E-2</v>
      </c>
      <c r="Y75" s="27">
        <f t="shared" si="22"/>
        <v>4.1029547238239331E-2</v>
      </c>
    </row>
    <row r="76" spans="1:25" x14ac:dyDescent="0.25">
      <c r="A76" s="21">
        <v>64</v>
      </c>
      <c r="C76" s="25">
        <f t="shared" si="19"/>
        <v>8.4444059615573863</v>
      </c>
      <c r="D76" s="23">
        <f>($B$4/CommAndSportFishingValues!$I$18)*FishHarvestTimeTrends!AC85*((1+'OriginalBCACalculations$2012'!D$10)^MIN('OriginalBCACalculations$2012'!$A76,20))</f>
        <v>2.5719087688770506</v>
      </c>
      <c r="E76" s="23">
        <f>($B$5/CommAndSportFishingValues!$I$19)*FishHarvestTimeTrends!AD85*((1+'OriginalBCACalculations$2012'!E$10)^MIN('OriginalBCACalculations$2012'!$A76,20))</f>
        <v>0.36523859494058097</v>
      </c>
      <c r="F76" s="23">
        <f t="shared" si="20"/>
        <v>8.1942733937195911</v>
      </c>
      <c r="H76" s="22">
        <f t="shared" si="14"/>
        <v>3.9100000000000003E-2</v>
      </c>
      <c r="I76" s="22"/>
      <c r="J76" s="41"/>
      <c r="K76" s="41">
        <f t="shared" si="6"/>
        <v>0.11895730305696318</v>
      </c>
      <c r="L76" s="41">
        <f t="shared" si="6"/>
        <v>3.623077007985806E-2</v>
      </c>
      <c r="M76" s="41">
        <f t="shared" si="6"/>
        <v>5.1451574479293638E-3</v>
      </c>
      <c r="N76" s="41">
        <f t="shared" si="6"/>
        <v>0.11543365724787309</v>
      </c>
      <c r="O76" s="67"/>
      <c r="P76" s="41">
        <f t="shared" si="13"/>
        <v>5.5080612783204501E-4</v>
      </c>
      <c r="R76" s="27">
        <f t="shared" si="22"/>
        <v>2.7261147959798357</v>
      </c>
      <c r="S76" s="27">
        <f t="shared" si="22"/>
        <v>1.4564567465714822</v>
      </c>
      <c r="T76" s="27">
        <f t="shared" si="22"/>
        <v>0.78294872084109868</v>
      </c>
      <c r="U76" s="27">
        <f t="shared" si="22"/>
        <v>0.42344692504269926</v>
      </c>
      <c r="V76" s="27">
        <f t="shared" si="22"/>
        <v>0.23037946430400794</v>
      </c>
      <c r="W76" s="27">
        <f t="shared" si="22"/>
        <v>0.12607190013678676</v>
      </c>
      <c r="X76" s="27">
        <f t="shared" si="22"/>
        <v>6.9386443587126881E-2</v>
      </c>
      <c r="Y76" s="27">
        <f t="shared" si="22"/>
        <v>3.8403087846529377E-2</v>
      </c>
    </row>
    <row r="77" spans="1:25" x14ac:dyDescent="0.25">
      <c r="A77" s="21">
        <v>65</v>
      </c>
      <c r="C77" s="25">
        <f t="shared" si="19"/>
        <v>8.4444059615573863</v>
      </c>
      <c r="D77" s="23">
        <f>($B$4/CommAndSportFishingValues!$I$18)*FishHarvestTimeTrends!AC86*((1+'OriginalBCACalculations$2012'!D$10)^MIN('OriginalBCACalculations$2012'!$A77,20))</f>
        <v>2.5719106072867604</v>
      </c>
      <c r="E77" s="23">
        <f>($B$5/CommAndSportFishingValues!$I$19)*FishHarvestTimeTrends!AD86*((1+'OriginalBCACalculations$2012'!E$10)^MIN('OriginalBCACalculations$2012'!$A77,20))</f>
        <v>0.36523878755073402</v>
      </c>
      <c r="F77" s="23">
        <f t="shared" si="20"/>
        <v>8.1983705304164509</v>
      </c>
      <c r="H77" s="22">
        <f t="shared" si="14"/>
        <v>3.9100000000000003E-2</v>
      </c>
      <c r="I77" s="22"/>
      <c r="J77" s="41"/>
      <c r="K77" s="41">
        <f t="shared" ref="K77:N112" si="23">C77/((1+$M$9)^($A77-1))</f>
        <v>0.11117504958594691</v>
      </c>
      <c r="L77" s="41">
        <f t="shared" si="23"/>
        <v>3.3860556988545641E-2</v>
      </c>
      <c r="M77" s="41">
        <f t="shared" si="23"/>
        <v>4.8085608983648625E-3</v>
      </c>
      <c r="N77" s="41">
        <f t="shared" si="23"/>
        <v>0.10793586362289444</v>
      </c>
      <c r="O77" s="67"/>
      <c r="P77" s="41">
        <f t="shared" si="13"/>
        <v>5.1477208208602345E-4</v>
      </c>
      <c r="R77" s="27">
        <f t="shared" si="22"/>
        <v>2.7302139636965581</v>
      </c>
      <c r="S77" s="27">
        <f t="shared" si="22"/>
        <v>1.4442047246624379</v>
      </c>
      <c r="T77" s="27">
        <f t="shared" si="22"/>
        <v>0.76875099477240127</v>
      </c>
      <c r="U77" s="27">
        <f t="shared" si="22"/>
        <v>0.4117316971194464</v>
      </c>
      <c r="V77" s="27">
        <f t="shared" si="22"/>
        <v>0.22185180596692572</v>
      </c>
      <c r="W77" s="27">
        <f t="shared" si="22"/>
        <v>0.12024901927611416</v>
      </c>
      <c r="X77" s="27">
        <f t="shared" si="22"/>
        <v>6.5557337418467143E-2</v>
      </c>
      <c r="Y77" s="27">
        <f t="shared" si="22"/>
        <v>3.5944704005944038E-2</v>
      </c>
    </row>
    <row r="78" spans="1:25" x14ac:dyDescent="0.25">
      <c r="A78" s="21">
        <v>66</v>
      </c>
      <c r="C78" s="25">
        <f t="shared" si="19"/>
        <v>8.4444059615573863</v>
      </c>
      <c r="D78" s="23">
        <f>($B$4/CommAndSportFishingValues!$I$18)*FishHarvestTimeTrends!AC87*((1+'OriginalBCACalculations$2012'!D$10)^MIN('OriginalBCACalculations$2012'!$A78,20))</f>
        <v>2.5719124456964697</v>
      </c>
      <c r="E78" s="23">
        <f>($B$5/CommAndSportFishingValues!$I$19)*FishHarvestTimeTrends!AD87*((1+'OriginalBCACalculations$2012'!E$10)^MIN('OriginalBCACalculations$2012'!$A78,20))</f>
        <v>0.36523898016088713</v>
      </c>
      <c r="F78" s="23">
        <f t="shared" si="20"/>
        <v>8.2024697156816586</v>
      </c>
      <c r="H78" s="22">
        <f t="shared" si="14"/>
        <v>3.9100000000000003E-2</v>
      </c>
      <c r="I78" s="22"/>
      <c r="J78" s="41"/>
      <c r="K78" s="41">
        <f t="shared" si="23"/>
        <v>0.10390191550088496</v>
      </c>
      <c r="L78" s="41">
        <f t="shared" si="23"/>
        <v>3.1645402983343167E-2</v>
      </c>
      <c r="M78" s="41">
        <f t="shared" si="23"/>
        <v>4.4939845179242212E-3</v>
      </c>
      <c r="N78" s="41">
        <f t="shared" si="23"/>
        <v>0.10092507621935128</v>
      </c>
      <c r="O78" s="67"/>
      <c r="P78" s="41">
        <f t="shared" si="13"/>
        <v>4.8109540381871345E-4</v>
      </c>
      <c r="R78" s="27">
        <f t="shared" ref="R78:Y93" si="24">(SUM($D78:$H78)-SUM($B78:$C78))/((1+R$10)^($A78-1))</f>
        <v>2.7343151799816283</v>
      </c>
      <c r="S78" s="27">
        <f t="shared" si="24"/>
        <v>1.4320536140738787</v>
      </c>
      <c r="T78" s="27">
        <f t="shared" si="24"/>
        <v>0.75480958943661625</v>
      </c>
      <c r="U78" s="27">
        <f t="shared" si="24"/>
        <v>0.40033998418994848</v>
      </c>
      <c r="V78" s="27">
        <f t="shared" si="24"/>
        <v>0.21363948338418015</v>
      </c>
      <c r="W78" s="27">
        <f t="shared" si="24"/>
        <v>0.11469490710307594</v>
      </c>
      <c r="X78" s="27">
        <f t="shared" si="24"/>
        <v>6.1939448096488416E-2</v>
      </c>
      <c r="Y78" s="27">
        <f t="shared" si="24"/>
        <v>3.3643643623552419E-2</v>
      </c>
    </row>
    <row r="79" spans="1:25" x14ac:dyDescent="0.25">
      <c r="A79" s="21">
        <v>67</v>
      </c>
      <c r="C79" s="25">
        <f t="shared" si="19"/>
        <v>8.4444059615573863</v>
      </c>
      <c r="D79" s="23">
        <f>($B$4/CommAndSportFishingValues!$I$18)*FishHarvestTimeTrends!AC88*((1+'OriginalBCACalculations$2012'!D$10)^MIN('OriginalBCACalculations$2012'!$A79,20))</f>
        <v>2.5719142841061791</v>
      </c>
      <c r="E79" s="23">
        <f>($B$5/CommAndSportFishingValues!$I$19)*FishHarvestTimeTrends!AD88*((1+'OriginalBCACalculations$2012'!E$10)^MIN('OriginalBCACalculations$2012'!$A79,20))</f>
        <v>0.36523917277104023</v>
      </c>
      <c r="F79" s="23">
        <f t="shared" si="20"/>
        <v>8.2065709505394988</v>
      </c>
      <c r="H79" s="22">
        <f t="shared" si="14"/>
        <v>3.9100000000000003E-2</v>
      </c>
      <c r="I79" s="22"/>
      <c r="J79" s="41"/>
      <c r="K79" s="41">
        <f t="shared" si="23"/>
        <v>9.7104593926060703E-2</v>
      </c>
      <c r="L79" s="41">
        <f t="shared" si="23"/>
        <v>2.9575164115476241E-2</v>
      </c>
      <c r="M79" s="41">
        <f t="shared" si="23"/>
        <v>4.1999877456485035E-3</v>
      </c>
      <c r="N79" s="41">
        <f t="shared" si="23"/>
        <v>9.4369662390150419E-2</v>
      </c>
      <c r="O79" s="67"/>
      <c r="P79" s="41">
        <f t="shared" si="13"/>
        <v>4.4962187272776959E-4</v>
      </c>
      <c r="R79" s="27">
        <f t="shared" si="24"/>
        <v>2.738418445859331</v>
      </c>
      <c r="S79" s="27">
        <f t="shared" si="24"/>
        <v>1.4200026075310239</v>
      </c>
      <c r="T79" s="27">
        <f t="shared" si="24"/>
        <v>0.74111990079352519</v>
      </c>
      <c r="U79" s="27">
        <f t="shared" si="24"/>
        <v>0.38926287058346776</v>
      </c>
      <c r="V79" s="27">
        <f t="shared" si="24"/>
        <v>0.20573084875927047</v>
      </c>
      <c r="W79" s="27">
        <f t="shared" si="24"/>
        <v>0.10939716636028068</v>
      </c>
      <c r="X79" s="27">
        <f t="shared" si="24"/>
        <v>5.8521130082312196E-2</v>
      </c>
      <c r="Y79" s="27">
        <f t="shared" si="24"/>
        <v>3.1489842197942215E-2</v>
      </c>
    </row>
    <row r="80" spans="1:25" x14ac:dyDescent="0.25">
      <c r="A80" s="21">
        <v>68</v>
      </c>
      <c r="C80" s="25">
        <f t="shared" si="19"/>
        <v>8.4444059615573863</v>
      </c>
      <c r="D80" s="23">
        <f>($B$4/CommAndSportFishingValues!$I$18)*FishHarvestTimeTrends!AC89*((1+'OriginalBCACalculations$2012'!D$10)^MIN('OriginalBCACalculations$2012'!$A80,20))</f>
        <v>2.5719161225158889</v>
      </c>
      <c r="E80" s="23">
        <f>($B$5/CommAndSportFishingValues!$I$19)*FishHarvestTimeTrends!AD89*((1+'OriginalBCACalculations$2012'!E$10)^MIN('OriginalBCACalculations$2012'!$A80,20))</f>
        <v>0.36523936538119328</v>
      </c>
      <c r="F80" s="23">
        <f t="shared" si="20"/>
        <v>8.2106742360147678</v>
      </c>
      <c r="H80" s="22">
        <f t="shared" si="14"/>
        <v>3.9100000000000003E-2</v>
      </c>
      <c r="I80" s="22"/>
      <c r="J80" s="41"/>
      <c r="K80" s="41">
        <f t="shared" si="23"/>
        <v>9.0751956940243655E-2</v>
      </c>
      <c r="L80" s="41">
        <f t="shared" si="23"/>
        <v>2.7640360052210666E-2</v>
      </c>
      <c r="M80" s="41">
        <f t="shared" si="23"/>
        <v>3.9252242621744919E-3</v>
      </c>
      <c r="N80" s="41">
        <f t="shared" si="23"/>
        <v>8.8240044132098586E-2</v>
      </c>
      <c r="O80" s="67"/>
      <c r="P80" s="41">
        <f t="shared" si="13"/>
        <v>4.2020735768950429E-4</v>
      </c>
      <c r="R80" s="27">
        <f t="shared" si="24"/>
        <v>2.7425237623544625</v>
      </c>
      <c r="S80" s="27">
        <f t="shared" si="24"/>
        <v>1.408050903947357</v>
      </c>
      <c r="T80" s="27">
        <f t="shared" si="24"/>
        <v>0.72767740701319605</v>
      </c>
      <c r="U80" s="27">
        <f t="shared" si="24"/>
        <v>0.378491685785245</v>
      </c>
      <c r="V80" s="27">
        <f t="shared" si="24"/>
        <v>0.1981146840379259</v>
      </c>
      <c r="W80" s="27">
        <f t="shared" si="24"/>
        <v>0.10434397121968618</v>
      </c>
      <c r="X80" s="27">
        <f t="shared" si="24"/>
        <v>5.5291379610096857E-2</v>
      </c>
      <c r="Y80" s="27">
        <f t="shared" si="24"/>
        <v>2.9473878863929579E-2</v>
      </c>
    </row>
    <row r="81" spans="1:25" x14ac:dyDescent="0.25">
      <c r="A81" s="21">
        <v>69</v>
      </c>
      <c r="C81" s="25">
        <f t="shared" si="19"/>
        <v>8.4444059615573863</v>
      </c>
      <c r="D81" s="23">
        <f>($B$4/CommAndSportFishingValues!$I$18)*FishHarvestTimeTrends!AC90*((1+'OriginalBCACalculations$2012'!D$10)^MIN('OriginalBCACalculations$2012'!$A81,20))</f>
        <v>2.5719179609255978</v>
      </c>
      <c r="E81" s="23">
        <f>($B$5/CommAndSportFishingValues!$I$19)*FishHarvestTimeTrends!AD90*((1+'OriginalBCACalculations$2012'!E$10)^MIN('OriginalBCACalculations$2012'!$A81,20))</f>
        <v>0.36523955799134644</v>
      </c>
      <c r="F81" s="23">
        <f t="shared" si="20"/>
        <v>8.2147795731327751</v>
      </c>
      <c r="H81" s="22">
        <f t="shared" si="14"/>
        <v>3.9100000000000003E-2</v>
      </c>
      <c r="I81" s="22"/>
      <c r="J81" s="41"/>
      <c r="K81" s="41">
        <f t="shared" si="23"/>
        <v>8.481491302826509E-2</v>
      </c>
      <c r="L81" s="41">
        <f t="shared" si="23"/>
        <v>2.5832130663162346E-2</v>
      </c>
      <c r="M81" s="41">
        <f t="shared" si="23"/>
        <v>3.6684358244431043E-3</v>
      </c>
      <c r="N81" s="41">
        <f t="shared" si="23"/>
        <v>8.2508564630060399E-2</v>
      </c>
      <c r="O81" s="67"/>
      <c r="P81" s="41">
        <f t="shared" si="13"/>
        <v>3.9271715671916288E-4</v>
      </c>
      <c r="R81" s="27">
        <f t="shared" si="24"/>
        <v>2.7466311304923323</v>
      </c>
      <c r="S81" s="27">
        <f t="shared" si="24"/>
        <v>1.3961977083803296</v>
      </c>
      <c r="T81" s="27">
        <f t="shared" si="24"/>
        <v>0.71447766701820392</v>
      </c>
      <c r="U81" s="27">
        <f t="shared" si="24"/>
        <v>0.36801799771200988</v>
      </c>
      <c r="V81" s="27">
        <f t="shared" si="24"/>
        <v>0.19078018507270952</v>
      </c>
      <c r="W81" s="27">
        <f t="shared" si="24"/>
        <v>9.952404096344844E-2</v>
      </c>
      <c r="X81" s="27">
        <f t="shared" si="24"/>
        <v>5.223979933743636E-2</v>
      </c>
      <c r="Y81" s="27">
        <f t="shared" si="24"/>
        <v>2.7586935246119916E-2</v>
      </c>
    </row>
    <row r="82" spans="1:25" x14ac:dyDescent="0.25">
      <c r="A82" s="21">
        <v>70</v>
      </c>
      <c r="C82" s="25">
        <f t="shared" si="19"/>
        <v>8.4444059615573863</v>
      </c>
      <c r="D82" s="23">
        <f>($B$4/CommAndSportFishingValues!$I$18)*FishHarvestTimeTrends!AC91*((1+'OriginalBCACalculations$2012'!D$10)^MIN('OriginalBCACalculations$2012'!$A82,20))</f>
        <v>2.5719197993353076</v>
      </c>
      <c r="E82" s="23">
        <f>($B$5/CommAndSportFishingValues!$I$19)*FishHarvestTimeTrends!AD91*((1+'OriginalBCACalculations$2012'!E$10)^MIN('OriginalBCACalculations$2012'!$A82,20))</f>
        <v>0.36523975060149949</v>
      </c>
      <c r="F82" s="23">
        <f t="shared" si="20"/>
        <v>8.2188869629193402</v>
      </c>
      <c r="H82" s="22">
        <f t="shared" si="14"/>
        <v>3.9100000000000003E-2</v>
      </c>
      <c r="I82" s="22"/>
      <c r="J82" s="41"/>
      <c r="K82" s="41">
        <f t="shared" si="23"/>
        <v>7.9266273858191669E-2</v>
      </c>
      <c r="L82" s="41">
        <f t="shared" si="23"/>
        <v>2.4142195446726147E-2</v>
      </c>
      <c r="M82" s="41">
        <f t="shared" si="23"/>
        <v>3.4284465037415931E-3</v>
      </c>
      <c r="N82" s="41">
        <f t="shared" si="23"/>
        <v>7.7149363469509735E-2</v>
      </c>
      <c r="O82" s="67"/>
      <c r="P82" s="41">
        <f t="shared" si="13"/>
        <v>3.6702538011136718E-4</v>
      </c>
      <c r="R82" s="27">
        <f t="shared" si="24"/>
        <v>2.7507405512987599</v>
      </c>
      <c r="S82" s="27">
        <f t="shared" si="24"/>
        <v>1.384442231987344</v>
      </c>
      <c r="T82" s="27">
        <f t="shared" si="24"/>
        <v>0.70151631905148581</v>
      </c>
      <c r="U82" s="27">
        <f t="shared" si="24"/>
        <v>0.35783360617143484</v>
      </c>
      <c r="V82" s="27">
        <f t="shared" si="24"/>
        <v>0.18371694637034969</v>
      </c>
      <c r="W82" s="27">
        <f t="shared" si="24"/>
        <v>9.4926614876022358E-2</v>
      </c>
      <c r="X82" s="27">
        <f t="shared" si="24"/>
        <v>4.935656494182853E-2</v>
      </c>
      <c r="Y82" s="27">
        <f t="shared" si="24"/>
        <v>2.5820756941897158E-2</v>
      </c>
    </row>
    <row r="83" spans="1:25" x14ac:dyDescent="0.25">
      <c r="A83" s="21">
        <v>71</v>
      </c>
      <c r="C83" s="25">
        <f t="shared" si="19"/>
        <v>8.4444059615573863</v>
      </c>
      <c r="D83" s="23">
        <f>($B$4/CommAndSportFishingValues!$I$18)*FishHarvestTimeTrends!AC92*((1+'OriginalBCACalculations$2012'!D$10)^MIN('OriginalBCACalculations$2012'!$A83,20))</f>
        <v>2.5719216377450174</v>
      </c>
      <c r="E83" s="23">
        <f>($B$5/CommAndSportFishingValues!$I$19)*FishHarvestTimeTrends!AD92*((1+'OriginalBCACalculations$2012'!E$10)^MIN('OriginalBCACalculations$2012'!$A83,20))</f>
        <v>0.36523994321165254</v>
      </c>
      <c r="F83" s="23">
        <f t="shared" si="20"/>
        <v>8.2229964064007994</v>
      </c>
      <c r="H83" s="22">
        <f t="shared" si="14"/>
        <v>3.9100000000000003E-2</v>
      </c>
      <c r="I83" s="22"/>
      <c r="J83" s="41"/>
      <c r="K83" s="41">
        <f t="shared" si="23"/>
        <v>7.4080629774010906E-2</v>
      </c>
      <c r="L83" s="41">
        <f t="shared" si="23"/>
        <v>2.2562815610823312E-2</v>
      </c>
      <c r="M83" s="41">
        <f t="shared" si="23"/>
        <v>3.2041573006934276E-3</v>
      </c>
      <c r="N83" s="41">
        <f t="shared" si="23"/>
        <v>7.2138259954434097E-2</v>
      </c>
      <c r="O83" s="67"/>
      <c r="P83" s="41">
        <f t="shared" si="13"/>
        <v>3.4301437393585715E-4</v>
      </c>
      <c r="R83" s="27">
        <f t="shared" si="24"/>
        <v>2.7548520258000817</v>
      </c>
      <c r="S83" s="27">
        <f t="shared" si="24"/>
        <v>1.3727836919820149</v>
      </c>
      <c r="T83" s="27">
        <f t="shared" si="24"/>
        <v>0.68878907926938782</v>
      </c>
      <c r="U83" s="27">
        <f t="shared" si="24"/>
        <v>0.34793053650051953</v>
      </c>
      <c r="V83" s="27">
        <f t="shared" si="24"/>
        <v>0.1769149464003856</v>
      </c>
      <c r="W83" s="27">
        <f t="shared" si="24"/>
        <v>9.054142829181841E-2</v>
      </c>
      <c r="X83" s="27">
        <f t="shared" si="24"/>
        <v>4.6632393556137429E-2</v>
      </c>
      <c r="Y83" s="27">
        <f t="shared" si="24"/>
        <v>2.4167617465875774E-2</v>
      </c>
    </row>
    <row r="84" spans="1:25" x14ac:dyDescent="0.25">
      <c r="A84" s="21">
        <v>72</v>
      </c>
      <c r="C84" s="25">
        <f t="shared" si="19"/>
        <v>8.4444059615573863</v>
      </c>
      <c r="D84" s="23">
        <f>($B$4/CommAndSportFishingValues!$I$18)*FishHarvestTimeTrends!AC93*((1+'OriginalBCACalculations$2012'!D$10)^MIN('OriginalBCACalculations$2012'!$A84,20))</f>
        <v>2.5719234761547263</v>
      </c>
      <c r="E84" s="23">
        <f>($B$5/CommAndSportFishingValues!$I$19)*FishHarvestTimeTrends!AD93*((1+'OriginalBCACalculations$2012'!E$10)^MIN('OriginalBCACalculations$2012'!$A84,20))</f>
        <v>0.36524013582180564</v>
      </c>
      <c r="F84" s="23">
        <f t="shared" si="20"/>
        <v>8.227107904603999</v>
      </c>
      <c r="H84" s="22">
        <f t="shared" si="14"/>
        <v>3.9100000000000003E-2</v>
      </c>
      <c r="I84" s="22"/>
      <c r="J84" s="41"/>
      <c r="K84" s="41">
        <f t="shared" si="23"/>
        <v>6.9234233433655049E-2</v>
      </c>
      <c r="L84" s="41">
        <f t="shared" si="23"/>
        <v>2.1086758634322415E-2</v>
      </c>
      <c r="M84" s="41">
        <f t="shared" si="23"/>
        <v>2.9945411125358915E-3</v>
      </c>
      <c r="N84" s="41">
        <f t="shared" si="23"/>
        <v>6.7452644004122722E-2</v>
      </c>
      <c r="O84" s="67"/>
      <c r="P84" s="41">
        <f t="shared" ref="P84:P112" si="25">H84/((1+$M$9)^($A84-1))</f>
        <v>3.2057418124846465E-4</v>
      </c>
      <c r="R84" s="27">
        <f t="shared" si="24"/>
        <v>2.7589655550231438</v>
      </c>
      <c r="S84" s="27">
        <f t="shared" si="24"/>
        <v>1.3612213115907068</v>
      </c>
      <c r="T84" s="27">
        <f t="shared" si="24"/>
        <v>0.67629174035946116</v>
      </c>
      <c r="U84" s="27">
        <f t="shared" si="24"/>
        <v>0.33830103337802192</v>
      </c>
      <c r="V84" s="27">
        <f t="shared" si="24"/>
        <v>0.17036453344450014</v>
      </c>
      <c r="W84" s="27">
        <f t="shared" si="24"/>
        <v>8.6358689745275954E-2</v>
      </c>
      <c r="X84" s="27">
        <f t="shared" si="24"/>
        <v>4.4058513941861277E-2</v>
      </c>
      <c r="Y84" s="27">
        <f t="shared" si="24"/>
        <v>2.2620284498574426E-2</v>
      </c>
    </row>
    <row r="85" spans="1:25" x14ac:dyDescent="0.25">
      <c r="A85" s="21">
        <v>73</v>
      </c>
      <c r="C85" s="25">
        <f t="shared" si="19"/>
        <v>8.4444059615573863</v>
      </c>
      <c r="D85" s="23">
        <f>($B$4/CommAndSportFishingValues!$I$18)*FishHarvestTimeTrends!AC94*((1+'OriginalBCACalculations$2012'!D$10)^MIN('OriginalBCACalculations$2012'!$A85,20))</f>
        <v>2.5719253145644356</v>
      </c>
      <c r="E85" s="23">
        <f>($B$5/CommAndSportFishingValues!$I$19)*FishHarvestTimeTrends!AD94*((1+'OriginalBCACalculations$2012'!E$10)^MIN('OriginalBCACalculations$2012'!$A85,20))</f>
        <v>0.36524032843195881</v>
      </c>
      <c r="F85" s="23">
        <f t="shared" si="20"/>
        <v>8.2312214585563002</v>
      </c>
      <c r="H85" s="22">
        <f t="shared" ref="H85:H112" si="26">B$8</f>
        <v>3.9100000000000003E-2</v>
      </c>
      <c r="I85" s="22"/>
      <c r="J85" s="41"/>
      <c r="K85" s="41">
        <f t="shared" si="23"/>
        <v>6.4704891059490705E-2</v>
      </c>
      <c r="L85" s="41">
        <f t="shared" si="23"/>
        <v>1.9707265146848334E-2</v>
      </c>
      <c r="M85" s="41">
        <f t="shared" si="23"/>
        <v>2.798638029638729E-3</v>
      </c>
      <c r="N85" s="41">
        <f t="shared" si="23"/>
        <v>6.3071374136565203E-2</v>
      </c>
      <c r="O85" s="67"/>
      <c r="P85" s="41">
        <f t="shared" si="25"/>
        <v>2.9960203854996693E-4</v>
      </c>
      <c r="R85" s="27">
        <f t="shared" si="24"/>
        <v>2.7630811399953075</v>
      </c>
      <c r="S85" s="27">
        <f t="shared" si="24"/>
        <v>1.3497543200093425</v>
      </c>
      <c r="T85" s="27">
        <f t="shared" si="24"/>
        <v>0.66402017018257975</v>
      </c>
      <c r="U85" s="27">
        <f t="shared" si="24"/>
        <v>0.32893755480619186</v>
      </c>
      <c r="V85" s="27">
        <f t="shared" si="24"/>
        <v>0.1640564119666699</v>
      </c>
      <c r="W85" s="27">
        <f t="shared" si="24"/>
        <v>8.2369059172658091E-2</v>
      </c>
      <c r="X85" s="27">
        <f t="shared" si="24"/>
        <v>4.162663830458322E-2</v>
      </c>
      <c r="Y85" s="27">
        <f t="shared" si="24"/>
        <v>2.1171988292111525E-2</v>
      </c>
    </row>
    <row r="86" spans="1:25" x14ac:dyDescent="0.25">
      <c r="A86" s="21">
        <v>74</v>
      </c>
      <c r="C86" s="25">
        <f t="shared" si="19"/>
        <v>8.4444059615573863</v>
      </c>
      <c r="D86" s="23">
        <f>($B$4/CommAndSportFishingValues!$I$18)*FishHarvestTimeTrends!AC95*((1+'OriginalBCACalculations$2012'!D$10)^MIN('OriginalBCACalculations$2012'!$A86,20))</f>
        <v>2.5719271529741454</v>
      </c>
      <c r="E86" s="23">
        <f>($B$5/CommAndSportFishingValues!$I$19)*FishHarvestTimeTrends!AD95*((1+'OriginalBCACalculations$2012'!E$10)^MIN('OriginalBCACalculations$2012'!$A86,20))</f>
        <v>0.3652405210421118</v>
      </c>
      <c r="F86" s="23">
        <f t="shared" ref="F86:F112" si="27">F85*(1+F$10)</f>
        <v>8.2353370692855776</v>
      </c>
      <c r="H86" s="22">
        <f t="shared" si="26"/>
        <v>3.9100000000000003E-2</v>
      </c>
      <c r="I86" s="22"/>
      <c r="J86" s="41"/>
      <c r="K86" s="41">
        <f t="shared" si="23"/>
        <v>6.0471860803262334E-2</v>
      </c>
      <c r="L86" s="41">
        <f t="shared" si="23"/>
        <v>1.8418017975310525E-2</v>
      </c>
      <c r="M86" s="41">
        <f t="shared" si="23"/>
        <v>2.6155509397248551E-3</v>
      </c>
      <c r="N86" s="41">
        <f t="shared" si="23"/>
        <v>5.897468207816213E-2</v>
      </c>
      <c r="O86" s="67"/>
      <c r="P86" s="41">
        <f t="shared" si="25"/>
        <v>2.8000190518688497E-4</v>
      </c>
      <c r="R86" s="27">
        <f t="shared" si="24"/>
        <v>2.7671987817444474</v>
      </c>
      <c r="S86" s="27">
        <f t="shared" si="24"/>
        <v>1.3383819523604956</v>
      </c>
      <c r="T86" s="27">
        <f t="shared" si="24"/>
        <v>0.65197031043895426</v>
      </c>
      <c r="U86" s="27">
        <f t="shared" si="24"/>
        <v>0.31983276625718621</v>
      </c>
      <c r="V86" s="27">
        <f t="shared" si="24"/>
        <v>0.15798162948499123</v>
      </c>
      <c r="W86" s="27">
        <f t="shared" si="24"/>
        <v>7.8563627117199525E-2</v>
      </c>
      <c r="X86" s="27">
        <f t="shared" si="24"/>
        <v>3.9328935661239545E-2</v>
      </c>
      <c r="Y86" s="27">
        <f t="shared" si="24"/>
        <v>1.9816392095122055E-2</v>
      </c>
    </row>
    <row r="87" spans="1:25" x14ac:dyDescent="0.25">
      <c r="A87" s="21">
        <v>75</v>
      </c>
      <c r="C87" s="25">
        <f t="shared" si="19"/>
        <v>8.4444059615573863</v>
      </c>
      <c r="D87" s="23">
        <f>($B$4/CommAndSportFishingValues!$I$18)*FishHarvestTimeTrends!AC96*((1+'OriginalBCACalculations$2012'!D$10)^MIN('OriginalBCACalculations$2012'!$A87,20))</f>
        <v>2.5719289913838548</v>
      </c>
      <c r="E87" s="23">
        <f>($B$5/CommAndSportFishingValues!$I$19)*FishHarvestTimeTrends!AD96*((1+'OriginalBCACalculations$2012'!E$10)^MIN('OriginalBCACalculations$2012'!$A87,20))</f>
        <v>0.36524071365226501</v>
      </c>
      <c r="F87" s="23">
        <f t="shared" si="27"/>
        <v>8.2394547378202194</v>
      </c>
      <c r="H87" s="22">
        <f t="shared" si="26"/>
        <v>3.9100000000000003E-2</v>
      </c>
      <c r="I87" s="22"/>
      <c r="J87" s="41"/>
      <c r="K87" s="41">
        <f t="shared" si="23"/>
        <v>5.6515757760058259E-2</v>
      </c>
      <c r="L87" s="41">
        <f t="shared" si="23"/>
        <v>1.7213113215404134E-2</v>
      </c>
      <c r="M87" s="41">
        <f t="shared" si="23"/>
        <v>2.4444414196632576E-3</v>
      </c>
      <c r="N87" s="41">
        <f t="shared" si="23"/>
        <v>5.514408356934692E-2</v>
      </c>
      <c r="O87" s="67"/>
      <c r="P87" s="41">
        <f t="shared" si="25"/>
        <v>2.6168402353914485E-4</v>
      </c>
      <c r="R87" s="27">
        <f t="shared" si="24"/>
        <v>2.7713184812989518</v>
      </c>
      <c r="S87" s="27">
        <f t="shared" si="24"/>
        <v>1.3271034496507434</v>
      </c>
      <c r="T87" s="27">
        <f t="shared" si="24"/>
        <v>0.64013817535762518</v>
      </c>
      <c r="U87" s="27">
        <f t="shared" si="24"/>
        <v>0.31097953497967507</v>
      </c>
      <c r="V87" s="27">
        <f t="shared" si="24"/>
        <v>0.15213156392674312</v>
      </c>
      <c r="W87" s="27">
        <f t="shared" si="24"/>
        <v>7.4933894891463168E-2</v>
      </c>
      <c r="X87" s="27">
        <f t="shared" si="24"/>
        <v>3.7158006673810792E-2</v>
      </c>
      <c r="Y87" s="27">
        <f t="shared" si="24"/>
        <v>1.854756446789519E-2</v>
      </c>
    </row>
    <row r="88" spans="1:25" x14ac:dyDescent="0.25">
      <c r="A88" s="21">
        <v>76</v>
      </c>
      <c r="C88" s="25">
        <f t="shared" si="19"/>
        <v>8.4444059615573863</v>
      </c>
      <c r="D88" s="23">
        <f>($B$4/CommAndSportFishingValues!$I$18)*FishHarvestTimeTrends!AC97*((1+'OriginalBCACalculations$2012'!D$10)^MIN('OriginalBCACalculations$2012'!$A88,20))</f>
        <v>2.5719308297935641</v>
      </c>
      <c r="E88" s="23">
        <f>($B$5/CommAndSportFishingValues!$I$19)*FishHarvestTimeTrends!AD97*((1+'OriginalBCACalculations$2012'!E$10)^MIN('OriginalBCACalculations$2012'!$A88,20))</f>
        <v>0.36524090626241801</v>
      </c>
      <c r="F88" s="23">
        <f t="shared" si="27"/>
        <v>8.2435744651891287</v>
      </c>
      <c r="H88" s="22">
        <f t="shared" si="26"/>
        <v>3.9100000000000003E-2</v>
      </c>
      <c r="I88" s="22"/>
      <c r="J88" s="41"/>
      <c r="K88" s="41">
        <f t="shared" si="23"/>
        <v>5.2818465196316125E-2</v>
      </c>
      <c r="L88" s="41">
        <f t="shared" si="23"/>
        <v>1.6087033195610372E-2</v>
      </c>
      <c r="M88" s="41">
        <f t="shared" si="23"/>
        <v>2.284525896021062E-3</v>
      </c>
      <c r="N88" s="41">
        <f t="shared" si="23"/>
        <v>5.1562294963674371E-2</v>
      </c>
      <c r="O88" s="67"/>
      <c r="P88" s="41">
        <f t="shared" si="25"/>
        <v>2.4456450798050918E-4</v>
      </c>
      <c r="R88" s="27">
        <f t="shared" si="24"/>
        <v>2.7754402396877236</v>
      </c>
      <c r="S88" s="27">
        <f t="shared" si="24"/>
        <v>1.3159180587282999</v>
      </c>
      <c r="T88" s="27">
        <f t="shared" si="24"/>
        <v>0.62851985040902869</v>
      </c>
      <c r="U88" s="27">
        <f t="shared" si="24"/>
        <v>0.30237092446126657</v>
      </c>
      <c r="V88" s="27">
        <f t="shared" si="24"/>
        <v>0.14649791144892532</v>
      </c>
      <c r="W88" s="27">
        <f t="shared" si="24"/>
        <v>7.1471755652880886E-2</v>
      </c>
      <c r="X88" s="27">
        <f t="shared" si="24"/>
        <v>3.5106859868736962E-2</v>
      </c>
      <c r="Y88" s="27">
        <f t="shared" si="24"/>
        <v>1.7359953366970191E-2</v>
      </c>
    </row>
    <row r="89" spans="1:25" x14ac:dyDescent="0.25">
      <c r="A89" s="21">
        <v>77</v>
      </c>
      <c r="C89" s="25">
        <f t="shared" si="19"/>
        <v>8.4444059615573863</v>
      </c>
      <c r="D89" s="23">
        <f>($B$4/CommAndSportFishingValues!$I$18)*FishHarvestTimeTrends!AC98*((1+'OriginalBCACalculations$2012'!D$10)^MIN('OriginalBCACalculations$2012'!$A89,20))</f>
        <v>2.5719326682032739</v>
      </c>
      <c r="E89" s="23">
        <f>($B$5/CommAndSportFishingValues!$I$19)*FishHarvestTimeTrends!AD98*((1+'OriginalBCACalculations$2012'!E$10)^MIN('OriginalBCACalculations$2012'!$A89,20))</f>
        <v>0.36524109887257117</v>
      </c>
      <c r="F89" s="23">
        <f t="shared" si="27"/>
        <v>8.2476962524217221</v>
      </c>
      <c r="H89" s="22">
        <f t="shared" si="26"/>
        <v>3.9100000000000003E-2</v>
      </c>
      <c r="I89" s="22"/>
      <c r="J89" s="41"/>
      <c r="K89" s="41">
        <f t="shared" si="23"/>
        <v>4.9363051585342183E-2</v>
      </c>
      <c r="L89" s="41">
        <f t="shared" si="23"/>
        <v>1.5034621209889139E-2</v>
      </c>
      <c r="M89" s="41">
        <f t="shared" si="23"/>
        <v>2.1350720567925728E-3</v>
      </c>
      <c r="N89" s="41">
        <f t="shared" si="23"/>
        <v>4.8213155244071229E-2</v>
      </c>
      <c r="O89" s="67"/>
      <c r="P89" s="41">
        <f t="shared" si="25"/>
        <v>2.2856496072944785E-4</v>
      </c>
      <c r="R89" s="27">
        <f t="shared" si="24"/>
        <v>2.7795640579401795</v>
      </c>
      <c r="S89" s="27">
        <f t="shared" si="24"/>
        <v>1.3048250322409141</v>
      </c>
      <c r="T89" s="27">
        <f t="shared" si="24"/>
        <v>0.61711149104022811</v>
      </c>
      <c r="U89" s="27">
        <f t="shared" si="24"/>
        <v>0.29400018904249964</v>
      </c>
      <c r="V89" s="27">
        <f t="shared" si="24"/>
        <v>0.14107267470716081</v>
      </c>
      <c r="W89" s="27">
        <f t="shared" si="24"/>
        <v>6.8169476350476446E-2</v>
      </c>
      <c r="X89" s="27">
        <f t="shared" si="24"/>
        <v>3.316888916579662E-2</v>
      </c>
      <c r="Y89" s="27">
        <f t="shared" si="24"/>
        <v>1.6248361886140199E-2</v>
      </c>
    </row>
    <row r="90" spans="1:25" x14ac:dyDescent="0.25">
      <c r="A90" s="21">
        <v>78</v>
      </c>
      <c r="C90" s="25">
        <f t="shared" si="19"/>
        <v>8.4444059615573863</v>
      </c>
      <c r="D90" s="23">
        <f>($B$4/CommAndSportFishingValues!$I$18)*FishHarvestTimeTrends!AC99*((1+'OriginalBCACalculations$2012'!D$10)^MIN('OriginalBCACalculations$2012'!$A90,20))</f>
        <v>2.5719345066129837</v>
      </c>
      <c r="E90" s="23">
        <f>($B$5/CommAndSportFishingValues!$I$19)*FishHarvestTimeTrends!AD99*((1+'OriginalBCACalculations$2012'!E$10)^MIN('OriginalBCACalculations$2012'!$A90,20))</f>
        <v>0.36524129148272416</v>
      </c>
      <c r="F90" s="23">
        <f t="shared" si="27"/>
        <v>8.251820100547933</v>
      </c>
      <c r="H90" s="22">
        <f t="shared" si="26"/>
        <v>3.9100000000000003E-2</v>
      </c>
      <c r="I90" s="22"/>
      <c r="J90" s="41"/>
      <c r="K90" s="41">
        <f t="shared" si="23"/>
        <v>4.6133693070413248E-2</v>
      </c>
      <c r="L90" s="41">
        <f t="shared" si="23"/>
        <v>1.4051057903356081E-2</v>
      </c>
      <c r="M90" s="41">
        <f t="shared" si="23"/>
        <v>1.9953954978732141E-3</v>
      </c>
      <c r="N90" s="41">
        <f t="shared" si="23"/>
        <v>4.5081553104386225E-2</v>
      </c>
      <c r="O90" s="67"/>
      <c r="P90" s="41">
        <f t="shared" si="25"/>
        <v>2.1361211283125968E-4</v>
      </c>
      <c r="R90" s="27">
        <f t="shared" si="24"/>
        <v>2.7836899370862547</v>
      </c>
      <c r="S90" s="27">
        <f t="shared" si="24"/>
        <v>1.2938236285940419</v>
      </c>
      <c r="T90" s="27">
        <f t="shared" si="24"/>
        <v>0.6059093214324236</v>
      </c>
      <c r="U90" s="27">
        <f t="shared" si="24"/>
        <v>0.28586076867826776</v>
      </c>
      <c r="V90" s="27">
        <f t="shared" si="24"/>
        <v>0.13584815155648139</v>
      </c>
      <c r="W90" s="27">
        <f t="shared" si="24"/>
        <v>6.5019680502699628E-2</v>
      </c>
      <c r="X90" s="27">
        <f t="shared" si="24"/>
        <v>3.1337852644384212E-2</v>
      </c>
      <c r="Y90" s="27">
        <f t="shared" si="24"/>
        <v>1.5207925548033532E-2</v>
      </c>
    </row>
    <row r="91" spans="1:25" x14ac:dyDescent="0.25">
      <c r="A91" s="21">
        <v>79</v>
      </c>
      <c r="C91" s="25">
        <f t="shared" si="19"/>
        <v>8.4444059615573863</v>
      </c>
      <c r="D91" s="23">
        <f>($B$4/CommAndSportFishingValues!$I$18)*FishHarvestTimeTrends!AC100*((1+'OriginalBCACalculations$2012'!D$10)^MIN('OriginalBCACalculations$2012'!$A91,20))</f>
        <v>2.5719363450226922</v>
      </c>
      <c r="E91" s="23">
        <f>($B$5/CommAndSportFishingValues!$I$19)*FishHarvestTimeTrends!AD100*((1+'OriginalBCACalculations$2012'!E$10)^MIN('OriginalBCACalculations$2012'!$A91,20))</f>
        <v>0.36524148409287732</v>
      </c>
      <c r="F91" s="23">
        <f t="shared" si="27"/>
        <v>8.2559460105982065</v>
      </c>
      <c r="H91" s="22">
        <f t="shared" si="26"/>
        <v>3.9100000000000003E-2</v>
      </c>
      <c r="I91" s="22"/>
      <c r="J91" s="41"/>
      <c r="K91" s="41">
        <f t="shared" si="23"/>
        <v>4.3115601000386215E-2</v>
      </c>
      <c r="L91" s="41">
        <f t="shared" si="23"/>
        <v>1.3131839202806247E-2</v>
      </c>
      <c r="M91" s="41">
        <f t="shared" si="23"/>
        <v>1.864856588921396E-3</v>
      </c>
      <c r="N91" s="41">
        <f t="shared" si="23"/>
        <v>4.2153358767232169E-2</v>
      </c>
      <c r="O91" s="67"/>
      <c r="P91" s="41">
        <f t="shared" si="25"/>
        <v>1.9963748862734549E-4</v>
      </c>
      <c r="R91" s="27">
        <f t="shared" si="24"/>
        <v>2.7878178781563889</v>
      </c>
      <c r="S91" s="27">
        <f t="shared" si="24"/>
        <v>1.2829131119092756</v>
      </c>
      <c r="T91" s="27">
        <f t="shared" si="24"/>
        <v>0.59490963328033886</v>
      </c>
      <c r="U91" s="27">
        <f t="shared" si="24"/>
        <v>0.27794628384264958</v>
      </c>
      <c r="V91" s="27">
        <f t="shared" si="24"/>
        <v>0.13081692416811699</v>
      </c>
      <c r="W91" s="27">
        <f t="shared" si="24"/>
        <v>6.2015331768141294E-2</v>
      </c>
      <c r="X91" s="27">
        <f t="shared" si="24"/>
        <v>2.9607852479083561E-2</v>
      </c>
      <c r="Y91" s="27">
        <f t="shared" si="24"/>
        <v>1.4234091047200933E-2</v>
      </c>
    </row>
    <row r="92" spans="1:25" x14ac:dyDescent="0.25">
      <c r="A92" s="21">
        <v>80</v>
      </c>
      <c r="C92" s="25">
        <f t="shared" si="19"/>
        <v>8.4444059615573863</v>
      </c>
      <c r="D92" s="23">
        <f>($B$4/CommAndSportFishingValues!$I$18)*FishHarvestTimeTrends!AC101*((1+'OriginalBCACalculations$2012'!D$10)^MIN('OriginalBCACalculations$2012'!$A92,20))</f>
        <v>2.571938183432402</v>
      </c>
      <c r="E92" s="23">
        <f>($B$5/CommAndSportFishingValues!$I$19)*FishHarvestTimeTrends!AD101*((1+'OriginalBCACalculations$2012'!E$10)^MIN('OriginalBCACalculations$2012'!$A92,20))</f>
        <v>0.36524167670303043</v>
      </c>
      <c r="F92" s="23">
        <f t="shared" si="27"/>
        <v>8.2600739836035046</v>
      </c>
      <c r="H92" s="22">
        <f t="shared" si="26"/>
        <v>3.9100000000000003E-2</v>
      </c>
      <c r="I92" s="22"/>
      <c r="J92" s="41"/>
      <c r="K92" s="41">
        <f t="shared" si="23"/>
        <v>4.0294954205968424E-2</v>
      </c>
      <c r="L92" s="41">
        <f t="shared" si="23"/>
        <v>1.227275569102043E-2</v>
      </c>
      <c r="M92" s="41">
        <f t="shared" si="23"/>
        <v>1.7428575442558936E-3</v>
      </c>
      <c r="N92" s="41">
        <f t="shared" si="23"/>
        <v>3.9415360230482033E-2</v>
      </c>
      <c r="O92" s="67"/>
      <c r="P92" s="41">
        <f t="shared" si="25"/>
        <v>1.8657709217508923E-4</v>
      </c>
      <c r="R92" s="27">
        <f t="shared" si="24"/>
        <v>2.7919478821815513</v>
      </c>
      <c r="S92" s="27">
        <f t="shared" si="24"/>
        <v>1.2720927519830585</v>
      </c>
      <c r="T92" s="27">
        <f t="shared" si="24"/>
        <v>0.5841087845931231</v>
      </c>
      <c r="U92" s="27">
        <f t="shared" si="24"/>
        <v>0.27025053057323639</v>
      </c>
      <c r="V92" s="27">
        <f t="shared" si="24"/>
        <v>0.12597184854699789</v>
      </c>
      <c r="W92" s="27">
        <f t="shared" si="24"/>
        <v>5.9149718272657047E-2</v>
      </c>
      <c r="X92" s="27">
        <f t="shared" si="24"/>
        <v>2.7973315980181927E-2</v>
      </c>
      <c r="Y92" s="27">
        <f t="shared" si="24"/>
        <v>1.3322596351965024E-2</v>
      </c>
    </row>
    <row r="93" spans="1:25" x14ac:dyDescent="0.25">
      <c r="A93" s="21">
        <v>81</v>
      </c>
      <c r="C93" s="25">
        <f t="shared" si="19"/>
        <v>8.4444059615573863</v>
      </c>
      <c r="D93" s="23">
        <f>($B$4/CommAndSportFishingValues!$I$18)*FishHarvestTimeTrends!AC102*((1+'OriginalBCACalculations$2012'!D$10)^MIN('OriginalBCACalculations$2012'!$A93,20))</f>
        <v>2.5719400218421118</v>
      </c>
      <c r="E93" s="23">
        <f>($B$5/CommAndSportFishingValues!$I$19)*FishHarvestTimeTrends!AD102*((1+'OriginalBCACalculations$2012'!E$10)^MIN('OriginalBCACalculations$2012'!$A93,20))</f>
        <v>0.36524186931318348</v>
      </c>
      <c r="F93" s="23">
        <f t="shared" si="27"/>
        <v>8.2642040205953062</v>
      </c>
      <c r="H93" s="22">
        <f t="shared" si="26"/>
        <v>3.9100000000000003E-2</v>
      </c>
      <c r="I93" s="22"/>
      <c r="J93" s="41"/>
      <c r="K93" s="41">
        <f t="shared" si="23"/>
        <v>3.7658835706512551E-2</v>
      </c>
      <c r="L93" s="41">
        <f t="shared" si="23"/>
        <v>1.1469873330402197E-2</v>
      </c>
      <c r="M93" s="41">
        <f t="shared" si="23"/>
        <v>1.6288396853753313E-3</v>
      </c>
      <c r="N93" s="41">
        <f t="shared" si="23"/>
        <v>3.6855203654763809E-2</v>
      </c>
      <c r="O93" s="67"/>
      <c r="P93" s="41">
        <f t="shared" si="25"/>
        <v>1.7437111418232642E-4</v>
      </c>
      <c r="R93" s="27">
        <f t="shared" si="24"/>
        <v>2.7960799501932154</v>
      </c>
      <c r="S93" s="27">
        <f t="shared" si="24"/>
        <v>1.2613618242456377</v>
      </c>
      <c r="T93" s="27">
        <f t="shared" si="24"/>
        <v>0.573503198516367</v>
      </c>
      <c r="U93" s="27">
        <f t="shared" si="24"/>
        <v>0.26276747565114023</v>
      </c>
      <c r="V93" s="27">
        <f t="shared" si="24"/>
        <v>0.12130604443523174</v>
      </c>
      <c r="W93" s="27">
        <f t="shared" si="24"/>
        <v>5.6416437658101996E-2</v>
      </c>
      <c r="X93" s="27">
        <f t="shared" si="24"/>
        <v>2.6428977678308044E-2</v>
      </c>
      <c r="Y93" s="27">
        <f t="shared" si="24"/>
        <v>1.2469452078211117E-2</v>
      </c>
    </row>
    <row r="94" spans="1:25" x14ac:dyDescent="0.25">
      <c r="A94" s="21">
        <v>82</v>
      </c>
      <c r="C94" s="25">
        <f t="shared" si="19"/>
        <v>8.4444059615573863</v>
      </c>
      <c r="D94" s="23">
        <f>($B$4/CommAndSportFishingValues!$I$18)*FishHarvestTimeTrends!AC103*((1+'OriginalBCACalculations$2012'!D$10)^MIN('OriginalBCACalculations$2012'!$A94,20))</f>
        <v>2.5719418602518211</v>
      </c>
      <c r="E94" s="23">
        <f>($B$5/CommAndSportFishingValues!$I$19)*FishHarvestTimeTrends!AD103*((1+'OriginalBCACalculations$2012'!E$10)^MIN('OriginalBCACalculations$2012'!$A94,20))</f>
        <v>0.36524206192333658</v>
      </c>
      <c r="F94" s="23">
        <f t="shared" si="27"/>
        <v>8.2683361226056036</v>
      </c>
      <c r="H94" s="22">
        <f t="shared" si="26"/>
        <v>3.9100000000000003E-2</v>
      </c>
      <c r="I94" s="22"/>
      <c r="J94" s="41"/>
      <c r="K94" s="41">
        <f t="shared" si="23"/>
        <v>3.5195173557488364E-2</v>
      </c>
      <c r="L94" s="41">
        <f t="shared" si="23"/>
        <v>1.0719515447672521E-2</v>
      </c>
      <c r="M94" s="41">
        <f t="shared" si="23"/>
        <v>1.522280882563818E-3</v>
      </c>
      <c r="N94" s="41">
        <f t="shared" si="23"/>
        <v>3.4461337622982424E-2</v>
      </c>
      <c r="O94" s="67"/>
      <c r="P94" s="41">
        <f t="shared" si="25"/>
        <v>1.6296365811432374E-4</v>
      </c>
      <c r="R94" s="27">
        <f t="shared" ref="R94:Y109" si="28">(SUM($D94:$H94)-SUM($B94:$C94))/((1+R$10)^($A94-1))</f>
        <v>2.8002140832233753</v>
      </c>
      <c r="S94" s="27">
        <f t="shared" si="28"/>
        <v>1.2507196097203086</v>
      </c>
      <c r="T94" s="27">
        <f t="shared" si="28"/>
        <v>0.56308936217489014</v>
      </c>
      <c r="U94" s="27">
        <f t="shared" si="28"/>
        <v>0.25549125191298738</v>
      </c>
      <c r="V94" s="27">
        <f t="shared" si="28"/>
        <v>0.11681288558736823</v>
      </c>
      <c r="W94" s="27">
        <f t="shared" si="28"/>
        <v>5.3809382819480167E-2</v>
      </c>
      <c r="X94" s="27">
        <f t="shared" si="28"/>
        <v>2.496986239572432E-2</v>
      </c>
      <c r="Y94" s="27">
        <f t="shared" si="28"/>
        <v>1.1670924053844721E-2</v>
      </c>
    </row>
    <row r="95" spans="1:25" x14ac:dyDescent="0.25">
      <c r="A95" s="21">
        <v>83</v>
      </c>
      <c r="C95" s="25">
        <f t="shared" si="19"/>
        <v>8.4444059615573863</v>
      </c>
      <c r="D95" s="23">
        <f>($B$4/CommAndSportFishingValues!$I$18)*FishHarvestTimeTrends!AC104*((1+'OriginalBCACalculations$2012'!D$10)^MIN('OriginalBCACalculations$2012'!$A95,20))</f>
        <v>2.5719436986615305</v>
      </c>
      <c r="E95" s="23">
        <f>($B$5/CommAndSportFishingValues!$I$19)*FishHarvestTimeTrends!AD104*((1+'OriginalBCACalculations$2012'!E$10)^MIN('OriginalBCACalculations$2012'!$A95,20))</f>
        <v>0.36524225453348969</v>
      </c>
      <c r="F95" s="23">
        <f t="shared" si="27"/>
        <v>8.2724702906669059</v>
      </c>
      <c r="H95" s="22">
        <f t="shared" si="26"/>
        <v>3.9100000000000003E-2</v>
      </c>
      <c r="I95" s="22"/>
      <c r="J95" s="41"/>
      <c r="K95" s="41">
        <f t="shared" si="23"/>
        <v>3.2892685567746133E-2</v>
      </c>
      <c r="L95" s="41">
        <f t="shared" si="23"/>
        <v>1.0018245897123763E-2</v>
      </c>
      <c r="M95" s="41">
        <f t="shared" si="23"/>
        <v>1.422693163866922E-3</v>
      </c>
      <c r="N95" s="41">
        <f t="shared" si="23"/>
        <v>3.2222961020368139E-2</v>
      </c>
      <c r="O95" s="67"/>
      <c r="P95" s="41">
        <f t="shared" si="25"/>
        <v>1.5230248421899413E-4</v>
      </c>
      <c r="R95" s="27">
        <f t="shared" si="28"/>
        <v>2.8043502823045383</v>
      </c>
      <c r="S95" s="27">
        <f t="shared" si="28"/>
        <v>1.2401653949828995</v>
      </c>
      <c r="T95" s="27">
        <f t="shared" si="28"/>
        <v>0.5528638255359174</v>
      </c>
      <c r="U95" s="27">
        <f t="shared" si="28"/>
        <v>0.24841615369128911</v>
      </c>
      <c r="V95" s="27">
        <f t="shared" si="28"/>
        <v>0.11248599040377651</v>
      </c>
      <c r="W95" s="27">
        <f t="shared" si="28"/>
        <v>5.1322728298836814E-2</v>
      </c>
      <c r="X95" s="27">
        <f t="shared" si="28"/>
        <v>2.3591269249963798E-2</v>
      </c>
      <c r="Y95" s="27">
        <f t="shared" si="28"/>
        <v>1.092351699783168E-2</v>
      </c>
    </row>
    <row r="96" spans="1:25" x14ac:dyDescent="0.25">
      <c r="A96" s="21">
        <v>84</v>
      </c>
      <c r="C96" s="25">
        <f t="shared" si="19"/>
        <v>8.4444059615573863</v>
      </c>
      <c r="D96" s="23">
        <f>($B$4/CommAndSportFishingValues!$I$18)*FishHarvestTimeTrends!AC105*((1+'OriginalBCACalculations$2012'!D$10)^MIN('OriginalBCACalculations$2012'!$A96,20))</f>
        <v>2.5719455370712399</v>
      </c>
      <c r="E96" s="23">
        <f>($B$5/CommAndSportFishingValues!$I$19)*FishHarvestTimeTrends!AD105*((1+'OriginalBCACalculations$2012'!E$10)^MIN('OriginalBCACalculations$2012'!$A96,20))</f>
        <v>0.36524244714364273</v>
      </c>
      <c r="F96" s="23">
        <f t="shared" si="27"/>
        <v>8.2766065258122392</v>
      </c>
      <c r="H96" s="22">
        <f t="shared" si="26"/>
        <v>3.9100000000000003E-2</v>
      </c>
      <c r="I96" s="22"/>
      <c r="J96" s="41"/>
      <c r="K96" s="41">
        <f t="shared" si="23"/>
        <v>3.0740827633407602E-2</v>
      </c>
      <c r="L96" s="41">
        <f t="shared" si="23"/>
        <v>9.3628533253317606E-3</v>
      </c>
      <c r="M96" s="41">
        <f t="shared" si="23"/>
        <v>1.3296204804885974E-3</v>
      </c>
      <c r="N96" s="41">
        <f t="shared" si="23"/>
        <v>3.0129974299886283E-2</v>
      </c>
      <c r="O96" s="67"/>
      <c r="P96" s="41">
        <f t="shared" si="25"/>
        <v>1.4233877029812538E-4</v>
      </c>
      <c r="R96" s="27">
        <f t="shared" si="28"/>
        <v>2.8084885484697342</v>
      </c>
      <c r="S96" s="27">
        <f t="shared" si="28"/>
        <v>1.229698472121534</v>
      </c>
      <c r="T96" s="27">
        <f t="shared" si="28"/>
        <v>0.54282320029230191</v>
      </c>
      <c r="U96" s="27">
        <f t="shared" si="28"/>
        <v>0.24153663237968506</v>
      </c>
      <c r="V96" s="27">
        <f t="shared" si="28"/>
        <v>0.10831921290896873</v>
      </c>
      <c r="W96" s="27">
        <f t="shared" si="28"/>
        <v>4.8950917305678111E-2</v>
      </c>
      <c r="X96" s="27">
        <f t="shared" si="28"/>
        <v>2.2288756538490689E-2</v>
      </c>
      <c r="Y96" s="27">
        <f t="shared" si="28"/>
        <v>1.0223959242597161E-2</v>
      </c>
    </row>
    <row r="97" spans="1:25" x14ac:dyDescent="0.25">
      <c r="A97" s="21">
        <v>85</v>
      </c>
      <c r="C97" s="25">
        <f t="shared" si="19"/>
        <v>8.4444059615573863</v>
      </c>
      <c r="D97" s="23">
        <f>($B$4/CommAndSportFishingValues!$I$18)*FishHarvestTimeTrends!AC106*((1+'OriginalBCACalculations$2012'!D$10)^MIN('OriginalBCACalculations$2012'!$A97,20))</f>
        <v>2.5719473754809492</v>
      </c>
      <c r="E97" s="23">
        <f>($B$5/CommAndSportFishingValues!$I$19)*FishHarvestTimeTrends!AD106*((1+'OriginalBCACalculations$2012'!E$10)^MIN('OriginalBCACalculations$2012'!$A97,20))</f>
        <v>0.36524263975379578</v>
      </c>
      <c r="F97" s="23">
        <f t="shared" si="27"/>
        <v>8.2807448290751449</v>
      </c>
      <c r="H97" s="22">
        <f t="shared" si="26"/>
        <v>3.9100000000000003E-2</v>
      </c>
      <c r="I97" s="22"/>
      <c r="J97" s="41"/>
      <c r="K97" s="41">
        <f t="shared" si="23"/>
        <v>2.872974545178281E-2</v>
      </c>
      <c r="L97" s="41">
        <f t="shared" si="23"/>
        <v>8.7503364652687637E-3</v>
      </c>
      <c r="M97" s="41">
        <f t="shared" si="23"/>
        <v>1.2426366183759948E-3</v>
      </c>
      <c r="N97" s="41">
        <f t="shared" si="23"/>
        <v>2.8172933913117971E-2</v>
      </c>
      <c r="O97" s="67"/>
      <c r="P97" s="41">
        <f t="shared" si="25"/>
        <v>1.3302688812908913E-4</v>
      </c>
      <c r="R97" s="27">
        <f t="shared" si="28"/>
        <v>2.8126288827525041</v>
      </c>
      <c r="S97" s="27">
        <f t="shared" si="28"/>
        <v>1.2193181386966392</v>
      </c>
      <c r="T97" s="27">
        <f t="shared" si="28"/>
        <v>0.53296415876543346</v>
      </c>
      <c r="U97" s="27">
        <f t="shared" si="28"/>
        <v>0.23484729211964914</v>
      </c>
      <c r="V97" s="27">
        <f t="shared" si="28"/>
        <v>0.10430663406218187</v>
      </c>
      <c r="W97" s="27">
        <f t="shared" si="28"/>
        <v>4.6688649335091474E-2</v>
      </c>
      <c r="X97" s="27">
        <f t="shared" si="28"/>
        <v>2.105812745588647E-2</v>
      </c>
      <c r="Y97" s="27">
        <f t="shared" si="28"/>
        <v>9.5691884331090115E-3</v>
      </c>
    </row>
    <row r="98" spans="1:25" x14ac:dyDescent="0.25">
      <c r="A98" s="21">
        <v>86</v>
      </c>
      <c r="C98" s="25">
        <f t="shared" ref="C98:C112" si="29">C97</f>
        <v>8.4444059615573863</v>
      </c>
      <c r="D98" s="23">
        <f>($B$4/CommAndSportFishingValues!$I$18)*FishHarvestTimeTrends!AC107*((1+'OriginalBCACalculations$2012'!D$10)^MIN('OriginalBCACalculations$2012'!$A98,20))</f>
        <v>2.571949213890659</v>
      </c>
      <c r="E98" s="23">
        <f>($B$5/CommAndSportFishingValues!$I$19)*FishHarvestTimeTrends!AD107*((1+'OriginalBCACalculations$2012'!E$10)^MIN('OriginalBCACalculations$2012'!$A98,20))</f>
        <v>0.36524283236394894</v>
      </c>
      <c r="F98" s="23">
        <f t="shared" si="27"/>
        <v>8.2848852014896828</v>
      </c>
      <c r="H98" s="22">
        <f t="shared" si="26"/>
        <v>3.9100000000000003E-2</v>
      </c>
      <c r="I98" s="22"/>
      <c r="J98" s="41"/>
      <c r="K98" s="41">
        <f t="shared" si="23"/>
        <v>2.6850229394189538E-2</v>
      </c>
      <c r="L98" s="41">
        <f t="shared" si="23"/>
        <v>8.1778903924739198E-3</v>
      </c>
      <c r="M98" s="41">
        <f t="shared" si="23"/>
        <v>1.1613432464285367E-3</v>
      </c>
      <c r="N98" s="41">
        <f t="shared" si="23"/>
        <v>2.6343009701004231E-2</v>
      </c>
      <c r="O98" s="67"/>
      <c r="P98" s="41">
        <f t="shared" si="25"/>
        <v>1.2432419451316741E-4</v>
      </c>
      <c r="R98" s="27">
        <f t="shared" si="28"/>
        <v>2.8167712861869045</v>
      </c>
      <c r="S98" s="27">
        <f t="shared" si="28"/>
        <v>1.2090236977012219</v>
      </c>
      <c r="T98" s="27">
        <f t="shared" si="28"/>
        <v>0.52328343282749823</v>
      </c>
      <c r="U98" s="27">
        <f t="shared" si="28"/>
        <v>0.2283428856053423</v>
      </c>
      <c r="V98" s="27">
        <f t="shared" si="28"/>
        <v>0.10044255338799986</v>
      </c>
      <c r="W98" s="27">
        <f t="shared" si="28"/>
        <v>4.4530868356065394E-2</v>
      </c>
      <c r="X98" s="27">
        <f t="shared" si="28"/>
        <v>1.9895416597732009E-2</v>
      </c>
      <c r="Y98" s="27">
        <f t="shared" si="28"/>
        <v>8.9563381402303181E-3</v>
      </c>
    </row>
    <row r="99" spans="1:25" x14ac:dyDescent="0.25">
      <c r="A99" s="21">
        <v>87</v>
      </c>
      <c r="C99" s="25">
        <f t="shared" si="29"/>
        <v>8.4444059615573863</v>
      </c>
      <c r="D99" s="23">
        <f>($B$4/CommAndSportFishingValues!$I$18)*FishHarvestTimeTrends!AC108*((1+'OriginalBCACalculations$2012'!D$10)^MIN('OriginalBCACalculations$2012'!$A99,20))</f>
        <v>2.5719510523003684</v>
      </c>
      <c r="E99" s="23">
        <f>($B$5/CommAndSportFishingValues!$I$19)*FishHarvestTimeTrends!AD108*((1+'OriginalBCACalculations$2012'!E$10)^MIN('OriginalBCACalculations$2012'!$A99,20))</f>
        <v>0.36524302497410199</v>
      </c>
      <c r="F99" s="23">
        <f t="shared" si="27"/>
        <v>8.289027644090428</v>
      </c>
      <c r="H99" s="22">
        <f t="shared" si="26"/>
        <v>3.9100000000000003E-2</v>
      </c>
      <c r="I99" s="22"/>
      <c r="J99" s="41"/>
      <c r="K99" s="41">
        <f t="shared" si="23"/>
        <v>2.5093672331018259E-2</v>
      </c>
      <c r="L99" s="41">
        <f t="shared" si="23"/>
        <v>7.6428936803436334E-3</v>
      </c>
      <c r="M99" s="41">
        <f t="shared" si="23"/>
        <v>1.0853680923932861E-3</v>
      </c>
      <c r="N99" s="41">
        <f t="shared" si="23"/>
        <v>2.4631945052200687E-2</v>
      </c>
      <c r="O99" s="67"/>
      <c r="P99" s="41">
        <f t="shared" si="25"/>
        <v>1.1619083599361441E-4</v>
      </c>
      <c r="R99" s="27">
        <f t="shared" si="28"/>
        <v>2.8209157598075105</v>
      </c>
      <c r="S99" s="27">
        <f t="shared" si="28"/>
        <v>1.1988144575213988</v>
      </c>
      <c r="T99" s="27">
        <f t="shared" si="28"/>
        <v>0.51377781284274637</v>
      </c>
      <c r="U99" s="27">
        <f t="shared" si="28"/>
        <v>0.22201831000338421</v>
      </c>
      <c r="V99" s="27">
        <f t="shared" si="28"/>
        <v>9.6721480915244254E-2</v>
      </c>
      <c r="W99" s="27">
        <f t="shared" si="28"/>
        <v>4.2472751543771517E-2</v>
      </c>
      <c r="X99" s="27">
        <f t="shared" si="28"/>
        <v>1.8796877207877469E-2</v>
      </c>
      <c r="Y99" s="27">
        <f t="shared" si="28"/>
        <v>8.3827253299129569E-3</v>
      </c>
    </row>
    <row r="100" spans="1:25" x14ac:dyDescent="0.25">
      <c r="A100" s="21">
        <v>88</v>
      </c>
      <c r="C100" s="25">
        <f t="shared" si="29"/>
        <v>8.4444059615573863</v>
      </c>
      <c r="D100" s="23">
        <f>($B$4/CommAndSportFishingValues!$I$18)*FishHarvestTimeTrends!AC109*((1+'OriginalBCACalculations$2012'!D$10)^MIN('OriginalBCACalculations$2012'!$A100,20))</f>
        <v>2.5719528907100777</v>
      </c>
      <c r="E100" s="23">
        <f>($B$5/CommAndSportFishingValues!$I$19)*FishHarvestTimeTrends!AD109*((1+'OriginalBCACalculations$2012'!E$10)^MIN('OriginalBCACalculations$2012'!$A100,20))</f>
        <v>0.36524321758425521</v>
      </c>
      <c r="F100" s="23">
        <f t="shared" si="27"/>
        <v>8.2931721579124726</v>
      </c>
      <c r="H100" s="22">
        <f t="shared" si="26"/>
        <v>3.9100000000000003E-2</v>
      </c>
      <c r="I100" s="22"/>
      <c r="J100" s="41"/>
      <c r="K100" s="41">
        <f t="shared" si="23"/>
        <v>2.3452030215904914E-2</v>
      </c>
      <c r="L100" s="41">
        <f t="shared" si="23"/>
        <v>7.1428963957214202E-3</v>
      </c>
      <c r="M100" s="41">
        <f t="shared" si="23"/>
        <v>1.0143632380933674E-3</v>
      </c>
      <c r="N100" s="41">
        <f t="shared" si="23"/>
        <v>2.3032019649277369E-2</v>
      </c>
      <c r="O100" s="67"/>
      <c r="P100" s="41">
        <f t="shared" si="25"/>
        <v>1.0858956634917234E-4</v>
      </c>
      <c r="R100" s="27">
        <f t="shared" si="28"/>
        <v>2.8250623046494194</v>
      </c>
      <c r="S100" s="27">
        <f t="shared" si="28"/>
        <v>1.1886897318971894</v>
      </c>
      <c r="T100" s="27">
        <f t="shared" si="28"/>
        <v>0.50444414662743708</v>
      </c>
      <c r="U100" s="27">
        <f t="shared" si="28"/>
        <v>0.2158686029844053</v>
      </c>
      <c r="V100" s="27">
        <f t="shared" si="28"/>
        <v>9.3138129412794368E-2</v>
      </c>
      <c r="W100" s="27">
        <f t="shared" si="28"/>
        <v>4.050969853077812E-2</v>
      </c>
      <c r="X100" s="27">
        <f t="shared" si="28"/>
        <v>1.7758969128174436E-2</v>
      </c>
      <c r="Y100" s="27">
        <f t="shared" si="28"/>
        <v>7.8458386335364151E-3</v>
      </c>
    </row>
    <row r="101" spans="1:25" x14ac:dyDescent="0.25">
      <c r="A101" s="21">
        <v>89</v>
      </c>
      <c r="C101" s="25">
        <f t="shared" si="29"/>
        <v>8.4444059615573863</v>
      </c>
      <c r="D101" s="23">
        <f>($B$4/CommAndSportFishingValues!$I$18)*FishHarvestTimeTrends!AC110*((1+'OriginalBCACalculations$2012'!D$10)^MIN('OriginalBCACalculations$2012'!$A101,20))</f>
        <v>2.5719547291197866</v>
      </c>
      <c r="E101" s="23">
        <f>($B$5/CommAndSportFishingValues!$I$19)*FishHarvestTimeTrends!AD110*((1+'OriginalBCACalculations$2012'!E$10)^MIN('OriginalBCACalculations$2012'!$A101,20))</f>
        <v>0.3652434101944082</v>
      </c>
      <c r="F101" s="23">
        <f t="shared" si="27"/>
        <v>8.2973187439914291</v>
      </c>
      <c r="H101" s="22">
        <f t="shared" si="26"/>
        <v>3.9100000000000003E-2</v>
      </c>
      <c r="I101" s="22"/>
      <c r="J101" s="41"/>
      <c r="K101" s="41">
        <f t="shared" si="23"/>
        <v>2.1917785248509264E-2</v>
      </c>
      <c r="L101" s="41">
        <f t="shared" si="23"/>
        <v>6.6756088798150103E-3</v>
      </c>
      <c r="M101" s="41">
        <f t="shared" si="23"/>
        <v>9.48003526182653E-4</v>
      </c>
      <c r="N101" s="41">
        <f t="shared" si="23"/>
        <v>2.1536014634674774E-2</v>
      </c>
      <c r="O101" s="67"/>
      <c r="P101" s="41">
        <f t="shared" si="25"/>
        <v>1.0148557602726386E-4</v>
      </c>
      <c r="R101" s="27">
        <f t="shared" si="28"/>
        <v>2.8292109217482366</v>
      </c>
      <c r="S101" s="27">
        <f t="shared" si="28"/>
        <v>1.1786488398835453</v>
      </c>
      <c r="T101" s="27">
        <f t="shared" si="28"/>
        <v>0.49527933842813027</v>
      </c>
      <c r="U101" s="27">
        <f t="shared" si="28"/>
        <v>0.20988893886332438</v>
      </c>
      <c r="V101" s="27">
        <f t="shared" si="28"/>
        <v>8.9687406911414483E-2</v>
      </c>
      <c r="W101" s="27">
        <f t="shared" si="28"/>
        <v>3.8637321153314648E-2</v>
      </c>
      <c r="X101" s="27">
        <f t="shared" si="28"/>
        <v>1.6778347411996776E-2</v>
      </c>
      <c r="Y101" s="27">
        <f t="shared" si="28"/>
        <v>7.3433273681904323E-3</v>
      </c>
    </row>
    <row r="102" spans="1:25" x14ac:dyDescent="0.25">
      <c r="A102" s="21">
        <v>90</v>
      </c>
      <c r="C102" s="25">
        <f t="shared" si="29"/>
        <v>8.4444059615573863</v>
      </c>
      <c r="D102" s="23">
        <f>($B$4/CommAndSportFishingValues!$I$18)*FishHarvestTimeTrends!AC111*((1+'OriginalBCACalculations$2012'!D$10)^MIN('OriginalBCACalculations$2012'!$A102,20))</f>
        <v>2.5719565675294964</v>
      </c>
      <c r="E102" s="23">
        <f>($B$5/CommAndSportFishingValues!$I$19)*FishHarvestTimeTrends!AD111*((1+'OriginalBCACalculations$2012'!E$10)^MIN('OriginalBCACalculations$2012'!$A102,20))</f>
        <v>0.36524360280456131</v>
      </c>
      <c r="F102" s="23">
        <f t="shared" si="27"/>
        <v>8.301467403363425</v>
      </c>
      <c r="H102" s="22">
        <f t="shared" si="26"/>
        <v>3.9100000000000003E-2</v>
      </c>
      <c r="I102" s="22"/>
      <c r="J102" s="41"/>
      <c r="K102" s="41">
        <f t="shared" si="23"/>
        <v>2.0483911447204919E-2</v>
      </c>
      <c r="L102" s="41">
        <f t="shared" si="23"/>
        <v>6.2388912630646377E-3</v>
      </c>
      <c r="M102" s="41">
        <f t="shared" si="23"/>
        <v>8.8598507113067529E-4</v>
      </c>
      <c r="N102" s="41">
        <f t="shared" si="23"/>
        <v>2.0137180039244962E-2</v>
      </c>
      <c r="O102" s="67"/>
      <c r="P102" s="41">
        <f t="shared" si="25"/>
        <v>9.4846332735760609E-5</v>
      </c>
      <c r="R102" s="27">
        <f t="shared" si="28"/>
        <v>2.8333616121400969</v>
      </c>
      <c r="S102" s="27">
        <f t="shared" si="28"/>
        <v>1.1686911058116598</v>
      </c>
      <c r="T102" s="27">
        <f t="shared" si="28"/>
        <v>0.48628034791801628</v>
      </c>
      <c r="U102" s="27">
        <f t="shared" si="28"/>
        <v>0.20407462484538452</v>
      </c>
      <c r="V102" s="27">
        <f t="shared" si="28"/>
        <v>8.6364409501068357E-2</v>
      </c>
      <c r="W102" s="27">
        <f t="shared" si="28"/>
        <v>3.6851433669805866E-2</v>
      </c>
      <c r="X102" s="27">
        <f t="shared" si="28"/>
        <v>1.5851851565004713E-2</v>
      </c>
      <c r="Y102" s="27">
        <f t="shared" si="28"/>
        <v>6.8729912589711173E-3</v>
      </c>
    </row>
    <row r="103" spans="1:25" x14ac:dyDescent="0.25">
      <c r="A103" s="21">
        <v>91</v>
      </c>
      <c r="C103" s="25">
        <f t="shared" si="29"/>
        <v>8.4444059615573863</v>
      </c>
      <c r="D103" s="23">
        <f>($B$4/CommAndSportFishingValues!$I$18)*FishHarvestTimeTrends!AC112*((1+'OriginalBCACalculations$2012'!D$10)^MIN('OriginalBCACalculations$2012'!$A103,20))</f>
        <v>2.5719584059392062</v>
      </c>
      <c r="E103" s="23">
        <f>($B$5/CommAndSportFishingValues!$I$19)*FishHarvestTimeTrends!AD112*((1+'OriginalBCACalculations$2012'!E$10)^MIN('OriginalBCACalculations$2012'!$A103,20))</f>
        <v>0.36524379541471436</v>
      </c>
      <c r="F103" s="23">
        <f t="shared" si="27"/>
        <v>8.3056181370651068</v>
      </c>
      <c r="H103" s="22">
        <f t="shared" si="26"/>
        <v>3.9100000000000003E-2</v>
      </c>
      <c r="I103" s="22"/>
      <c r="J103" s="41"/>
      <c r="K103" s="41">
        <f t="shared" si="23"/>
        <v>1.9143842474023291E-2</v>
      </c>
      <c r="L103" s="41">
        <f t="shared" si="23"/>
        <v>5.8307436659475204E-3</v>
      </c>
      <c r="M103" s="41">
        <f t="shared" si="23"/>
        <v>8.2802386761899932E-4</v>
      </c>
      <c r="N103" s="41">
        <f t="shared" si="23"/>
        <v>1.8829204326415501E-2</v>
      </c>
      <c r="O103" s="67"/>
      <c r="P103" s="41">
        <f t="shared" si="25"/>
        <v>8.8641432463327689E-5</v>
      </c>
      <c r="R103" s="27">
        <f t="shared" si="28"/>
        <v>2.8375143768616411</v>
      </c>
      <c r="S103" s="27">
        <f t="shared" si="28"/>
        <v>1.1588158592505038</v>
      </c>
      <c r="T103" s="27">
        <f t="shared" si="28"/>
        <v>0.47744418921095</v>
      </c>
      <c r="U103" s="27">
        <f t="shared" si="28"/>
        <v>0.19842109737505348</v>
      </c>
      <c r="V103" s="27">
        <f t="shared" si="28"/>
        <v>8.316441439358388E-2</v>
      </c>
      <c r="W103" s="27">
        <f t="shared" si="28"/>
        <v>3.5148043429940379E-2</v>
      </c>
      <c r="X103" s="27">
        <f t="shared" si="28"/>
        <v>1.4976495378617194E-2</v>
      </c>
      <c r="Y103" s="27">
        <f t="shared" si="28"/>
        <v>6.4327708184220584E-3</v>
      </c>
    </row>
    <row r="104" spans="1:25" x14ac:dyDescent="0.25">
      <c r="A104" s="21">
        <v>92</v>
      </c>
      <c r="C104" s="25">
        <f t="shared" si="29"/>
        <v>8.4444059615573863</v>
      </c>
      <c r="D104" s="23">
        <f>($B$4/CommAndSportFishingValues!$I$18)*FishHarvestTimeTrends!AC113*((1+'OriginalBCACalculations$2012'!D$10)^MIN('OriginalBCACalculations$2012'!$A104,20))</f>
        <v>2.5719602443489156</v>
      </c>
      <c r="E104" s="23">
        <f>($B$5/CommAndSportFishingValues!$I$19)*FishHarvestTimeTrends!AD113*((1+'OriginalBCACalculations$2012'!E$10)^MIN('OriginalBCACalculations$2012'!$A104,20))</f>
        <v>0.36524398802486752</v>
      </c>
      <c r="F104" s="23">
        <f t="shared" si="27"/>
        <v>8.3097709461336393</v>
      </c>
      <c r="H104" s="22">
        <f t="shared" si="26"/>
        <v>3.9100000000000003E-2</v>
      </c>
      <c r="I104" s="22"/>
      <c r="J104" s="41"/>
      <c r="K104" s="41">
        <f t="shared" si="23"/>
        <v>1.7891441564507744E-2</v>
      </c>
      <c r="L104" s="41">
        <f t="shared" si="23"/>
        <v>5.4492970408446615E-3</v>
      </c>
      <c r="M104" s="41">
        <f t="shared" si="23"/>
        <v>7.7385448997640248E-4</v>
      </c>
      <c r="N104" s="41">
        <f t="shared" si="23"/>
        <v>1.7606185914559539E-2</v>
      </c>
      <c r="O104" s="67"/>
      <c r="P104" s="41">
        <f t="shared" si="25"/>
        <v>8.2842460246100621E-5</v>
      </c>
      <c r="R104" s="27">
        <f t="shared" si="28"/>
        <v>2.8416692169500362</v>
      </c>
      <c r="S104" s="27">
        <f t="shared" si="28"/>
        <v>1.149022434968632</v>
      </c>
      <c r="T104" s="27">
        <f t="shared" si="28"/>
        <v>0.46876792989289873</v>
      </c>
      <c r="U104" s="27">
        <f t="shared" si="28"/>
        <v>0.19292391858498298</v>
      </c>
      <c r="V104" s="27">
        <f t="shared" si="28"/>
        <v>8.0082873240908126E-2</v>
      </c>
      <c r="W104" s="27">
        <f t="shared" si="28"/>
        <v>3.3523341973538998E-2</v>
      </c>
      <c r="X104" s="27">
        <f t="shared" si="28"/>
        <v>1.4149457323558573E-2</v>
      </c>
      <c r="Y104" s="27">
        <f t="shared" si="28"/>
        <v>6.0207383411189572E-3</v>
      </c>
    </row>
    <row r="105" spans="1:25" x14ac:dyDescent="0.25">
      <c r="A105" s="21">
        <v>93</v>
      </c>
      <c r="C105" s="25">
        <f t="shared" si="29"/>
        <v>8.4444059615573863</v>
      </c>
      <c r="D105" s="23">
        <f>($B$4/CommAndSportFishingValues!$I$18)*FishHarvestTimeTrends!AC114*((1+'OriginalBCACalculations$2012'!D$10)^MIN('OriginalBCACalculations$2012'!$A105,20))</f>
        <v>2.5719620827586249</v>
      </c>
      <c r="E105" s="23">
        <f>($B$5/CommAndSportFishingValues!$I$19)*FishHarvestTimeTrends!AD114*((1+'OriginalBCACalculations$2012'!E$10)^MIN('OriginalBCACalculations$2012'!$A105,20))</f>
        <v>0.36524418063502051</v>
      </c>
      <c r="F105" s="23">
        <f t="shared" si="27"/>
        <v>8.3139258316067064</v>
      </c>
      <c r="H105" s="22">
        <f t="shared" si="26"/>
        <v>3.9100000000000003E-2</v>
      </c>
      <c r="I105" s="22"/>
      <c r="J105" s="41"/>
      <c r="K105" s="41">
        <f t="shared" si="23"/>
        <v>1.6720973424773598E-2</v>
      </c>
      <c r="L105" s="41">
        <f t="shared" si="23"/>
        <v>5.0928046130317558E-3</v>
      </c>
      <c r="M105" s="41">
        <f t="shared" si="23"/>
        <v>7.2322887669709309E-4</v>
      </c>
      <c r="N105" s="41">
        <f t="shared" si="23"/>
        <v>1.6462606549081143E-2</v>
      </c>
      <c r="O105" s="67"/>
      <c r="P105" s="41">
        <f t="shared" si="25"/>
        <v>7.7422860043084715E-5</v>
      </c>
      <c r="R105" s="27">
        <f t="shared" si="28"/>
        <v>2.845826133442964</v>
      </c>
      <c r="S105" s="27">
        <f t="shared" si="28"/>
        <v>1.139310172896226</v>
      </c>
      <c r="T105" s="27">
        <f t="shared" si="28"/>
        <v>0.46024869007048419</v>
      </c>
      <c r="U105" s="27">
        <f t="shared" si="28"/>
        <v>0.18757877284228741</v>
      </c>
      <c r="V105" s="27">
        <f t="shared" si="28"/>
        <v>7.7115405699546932E-2</v>
      </c>
      <c r="W105" s="27">
        <f t="shared" si="28"/>
        <v>3.1973696539440918E-2</v>
      </c>
      <c r="X105" s="27">
        <f t="shared" si="28"/>
        <v>1.3368071472640849E-2</v>
      </c>
      <c r="Y105" s="27">
        <f t="shared" si="28"/>
        <v>5.6350894740794756E-3</v>
      </c>
    </row>
    <row r="106" spans="1:25" x14ac:dyDescent="0.25">
      <c r="A106" s="21">
        <v>94</v>
      </c>
      <c r="C106" s="25">
        <f t="shared" si="29"/>
        <v>8.4444059615573863</v>
      </c>
      <c r="D106" s="23">
        <f>($B$4/CommAndSportFishingValues!$I$18)*FishHarvestTimeTrends!AC115*((1+'OriginalBCACalculations$2012'!D$10)^MIN('OriginalBCACalculations$2012'!$A106,20))</f>
        <v>2.5719639211683347</v>
      </c>
      <c r="E106" s="23">
        <f>($B$5/CommAndSportFishingValues!$I$19)*FishHarvestTimeTrends!AD115*((1+'OriginalBCACalculations$2012'!E$10)^MIN('OriginalBCACalculations$2012'!$A106,20))</f>
        <v>0.36524437324517367</v>
      </c>
      <c r="F106" s="23">
        <f t="shared" si="27"/>
        <v>8.3180827945225086</v>
      </c>
      <c r="H106" s="22">
        <f t="shared" si="26"/>
        <v>3.9100000000000003E-2</v>
      </c>
      <c r="I106" s="22"/>
      <c r="J106" s="41"/>
      <c r="K106" s="41">
        <f t="shared" si="23"/>
        <v>1.5627077967078129E-2</v>
      </c>
      <c r="L106" s="41">
        <f t="shared" si="23"/>
        <v>4.7596338815995252E-3</v>
      </c>
      <c r="M106" s="41">
        <f t="shared" si="23"/>
        <v>6.7591519447582934E-4</v>
      </c>
      <c r="N106" s="41">
        <f t="shared" si="23"/>
        <v>1.5393306404070729E-2</v>
      </c>
      <c r="O106" s="67"/>
      <c r="P106" s="41">
        <f t="shared" si="25"/>
        <v>7.2357813124378239E-5</v>
      </c>
      <c r="R106" s="27">
        <f t="shared" si="28"/>
        <v>2.8499851273786305</v>
      </c>
      <c r="S106" s="27">
        <f t="shared" si="28"/>
        <v>1.129678418087398</v>
      </c>
      <c r="T106" s="27">
        <f t="shared" si="28"/>
        <v>0.45188364143633053</v>
      </c>
      <c r="U106" s="27">
        <f t="shared" si="28"/>
        <v>0.18238146338948674</v>
      </c>
      <c r="V106" s="27">
        <f t="shared" si="28"/>
        <v>7.4257793232132177E-2</v>
      </c>
      <c r="W106" s="27">
        <f t="shared" si="28"/>
        <v>3.0495641965535926E-2</v>
      </c>
      <c r="X106" s="27">
        <f t="shared" si="28"/>
        <v>1.2629818923640309E-2</v>
      </c>
      <c r="Y106" s="27">
        <f t="shared" si="28"/>
        <v>5.2741353261923337E-3</v>
      </c>
    </row>
    <row r="107" spans="1:25" x14ac:dyDescent="0.25">
      <c r="A107" s="21">
        <v>95</v>
      </c>
      <c r="C107" s="25">
        <f t="shared" si="29"/>
        <v>8.4444059615573863</v>
      </c>
      <c r="D107" s="23">
        <f>($B$4/CommAndSportFishingValues!$I$18)*FishHarvestTimeTrends!AC116*((1+'OriginalBCACalculations$2012'!D$10)^MIN('OriginalBCACalculations$2012'!$A107,20))</f>
        <v>2.5719657595780441</v>
      </c>
      <c r="E107" s="23">
        <f>($B$5/CommAndSportFishingValues!$I$19)*FishHarvestTimeTrends!AD116*((1+'OriginalBCACalculations$2012'!E$10)^MIN('OriginalBCACalculations$2012'!$A107,20))</f>
        <v>0.36524456585532677</v>
      </c>
      <c r="F107" s="23">
        <f t="shared" si="27"/>
        <v>8.322241835919769</v>
      </c>
      <c r="H107" s="22">
        <f t="shared" si="26"/>
        <v>3.9100000000000003E-2</v>
      </c>
      <c r="I107" s="22"/>
      <c r="J107" s="41"/>
      <c r="K107" s="41">
        <f t="shared" si="23"/>
        <v>1.4604745763624419E-2</v>
      </c>
      <c r="L107" s="41">
        <f t="shared" si="23"/>
        <v>4.4482591436730079E-3</v>
      </c>
      <c r="M107" s="41">
        <f t="shared" si="23"/>
        <v>6.3169677655793661E-4</v>
      </c>
      <c r="N107" s="41">
        <f t="shared" si="23"/>
        <v>1.4393460801189499E-2</v>
      </c>
      <c r="O107" s="67"/>
      <c r="P107" s="41">
        <f t="shared" si="25"/>
        <v>6.7624124415306767E-5</v>
      </c>
      <c r="R107" s="27">
        <f t="shared" si="28"/>
        <v>2.8541461997957533</v>
      </c>
      <c r="S107" s="27">
        <f t="shared" si="28"/>
        <v>1.1201265206827267</v>
      </c>
      <c r="T107" s="27">
        <f t="shared" si="28"/>
        <v>0.44367000635091414</v>
      </c>
      <c r="U107" s="27">
        <f t="shared" si="28"/>
        <v>0.17732790907752249</v>
      </c>
      <c r="V107" s="27">
        <f t="shared" si="28"/>
        <v>7.1505973137389878E-2</v>
      </c>
      <c r="W107" s="27">
        <f t="shared" si="28"/>
        <v>2.9085872961938462E-2</v>
      </c>
      <c r="X107" s="27">
        <f t="shared" si="28"/>
        <v>1.1932319694730796E-2</v>
      </c>
      <c r="Y107" s="27">
        <f t="shared" si="28"/>
        <v>4.93629508221133E-3</v>
      </c>
    </row>
    <row r="108" spans="1:25" x14ac:dyDescent="0.25">
      <c r="A108" s="21">
        <v>96</v>
      </c>
      <c r="C108" s="25">
        <f t="shared" si="29"/>
        <v>8.4444059615573863</v>
      </c>
      <c r="D108" s="23">
        <f>($B$4/CommAndSportFishingValues!$I$18)*FishHarvestTimeTrends!AC117*((1+'OriginalBCACalculations$2012'!D$10)^MIN('OriginalBCACalculations$2012'!$A108,20))</f>
        <v>2.571967597987753</v>
      </c>
      <c r="E108" s="23">
        <f>($B$5/CommAndSportFishingValues!$I$19)*FishHarvestTimeTrends!AD117*((1+'OriginalBCACalculations$2012'!E$10)^MIN('OriginalBCACalculations$2012'!$A108,20))</f>
        <v>0.36524475846547982</v>
      </c>
      <c r="F108" s="23">
        <f t="shared" si="27"/>
        <v>8.3264029568377289</v>
      </c>
      <c r="H108" s="22">
        <f t="shared" si="26"/>
        <v>3.9100000000000003E-2</v>
      </c>
      <c r="I108" s="22"/>
      <c r="J108" s="41"/>
      <c r="K108" s="41">
        <f t="shared" si="23"/>
        <v>1.3649295106191041E-2</v>
      </c>
      <c r="L108" s="41">
        <f t="shared" si="23"/>
        <v>4.1572545076956147E-3</v>
      </c>
      <c r="M108" s="41">
        <f t="shared" si="23"/>
        <v>5.9037113054254044E-4</v>
      </c>
      <c r="N108" s="41">
        <f t="shared" si="23"/>
        <v>1.3458558440738401E-2</v>
      </c>
      <c r="O108" s="67"/>
      <c r="P108" s="41">
        <f t="shared" si="25"/>
        <v>6.3200116275987609E-5</v>
      </c>
      <c r="R108" s="27">
        <f t="shared" si="28"/>
        <v>2.8583093517335758</v>
      </c>
      <c r="S108" s="27">
        <f t="shared" si="28"/>
        <v>1.1106538358720555</v>
      </c>
      <c r="T108" s="27">
        <f t="shared" si="28"/>
        <v>0.43560505694063789</v>
      </c>
      <c r="U108" s="27">
        <f t="shared" si="28"/>
        <v>0.17241414118833395</v>
      </c>
      <c r="V108" s="27">
        <f t="shared" si="28"/>
        <v>6.8856032800105882E-2</v>
      </c>
      <c r="W108" s="27">
        <f t="shared" si="28"/>
        <v>2.7741236740127743E-2</v>
      </c>
      <c r="X108" s="27">
        <f t="shared" si="28"/>
        <v>1.1273325066451668E-2</v>
      </c>
      <c r="Y108" s="27">
        <f t="shared" si="28"/>
        <v>4.6200890890615021E-3</v>
      </c>
    </row>
    <row r="109" spans="1:25" x14ac:dyDescent="0.25">
      <c r="A109" s="21">
        <v>97</v>
      </c>
      <c r="C109" s="25">
        <f t="shared" si="29"/>
        <v>8.4444059615573863</v>
      </c>
      <c r="D109" s="23">
        <f>($B$4/CommAndSportFishingValues!$I$18)*FishHarvestTimeTrends!AC118*((1+'OriginalBCACalculations$2012'!D$10)^MIN('OriginalBCACalculations$2012'!$A109,20))</f>
        <v>2.5719694363974628</v>
      </c>
      <c r="E109" s="23">
        <f>($B$5/CommAndSportFishingValues!$I$19)*FishHarvestTimeTrends!AD118*((1+'OriginalBCACalculations$2012'!E$10)^MIN('OriginalBCACalculations$2012'!$A109,20))</f>
        <v>0.36524495107563293</v>
      </c>
      <c r="F109" s="23">
        <f t="shared" si="27"/>
        <v>8.330566158316147</v>
      </c>
      <c r="H109" s="22">
        <f t="shared" si="26"/>
        <v>3.9100000000000003E-2</v>
      </c>
      <c r="I109" s="22"/>
      <c r="J109" s="41"/>
      <c r="K109" s="41">
        <f t="shared" si="23"/>
        <v>1.2756350566533688E-2</v>
      </c>
      <c r="L109" s="41">
        <f t="shared" si="23"/>
        <v>3.8852873637833974E-3</v>
      </c>
      <c r="M109" s="41">
        <f t="shared" si="23"/>
        <v>5.5174901109537996E-4</v>
      </c>
      <c r="N109" s="41">
        <f t="shared" si="23"/>
        <v>1.2584381046690442E-2</v>
      </c>
      <c r="O109" s="67"/>
      <c r="P109" s="41">
        <f t="shared" si="25"/>
        <v>5.9065529229894979E-5</v>
      </c>
      <c r="R109" s="27">
        <f t="shared" si="28"/>
        <v>2.8624745842318564</v>
      </c>
      <c r="S109" s="27">
        <f t="shared" si="28"/>
        <v>1.1012597238575192</v>
      </c>
      <c r="T109" s="27">
        <f t="shared" si="28"/>
        <v>0.4276861142118345</v>
      </c>
      <c r="U109" s="27">
        <f t="shared" si="28"/>
        <v>0.16763630034454247</v>
      </c>
      <c r="V109" s="27">
        <f t="shared" si="28"/>
        <v>6.6304204152991639E-2</v>
      </c>
      <c r="W109" s="27">
        <f t="shared" si="28"/>
        <v>2.6458725981667666E-2</v>
      </c>
      <c r="X109" s="27">
        <f t="shared" si="28"/>
        <v>1.0650710345620377E-2</v>
      </c>
      <c r="Y109" s="27">
        <f t="shared" si="28"/>
        <v>4.3241323842654264E-3</v>
      </c>
    </row>
    <row r="110" spans="1:25" x14ac:dyDescent="0.25">
      <c r="A110" s="21">
        <v>98</v>
      </c>
      <c r="C110" s="25">
        <f t="shared" si="29"/>
        <v>8.4444059615573863</v>
      </c>
      <c r="D110" s="23">
        <f>($B$4/CommAndSportFishingValues!$I$18)*FishHarvestTimeTrends!AC119*((1+'OriginalBCACalculations$2012'!D$10)^MIN('OriginalBCACalculations$2012'!$A110,20))</f>
        <v>2.5719712748071726</v>
      </c>
      <c r="E110" s="23">
        <f>($B$5/CommAndSportFishingValues!$I$19)*FishHarvestTimeTrends!AD119*((1+'OriginalBCACalculations$2012'!E$10)^MIN('OriginalBCACalculations$2012'!$A110,20))</f>
        <v>0.36524514368578598</v>
      </c>
      <c r="F110" s="23">
        <f t="shared" si="27"/>
        <v>8.334731441395304</v>
      </c>
      <c r="H110" s="22">
        <f t="shared" si="26"/>
        <v>3.9100000000000003E-2</v>
      </c>
      <c r="I110" s="22"/>
      <c r="J110" s="41"/>
      <c r="K110" s="41">
        <f t="shared" si="23"/>
        <v>1.1921822959377278E-2</v>
      </c>
      <c r="L110" s="41">
        <f t="shared" si="23"/>
        <v>3.6311122812480168E-3</v>
      </c>
      <c r="M110" s="41">
        <f t="shared" si="23"/>
        <v>5.1565355332480766E-4</v>
      </c>
      <c r="N110" s="41">
        <f t="shared" si="23"/>
        <v>1.1766984333844658E-2</v>
      </c>
      <c r="O110" s="67"/>
      <c r="P110" s="41">
        <f t="shared" si="25"/>
        <v>5.5201429186817734E-5</v>
      </c>
      <c r="R110" s="27">
        <f t="shared" ref="R110:Y112" si="30">(SUM($D110:$H110)-SUM($B110:$C110))/((1+R$10)^($A110-1))</f>
        <v>2.8666418983308759</v>
      </c>
      <c r="S110" s="27">
        <f t="shared" si="30"/>
        <v>1.0919435498168304</v>
      </c>
      <c r="T110" s="27">
        <f t="shared" si="30"/>
        <v>0.41991054718042958</v>
      </c>
      <c r="U110" s="27">
        <f t="shared" si="30"/>
        <v>0.16299063350386545</v>
      </c>
      <c r="V110" s="27">
        <f t="shared" si="30"/>
        <v>6.3846858342652399E-2</v>
      </c>
      <c r="W110" s="27">
        <f t="shared" si="30"/>
        <v>2.5235472130874067E-2</v>
      </c>
      <c r="X110" s="27">
        <f t="shared" si="30"/>
        <v>1.0062468027953238E-2</v>
      </c>
      <c r="Y110" s="27">
        <f t="shared" si="30"/>
        <v>4.047128638227023E-3</v>
      </c>
    </row>
    <row r="111" spans="1:25" x14ac:dyDescent="0.25">
      <c r="A111" s="21">
        <v>99</v>
      </c>
      <c r="C111" s="25">
        <f t="shared" si="29"/>
        <v>8.4444059615573863</v>
      </c>
      <c r="D111" s="23">
        <f>($B$4/CommAndSportFishingValues!$I$18)*FishHarvestTimeTrends!AC120*((1+'OriginalBCACalculations$2012'!D$10)^MIN('OriginalBCACalculations$2012'!$A111,20))</f>
        <v>2.5719731132168815</v>
      </c>
      <c r="E111" s="23">
        <f>($B$5/CommAndSportFishingValues!$I$19)*FishHarvestTimeTrends!AD120*((1+'OriginalBCACalculations$2012'!E$10)^MIN('OriginalBCACalculations$2012'!$A111,20))</f>
        <v>0.36524533629593914</v>
      </c>
      <c r="F111" s="23">
        <f t="shared" si="27"/>
        <v>8.3388988071160011</v>
      </c>
      <c r="H111" s="22">
        <f t="shared" si="26"/>
        <v>3.9100000000000003E-2</v>
      </c>
      <c r="I111" s="22"/>
      <c r="J111" s="41"/>
      <c r="K111" s="41">
        <f t="shared" si="23"/>
        <v>1.1141890616240446E-2</v>
      </c>
      <c r="L111" s="41">
        <f t="shared" si="23"/>
        <v>3.3935653053431369E-3</v>
      </c>
      <c r="M111" s="41">
        <f t="shared" si="23"/>
        <v>4.8191946285239647E-4</v>
      </c>
      <c r="N111" s="41">
        <f t="shared" si="23"/>
        <v>1.1002680211225776E-2</v>
      </c>
      <c r="O111" s="67"/>
      <c r="P111" s="41">
        <f t="shared" si="25"/>
        <v>5.1590120735343671E-5</v>
      </c>
      <c r="R111" s="27">
        <f t="shared" si="30"/>
        <v>2.8708112950714355</v>
      </c>
      <c r="S111" s="27">
        <f t="shared" si="30"/>
        <v>1.0827046838667949</v>
      </c>
      <c r="T111" s="27">
        <f t="shared" si="30"/>
        <v>0.41227577201698334</v>
      </c>
      <c r="U111" s="27">
        <f t="shared" si="30"/>
        <v>0.15847349103594205</v>
      </c>
      <c r="V111" s="27">
        <f t="shared" si="30"/>
        <v>6.1480500592145451E-2</v>
      </c>
      <c r="W111" s="27">
        <f t="shared" si="30"/>
        <v>2.4068738996516181E-2</v>
      </c>
      <c r="X111" s="27">
        <f t="shared" si="30"/>
        <v>9.5067013374367897E-3</v>
      </c>
      <c r="Y111" s="27">
        <f t="shared" si="30"/>
        <v>3.7878644839162067E-3</v>
      </c>
    </row>
    <row r="112" spans="1:25" x14ac:dyDescent="0.25">
      <c r="A112" s="21">
        <v>100</v>
      </c>
      <c r="C112" s="25">
        <f t="shared" si="29"/>
        <v>8.4444059615573863</v>
      </c>
      <c r="D112" s="23">
        <f>($B$4/CommAndSportFishingValues!$I$18)*FishHarvestTimeTrends!AC121*((1+'OriginalBCACalculations$2012'!D$10)^MIN('OriginalBCACalculations$2012'!$A112,20))</f>
        <v>2.5719749516265913</v>
      </c>
      <c r="E112" s="23">
        <f>($B$5/CommAndSportFishingValues!$I$19)*FishHarvestTimeTrends!AD121*((1+'OriginalBCACalculations$2012'!E$10)^MIN('OriginalBCACalculations$2012'!$A112,20))</f>
        <v>0.36524552890609219</v>
      </c>
      <c r="F112" s="23">
        <f t="shared" si="27"/>
        <v>8.3430682565195582</v>
      </c>
      <c r="H112" s="22">
        <f t="shared" si="26"/>
        <v>3.9100000000000003E-2</v>
      </c>
      <c r="I112" s="22"/>
      <c r="J112" s="41"/>
      <c r="K112" s="41">
        <f t="shared" si="23"/>
        <v>1.0412981884336866E-2</v>
      </c>
      <c r="L112" s="41">
        <f t="shared" si="23"/>
        <v>3.1715586271170385E-3</v>
      </c>
      <c r="M112" s="41">
        <f t="shared" si="23"/>
        <v>4.5039225886917689E-4</v>
      </c>
      <c r="N112" s="41">
        <f t="shared" si="23"/>
        <v>1.0288020141431202E-2</v>
      </c>
      <c r="O112" s="67"/>
      <c r="P112" s="41">
        <f t="shared" si="25"/>
        <v>4.8215066107797823E-5</v>
      </c>
      <c r="R112" s="27">
        <f t="shared" si="30"/>
        <v>2.8749827754948551</v>
      </c>
      <c r="S112" s="27">
        <f t="shared" si="30"/>
        <v>1.0735425010270734</v>
      </c>
      <c r="T112" s="27">
        <f t="shared" si="30"/>
        <v>0.4047792512068446</v>
      </c>
      <c r="U112" s="27">
        <f t="shared" si="30"/>
        <v>0.15408132387931672</v>
      </c>
      <c r="V112" s="27">
        <f t="shared" si="30"/>
        <v>5.9201765252892877E-2</v>
      </c>
      <c r="W112" s="27">
        <f t="shared" si="30"/>
        <v>2.2955916648324675E-2</v>
      </c>
      <c r="X112" s="27">
        <f t="shared" si="30"/>
        <v>8.9816181217007695E-3</v>
      </c>
      <c r="Y112" s="27">
        <f t="shared" si="30"/>
        <v>3.5452042091883504E-3</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2"/>
  <sheetViews>
    <sheetView workbookViewId="0">
      <selection activeCell="F2" sqref="F2:G2"/>
    </sheetView>
  </sheetViews>
  <sheetFormatPr defaultRowHeight="15" x14ac:dyDescent="0.25"/>
  <cols>
    <col min="1" max="1" width="36.42578125" style="21" customWidth="1"/>
    <col min="2" max="2" width="14.28515625" style="21" customWidth="1"/>
    <col min="3" max="3" width="11.85546875" style="21" customWidth="1"/>
    <col min="4" max="4" width="13.140625" style="21" customWidth="1"/>
    <col min="5" max="5" width="13.28515625" style="21" customWidth="1"/>
    <col min="6" max="6" width="14.28515625" style="21" customWidth="1"/>
    <col min="7" max="7" width="13.42578125" style="21" customWidth="1"/>
    <col min="8" max="9" width="11.5703125" style="21" customWidth="1"/>
    <col min="10" max="10" width="12.42578125" style="21" customWidth="1"/>
    <col min="11" max="16" width="11.5703125" style="21" customWidth="1"/>
    <col min="17" max="17" width="9.140625" style="21"/>
    <col min="18" max="25" width="12.5703125" style="21" bestFit="1" customWidth="1"/>
    <col min="26" max="16384" width="9.140625" style="21"/>
  </cols>
  <sheetData>
    <row r="1" spans="1:25" x14ac:dyDescent="0.25">
      <c r="B1" s="28" t="s">
        <v>110</v>
      </c>
      <c r="E1" s="74" t="s">
        <v>111</v>
      </c>
      <c r="R1" s="28" t="s">
        <v>51</v>
      </c>
    </row>
    <row r="2" spans="1:25" x14ac:dyDescent="0.25">
      <c r="A2" s="29" t="s">
        <v>1</v>
      </c>
      <c r="B2" s="68">
        <v>70</v>
      </c>
      <c r="C2" s="70" t="s">
        <v>112</v>
      </c>
      <c r="F2" s="28" t="s">
        <v>108</v>
      </c>
      <c r="G2" s="78">
        <v>37.9</v>
      </c>
      <c r="R2" s="28">
        <v>0</v>
      </c>
      <c r="S2" s="28">
        <v>0.01</v>
      </c>
      <c r="T2" s="28">
        <v>0.02</v>
      </c>
      <c r="U2" s="28">
        <v>0.03</v>
      </c>
      <c r="V2" s="28">
        <v>0.04</v>
      </c>
      <c r="W2" s="28">
        <v>0.05</v>
      </c>
      <c r="X2" s="28">
        <v>0.06</v>
      </c>
      <c r="Y2" s="28">
        <v>7.0000000000000007E-2</v>
      </c>
    </row>
    <row r="3" spans="1:25" x14ac:dyDescent="0.25">
      <c r="A3" s="60" t="s">
        <v>99</v>
      </c>
      <c r="B3" s="69">
        <v>5.7965</v>
      </c>
      <c r="C3" s="71">
        <f>B3/0.172</f>
        <v>33.700581395348841</v>
      </c>
      <c r="D3" s="28" t="s">
        <v>109</v>
      </c>
      <c r="Q3" s="28" t="s">
        <v>54</v>
      </c>
      <c r="R3" s="42">
        <f>SUM(R13:R42)-$G$2</f>
        <v>48419.687135649372</v>
      </c>
      <c r="S3" s="42">
        <f t="shared" ref="S3:Y3" si="0">SUM(S13:S42)-$G$2</f>
        <v>46309.968267210577</v>
      </c>
      <c r="T3" s="42">
        <f t="shared" si="0"/>
        <v>44348.075928280741</v>
      </c>
      <c r="U3" s="42">
        <f t="shared" si="0"/>
        <v>42521.335353302871</v>
      </c>
      <c r="V3" s="42">
        <f t="shared" si="0"/>
        <v>40818.338729177143</v>
      </c>
      <c r="W3" s="42">
        <f t="shared" si="0"/>
        <v>39228.799136997019</v>
      </c>
      <c r="X3" s="42">
        <f t="shared" si="0"/>
        <v>37743.424090769186</v>
      </c>
      <c r="Y3" s="42">
        <f t="shared" si="0"/>
        <v>36353.805563615824</v>
      </c>
    </row>
    <row r="4" spans="1:25" x14ac:dyDescent="0.25">
      <c r="A4" s="31" t="s">
        <v>27</v>
      </c>
      <c r="B4" s="69">
        <v>3.16</v>
      </c>
      <c r="Q4" s="28" t="s">
        <v>55</v>
      </c>
      <c r="R4" s="42">
        <f>SUM(R13:R52)-$G$2</f>
        <v>48445.607064234435</v>
      </c>
      <c r="S4" s="42">
        <f t="shared" ref="S4:Y4" si="1">SUM(S13:S52)-$G$2</f>
        <v>46328.359778019585</v>
      </c>
      <c r="T4" s="42">
        <f t="shared" si="1"/>
        <v>44361.180371487302</v>
      </c>
      <c r="U4" s="42">
        <f t="shared" si="1"/>
        <v>42530.710931027199</v>
      </c>
      <c r="V4" s="42">
        <f t="shared" si="1"/>
        <v>40825.073416466439</v>
      </c>
      <c r="W4" s="42">
        <f t="shared" si="1"/>
        <v>39233.655814563121</v>
      </c>
      <c r="X4" s="42">
        <f t="shared" si="1"/>
        <v>37746.93991310829</v>
      </c>
      <c r="Y4" s="42">
        <f t="shared" si="1"/>
        <v>36356.3602912524</v>
      </c>
    </row>
    <row r="5" spans="1:25" x14ac:dyDescent="0.25">
      <c r="A5" s="31" t="s">
        <v>45</v>
      </c>
      <c r="B5" s="73">
        <v>0.5</v>
      </c>
      <c r="Q5" s="28" t="s">
        <v>56</v>
      </c>
      <c r="R5" s="42">
        <f>SUM(R13:R62)-$G$2</f>
        <v>48472.106683764745</v>
      </c>
      <c r="S5" s="42">
        <f t="shared" ref="S5:Y5" si="2">SUM(S13:S62)-$G$2</f>
        <v>46345.383682086074</v>
      </c>
      <c r="T5" s="42">
        <f t="shared" si="2"/>
        <v>44372.173504594655</v>
      </c>
      <c r="U5" s="42">
        <f t="shared" si="2"/>
        <v>42537.845685015956</v>
      </c>
      <c r="V5" s="42">
        <f t="shared" si="2"/>
        <v>40829.72697566689</v>
      </c>
      <c r="W5" s="42">
        <f t="shared" si="2"/>
        <v>39236.705779523312</v>
      </c>
      <c r="X5" s="42">
        <f t="shared" si="2"/>
        <v>37748.948374810432</v>
      </c>
      <c r="Y5" s="42">
        <f t="shared" si="2"/>
        <v>36357.68905618092</v>
      </c>
    </row>
    <row r="6" spans="1:25" x14ac:dyDescent="0.25">
      <c r="A6" s="31" t="s">
        <v>46</v>
      </c>
      <c r="B6" s="69">
        <v>8</v>
      </c>
      <c r="Q6" s="28" t="s">
        <v>57</v>
      </c>
      <c r="R6" s="42">
        <f>R11-$G$2</f>
        <v>48572.886360487173</v>
      </c>
      <c r="S6" s="42">
        <f t="shared" ref="S6:Y6" si="3">S11-$G$2</f>
        <v>46374.042391624782</v>
      </c>
      <c r="T6" s="42">
        <f t="shared" si="3"/>
        <v>44367.103022632073</v>
      </c>
      <c r="U6" s="42">
        <f t="shared" si="3"/>
        <v>42516.564674535592</v>
      </c>
      <c r="V6" s="42">
        <f t="shared" si="3"/>
        <v>40800.446858475319</v>
      </c>
      <c r="W6" s="42">
        <f t="shared" si="3"/>
        <v>39203.378219780752</v>
      </c>
      <c r="X6" s="42">
        <f t="shared" si="3"/>
        <v>37713.524127622062</v>
      </c>
      <c r="Y6" s="42">
        <f t="shared" si="3"/>
        <v>36321.15475412814</v>
      </c>
    </row>
    <row r="7" spans="1:25" x14ac:dyDescent="0.25">
      <c r="A7" s="31" t="s">
        <v>48</v>
      </c>
      <c r="B7" s="76">
        <v>4845.2</v>
      </c>
      <c r="C7" s="25"/>
    </row>
    <row r="8" spans="1:25" x14ac:dyDescent="0.25">
      <c r="A8" s="35" t="s">
        <v>50</v>
      </c>
      <c r="B8" s="75">
        <v>3.9100000000000003E-2</v>
      </c>
      <c r="L8" s="47"/>
      <c r="M8" s="48"/>
    </row>
    <row r="9" spans="1:25" x14ac:dyDescent="0.25">
      <c r="B9" s="28" t="s">
        <v>58</v>
      </c>
      <c r="J9" s="47" t="s">
        <v>52</v>
      </c>
      <c r="L9" s="39" t="s">
        <v>53</v>
      </c>
      <c r="M9" s="40">
        <v>0</v>
      </c>
      <c r="O9" s="39" t="s">
        <v>113</v>
      </c>
      <c r="P9" s="77">
        <f>(L11+M11+N11+O11+P11)/(J11+K11+G2)</f>
        <v>53.593977625275059</v>
      </c>
      <c r="R9" s="28" t="s">
        <v>51</v>
      </c>
    </row>
    <row r="10" spans="1:25" x14ac:dyDescent="0.25">
      <c r="A10" s="21" t="s">
        <v>3</v>
      </c>
      <c r="C10" s="21">
        <v>0.02</v>
      </c>
      <c r="D10" s="21">
        <v>8.0000000000000004E-4</v>
      </c>
      <c r="E10" s="38">
        <v>5.0000000000000001E-4</v>
      </c>
      <c r="F10" s="21">
        <v>5.0000000000000001E-4</v>
      </c>
      <c r="G10" s="38">
        <v>5.0000000000000001E-4</v>
      </c>
      <c r="J10" s="28"/>
      <c r="K10" s="28"/>
      <c r="L10" s="28"/>
      <c r="M10" s="28"/>
      <c r="N10" s="28"/>
      <c r="O10" s="28"/>
      <c r="R10" s="28">
        <v>0</v>
      </c>
      <c r="S10" s="28">
        <v>0.01</v>
      </c>
      <c r="T10" s="28">
        <v>0.02</v>
      </c>
      <c r="U10" s="28">
        <v>0.03</v>
      </c>
      <c r="V10" s="28">
        <v>0.04</v>
      </c>
      <c r="W10" s="28">
        <v>0.05</v>
      </c>
      <c r="X10" s="28">
        <v>0.06</v>
      </c>
      <c r="Y10" s="28">
        <v>7.0000000000000007E-2</v>
      </c>
    </row>
    <row r="11" spans="1:25" x14ac:dyDescent="0.25">
      <c r="B11" s="22"/>
      <c r="C11" s="22"/>
      <c r="D11" s="22"/>
      <c r="J11" s="72">
        <f>SUM(J13:J112)</f>
        <v>69.999999999999972</v>
      </c>
      <c r="K11" s="72">
        <f t="shared" ref="K11:P11" si="4">SUM(K13:K112)</f>
        <v>816.39218096401896</v>
      </c>
      <c r="L11" s="72">
        <f t="shared" si="4"/>
        <v>212.60993581397938</v>
      </c>
      <c r="M11" s="72">
        <f t="shared" si="4"/>
        <v>29.4061654297874</v>
      </c>
      <c r="N11" s="72">
        <f t="shared" si="4"/>
        <v>729.67958129571548</v>
      </c>
      <c r="O11" s="72">
        <f>SUM(O13:O112)</f>
        <v>48561.162483262837</v>
      </c>
      <c r="P11" s="72">
        <f t="shared" si="4"/>
        <v>3.6362999999999945</v>
      </c>
      <c r="R11" s="27">
        <f>SUM(R13:R112)-$G$2</f>
        <v>48610.786360487175</v>
      </c>
      <c r="S11" s="27">
        <f t="shared" ref="S11:Y11" si="5">SUM(S13:S112)-$G$2</f>
        <v>46411.942391624783</v>
      </c>
      <c r="T11" s="27">
        <f t="shared" si="5"/>
        <v>44405.003022632074</v>
      </c>
      <c r="U11" s="27">
        <f t="shared" si="5"/>
        <v>42554.464674535593</v>
      </c>
      <c r="V11" s="27">
        <f t="shared" si="5"/>
        <v>40838.346858475321</v>
      </c>
      <c r="W11" s="27">
        <f t="shared" si="5"/>
        <v>39241.278219780754</v>
      </c>
      <c r="X11" s="27">
        <f t="shared" si="5"/>
        <v>37751.424127622064</v>
      </c>
      <c r="Y11" s="27">
        <f t="shared" si="5"/>
        <v>36359.054754128141</v>
      </c>
    </row>
    <row r="12" spans="1:25" ht="60" x14ac:dyDescent="0.25">
      <c r="A12" s="21" t="s">
        <v>0</v>
      </c>
      <c r="B12" s="24" t="s">
        <v>4</v>
      </c>
      <c r="C12" s="24" t="s">
        <v>5</v>
      </c>
      <c r="D12" s="24" t="s">
        <v>6</v>
      </c>
      <c r="E12" s="24" t="s">
        <v>44</v>
      </c>
      <c r="F12" s="24" t="s">
        <v>7</v>
      </c>
      <c r="G12" s="26" t="s">
        <v>47</v>
      </c>
      <c r="H12" s="26" t="s">
        <v>49</v>
      </c>
      <c r="I12" s="26"/>
      <c r="J12" s="24" t="s">
        <v>4</v>
      </c>
      <c r="K12" s="24" t="s">
        <v>5</v>
      </c>
      <c r="L12" s="24" t="s">
        <v>6</v>
      </c>
      <c r="M12" s="24" t="s">
        <v>44</v>
      </c>
      <c r="N12" s="24" t="s">
        <v>7</v>
      </c>
      <c r="O12" s="26" t="s">
        <v>47</v>
      </c>
      <c r="P12" s="26" t="s">
        <v>49</v>
      </c>
      <c r="R12" s="27"/>
      <c r="S12" s="27"/>
      <c r="T12" s="27"/>
      <c r="U12" s="27"/>
      <c r="V12" s="27"/>
      <c r="W12" s="27"/>
      <c r="X12" s="27"/>
      <c r="Y12" s="27"/>
    </row>
    <row r="13" spans="1:25" x14ac:dyDescent="0.25">
      <c r="A13" s="21">
        <v>1</v>
      </c>
      <c r="B13" s="22">
        <f>B$2*'Cost Distribution By Year'!C20</f>
        <v>1.7457420924574207</v>
      </c>
      <c r="C13" s="25">
        <f>B3</f>
        <v>5.7965</v>
      </c>
      <c r="D13" s="23">
        <f>($B$4/CommAndSportFishingValues!$I$18)*FishHarvestTimeTrends!AC22*((1+'OriginalBCACalculations$2012'!D$10)^MIN('OriginalBCACalculations$2012'!$A13,20))</f>
        <v>-0.62933605921813196</v>
      </c>
      <c r="E13" s="23">
        <f>($B$5/CommAndSportFishingValues!$I$19)*FishHarvestTimeTrends!AD22*((1+'OriginalBCACalculations$2012'!E$10)^MIN('OriginalBCACalculations$2012'!$A13,20))</f>
        <v>-0.13845701501135921</v>
      </c>
      <c r="G13" s="27">
        <f>B7</f>
        <v>4845.2</v>
      </c>
      <c r="J13" s="41">
        <f>B13/((1+$M$9)^($A13-1))</f>
        <v>1.7457420924574207</v>
      </c>
      <c r="K13" s="41">
        <f t="shared" ref="K13:N76" si="6">C13/((1+$M$9)^($A13-1))</f>
        <v>5.7965</v>
      </c>
      <c r="L13" s="41">
        <f t="shared" si="6"/>
        <v>-0.62933605921813196</v>
      </c>
      <c r="M13" s="41">
        <f t="shared" si="6"/>
        <v>-0.13845701501135921</v>
      </c>
      <c r="N13" s="41"/>
      <c r="O13" s="41">
        <f>B7</f>
        <v>4845.2</v>
      </c>
      <c r="P13" s="41"/>
      <c r="R13" s="27">
        <f>(SUM($D13:$H13)-SUM($B13:$C13))/((1+R$10)^($A13-1))</f>
        <v>4836.8899648333127</v>
      </c>
      <c r="S13" s="27">
        <f t="shared" ref="S13:Y28" si="7">(SUM($D13:$H13)-SUM($B13:$C13))/((1+S$10)^($A13-1))</f>
        <v>4836.8899648333127</v>
      </c>
      <c r="T13" s="27">
        <f t="shared" si="7"/>
        <v>4836.8899648333127</v>
      </c>
      <c r="U13" s="27">
        <f t="shared" si="7"/>
        <v>4836.8899648333127</v>
      </c>
      <c r="V13" s="27">
        <f t="shared" si="7"/>
        <v>4836.8899648333127</v>
      </c>
      <c r="W13" s="27">
        <f t="shared" si="7"/>
        <v>4836.8899648333127</v>
      </c>
      <c r="X13" s="27">
        <f t="shared" si="7"/>
        <v>4836.8899648333127</v>
      </c>
      <c r="Y13" s="27">
        <f t="shared" si="7"/>
        <v>4836.8899648333127</v>
      </c>
    </row>
    <row r="14" spans="1:25" x14ac:dyDescent="0.25">
      <c r="A14" s="21">
        <v>2</v>
      </c>
      <c r="B14" s="22">
        <f>B$2*'Cost Distribution By Year'!C21</f>
        <v>1.937347931873479</v>
      </c>
      <c r="C14" s="25">
        <f>C13*(1+C$10)</f>
        <v>5.9124300000000005</v>
      </c>
      <c r="D14" s="23">
        <f>($B$4/CommAndSportFishingValues!$I$18)*FishHarvestTimeTrends!AC23*((1+'OriginalBCACalculations$2012'!D$10)^MIN('OriginalBCACalculations$2012'!$A14,20))</f>
        <v>-0.62983952806550647</v>
      </c>
      <c r="E14" s="23">
        <f>($B$5/CommAndSportFishingValues!$I$19)*FishHarvestTimeTrends!AD23*((1+'OriginalBCACalculations$2012'!E$10)^MIN('OriginalBCACalculations$2012'!$A14,20))</f>
        <v>-0.13852624351886486</v>
      </c>
      <c r="G14" s="27">
        <f t="shared" ref="G14:G22" si="8">G13*(1+G$10)</f>
        <v>4847.6225999999997</v>
      </c>
      <c r="J14" s="41">
        <f t="shared" ref="J14:J31" si="9">B14/((1+$M$9)^($A14-1))</f>
        <v>1.937347931873479</v>
      </c>
      <c r="K14" s="41">
        <f t="shared" si="6"/>
        <v>5.9124300000000005</v>
      </c>
      <c r="L14" s="41">
        <f t="shared" si="6"/>
        <v>-0.62983952806550647</v>
      </c>
      <c r="M14" s="41">
        <f t="shared" si="6"/>
        <v>-0.13852624351886486</v>
      </c>
      <c r="N14" s="41"/>
      <c r="O14" s="41">
        <f t="shared" ref="O14:O19" si="10">G14/((1+$M$9)^($A14-1))</f>
        <v>4847.6225999999997</v>
      </c>
      <c r="P14" s="41"/>
      <c r="R14" s="27">
        <f t="shared" ref="R14:Y29" si="11">(SUM($D14:$H14)-SUM($B14:$C14))/((1+R$10)^($A14-1))</f>
        <v>4839.0044562965422</v>
      </c>
      <c r="S14" s="27">
        <f t="shared" si="7"/>
        <v>4791.0935210856851</v>
      </c>
      <c r="T14" s="27">
        <f t="shared" si="7"/>
        <v>4744.1220159770019</v>
      </c>
      <c r="U14" s="27">
        <f t="shared" si="7"/>
        <v>4698.0625789286814</v>
      </c>
      <c r="V14" s="27">
        <f t="shared" si="7"/>
        <v>4652.8889002851365</v>
      </c>
      <c r="W14" s="27">
        <f t="shared" si="7"/>
        <v>4608.5756726633736</v>
      </c>
      <c r="X14" s="27">
        <f t="shared" si="7"/>
        <v>4565.0985436759829</v>
      </c>
      <c r="Y14" s="27">
        <f t="shared" si="7"/>
        <v>4522.4340713051797</v>
      </c>
    </row>
    <row r="15" spans="1:25" x14ac:dyDescent="0.25">
      <c r="A15" s="21">
        <v>3</v>
      </c>
      <c r="B15" s="22">
        <f>B$2*'Cost Distribution By Year'!C22</f>
        <v>3.5926094890510938</v>
      </c>
      <c r="C15" s="25">
        <f t="shared" ref="C15:C32" si="12">C14*(1+C$10)</f>
        <v>6.0306786000000008</v>
      </c>
      <c r="D15" s="23">
        <f>($B$4/CommAndSportFishingValues!$I$18)*FishHarvestTimeTrends!AC24*((1+'OriginalBCACalculations$2012'!D$10)^MIN('OriginalBCACalculations$2012'!$A15,20))</f>
        <v>-0.57071830533216983</v>
      </c>
      <c r="E15" s="23">
        <f>($B$5/CommAndSportFishingValues!$I$19)*FishHarvestTimeTrends!AD24*((1+'OriginalBCACalculations$2012'!E$10)^MIN('OriginalBCACalculations$2012'!$A15,20))</f>
        <v>-0.13859550664062431</v>
      </c>
      <c r="G15" s="27">
        <f t="shared" si="8"/>
        <v>4850.0464112999998</v>
      </c>
      <c r="J15" s="41">
        <f t="shared" si="9"/>
        <v>3.5926094890510938</v>
      </c>
      <c r="K15" s="41">
        <f t="shared" si="6"/>
        <v>6.0306786000000008</v>
      </c>
      <c r="L15" s="41">
        <f t="shared" si="6"/>
        <v>-0.57071830533216983</v>
      </c>
      <c r="M15" s="41">
        <f t="shared" si="6"/>
        <v>-0.13859550664062431</v>
      </c>
      <c r="N15" s="41"/>
      <c r="O15" s="41">
        <f t="shared" si="10"/>
        <v>4850.0464112999998</v>
      </c>
      <c r="P15" s="41"/>
      <c r="R15" s="27">
        <f t="shared" si="11"/>
        <v>4839.7138093989761</v>
      </c>
      <c r="S15" s="27">
        <f t="shared" si="7"/>
        <v>4744.3523276139358</v>
      </c>
      <c r="T15" s="27">
        <f t="shared" si="7"/>
        <v>4651.7818237206611</v>
      </c>
      <c r="U15" s="27">
        <f t="shared" si="7"/>
        <v>4561.8944381176134</v>
      </c>
      <c r="V15" s="27">
        <f t="shared" si="7"/>
        <v>4474.5874717076331</v>
      </c>
      <c r="W15" s="27">
        <f t="shared" si="7"/>
        <v>4389.7630924253754</v>
      </c>
      <c r="X15" s="27">
        <f t="shared" si="7"/>
        <v>4307.3280610528436</v>
      </c>
      <c r="Y15" s="27">
        <f t="shared" si="7"/>
        <v>4227.193474887742</v>
      </c>
    </row>
    <row r="16" spans="1:25" x14ac:dyDescent="0.25">
      <c r="A16" s="21">
        <v>4</v>
      </c>
      <c r="B16" s="22">
        <f>B$2*'Cost Distribution By Year'!C23</f>
        <v>5.897201946472018</v>
      </c>
      <c r="C16" s="25">
        <f t="shared" si="12"/>
        <v>6.1512921720000007</v>
      </c>
      <c r="D16" s="23">
        <f>($B$4/CommAndSportFishingValues!$I$18)*FishHarvestTimeTrends!AC25*((1+'OriginalBCACalculations$2012'!D$10)^MIN('OriginalBCACalculations$2012'!$A16,20))</f>
        <v>-0.56376433765347322</v>
      </c>
      <c r="E16" s="23">
        <f>($B$5/CommAndSportFishingValues!$I$19)*FishHarvestTimeTrends!AD25*((1+'OriginalBCACalculations$2012'!E$10)^MIN('OriginalBCACalculations$2012'!$A16,20))</f>
        <v>-0.13866480439394463</v>
      </c>
      <c r="G16" s="27">
        <f t="shared" si="8"/>
        <v>4852.47143450565</v>
      </c>
      <c r="J16" s="41">
        <f t="shared" si="9"/>
        <v>5.897201946472018</v>
      </c>
      <c r="K16" s="41">
        <f t="shared" si="6"/>
        <v>6.1512921720000007</v>
      </c>
      <c r="L16" s="41">
        <f t="shared" si="6"/>
        <v>-0.56376433765347322</v>
      </c>
      <c r="M16" s="41">
        <f t="shared" si="6"/>
        <v>-0.13866480439394463</v>
      </c>
      <c r="N16" s="41"/>
      <c r="O16" s="41">
        <f t="shared" si="10"/>
        <v>4852.47143450565</v>
      </c>
      <c r="P16" s="41"/>
      <c r="R16" s="27">
        <f t="shared" si="11"/>
        <v>4839.7205112451302</v>
      </c>
      <c r="S16" s="27">
        <f t="shared" si="7"/>
        <v>4697.3850469378667</v>
      </c>
      <c r="T16" s="27">
        <f t="shared" si="7"/>
        <v>4560.5767307117267</v>
      </c>
      <c r="U16" s="27">
        <f t="shared" si="7"/>
        <v>4429.02985946639</v>
      </c>
      <c r="V16" s="27">
        <f t="shared" si="7"/>
        <v>4302.493911481859</v>
      </c>
      <c r="W16" s="27">
        <f t="shared" si="7"/>
        <v>4180.7325439975202</v>
      </c>
      <c r="X16" s="27">
        <f t="shared" si="7"/>
        <v>4063.5226657283606</v>
      </c>
      <c r="Y16" s="27">
        <f t="shared" si="7"/>
        <v>3950.653578074508</v>
      </c>
    </row>
    <row r="17" spans="1:25" x14ac:dyDescent="0.25">
      <c r="A17" s="21">
        <v>5</v>
      </c>
      <c r="B17" s="22">
        <f>B$2*'Cost Distribution By Year'!C24</f>
        <v>18.085462287104619</v>
      </c>
      <c r="C17" s="25">
        <f t="shared" si="12"/>
        <v>6.2743180154400005</v>
      </c>
      <c r="D17" s="23">
        <f>($B$4/CommAndSportFishingValues!$I$18)*FishHarvestTimeTrends!AC26*((1+'OriginalBCACalculations$2012'!D$10)^MIN('OriginalBCACalculations$2012'!$A17,20))</f>
        <v>-0.55176040913478319</v>
      </c>
      <c r="E17" s="23">
        <f>($B$5/CommAndSportFishingValues!$I$19)*FishHarvestTimeTrends!AD26*((1+'OriginalBCACalculations$2012'!E$10)^MIN('OriginalBCACalculations$2012'!$A17,20))</f>
        <v>-0.13806537109650474</v>
      </c>
      <c r="G17" s="27">
        <f t="shared" si="8"/>
        <v>4854.8976702229029</v>
      </c>
      <c r="J17" s="41">
        <f t="shared" si="9"/>
        <v>18.085462287104619</v>
      </c>
      <c r="K17" s="41">
        <f t="shared" si="6"/>
        <v>6.2743180154400005</v>
      </c>
      <c r="L17" s="41">
        <f t="shared" si="6"/>
        <v>-0.55176040913478319</v>
      </c>
      <c r="M17" s="41">
        <f t="shared" si="6"/>
        <v>-0.13806537109650474</v>
      </c>
      <c r="N17" s="41"/>
      <c r="O17" s="41">
        <f t="shared" si="10"/>
        <v>4854.8976702229029</v>
      </c>
      <c r="P17" s="41"/>
      <c r="R17" s="27">
        <f t="shared" si="11"/>
        <v>4829.8480641401266</v>
      </c>
      <c r="S17" s="27">
        <f t="shared" si="7"/>
        <v>4641.3890564770418</v>
      </c>
      <c r="T17" s="27">
        <f t="shared" si="7"/>
        <v>4462.0330424588701</v>
      </c>
      <c r="U17" s="27">
        <f t="shared" si="7"/>
        <v>4291.2574483891658</v>
      </c>
      <c r="V17" s="27">
        <f t="shared" si="7"/>
        <v>4128.5743672637873</v>
      </c>
      <c r="W17" s="27">
        <f t="shared" si="7"/>
        <v>3973.5279552368625</v>
      </c>
      <c r="X17" s="27">
        <f t="shared" si="7"/>
        <v>3825.692046007814</v>
      </c>
      <c r="Y17" s="27">
        <f t="shared" si="7"/>
        <v>3684.6679630495109</v>
      </c>
    </row>
    <row r="18" spans="1:25" x14ac:dyDescent="0.25">
      <c r="A18" s="21">
        <v>6</v>
      </c>
      <c r="B18" s="22">
        <f>B$2*'Cost Distribution By Year'!C25</f>
        <v>12.113746958637465</v>
      </c>
      <c r="C18" s="25">
        <f t="shared" si="12"/>
        <v>6.3998043757488006</v>
      </c>
      <c r="D18" s="23">
        <f>($B$4/CommAndSportFishingValues!$I$18)*FishHarvestTimeTrends!AC27*((1+'OriginalBCACalculations$2012'!D$10)^MIN('OriginalBCACalculations$2012'!$A18,20))</f>
        <v>-0.51188909536971294</v>
      </c>
      <c r="E18" s="23">
        <f>($B$5/CommAndSportFishingValues!$I$19)*FishHarvestTimeTrends!AD27*((1+'OriginalBCACalculations$2012'!E$10)^MIN('OriginalBCACalculations$2012'!$A18,20))</f>
        <v>-0.12916474082473378</v>
      </c>
      <c r="G18" s="27">
        <f t="shared" si="8"/>
        <v>4857.325119058014</v>
      </c>
      <c r="J18" s="41">
        <f t="shared" si="9"/>
        <v>12.113746958637465</v>
      </c>
      <c r="K18" s="41">
        <f t="shared" si="6"/>
        <v>6.3998043757488006</v>
      </c>
      <c r="L18" s="41">
        <f t="shared" si="6"/>
        <v>-0.51188909536971294</v>
      </c>
      <c r="M18" s="41">
        <f t="shared" si="6"/>
        <v>-0.12916474082473378</v>
      </c>
      <c r="N18" s="41"/>
      <c r="O18" s="41">
        <f t="shared" si="10"/>
        <v>4857.325119058014</v>
      </c>
      <c r="P18" s="41"/>
      <c r="R18" s="27">
        <f t="shared" si="11"/>
        <v>4838.1705138874331</v>
      </c>
      <c r="S18" s="27">
        <f t="shared" si="7"/>
        <v>4603.3532347546043</v>
      </c>
      <c r="T18" s="27">
        <f t="shared" si="7"/>
        <v>4382.0800976384853</v>
      </c>
      <c r="U18" s="27">
        <f t="shared" si="7"/>
        <v>4173.4483856277457</v>
      </c>
      <c r="V18" s="27">
        <f t="shared" si="7"/>
        <v>3976.6234924879031</v>
      </c>
      <c r="W18" s="27">
        <f t="shared" si="7"/>
        <v>3790.8331954669543</v>
      </c>
      <c r="X18" s="27">
        <f t="shared" si="7"/>
        <v>3615.362458221955</v>
      </c>
      <c r="Y18" s="27">
        <f t="shared" si="7"/>
        <v>3449.5487103871374</v>
      </c>
    </row>
    <row r="19" spans="1:25" x14ac:dyDescent="0.25">
      <c r="A19" s="21">
        <v>7</v>
      </c>
      <c r="B19" s="22">
        <f>B$2*'Cost Distribution By Year'!C26</f>
        <v>11.650699513381992</v>
      </c>
      <c r="C19" s="25">
        <f t="shared" si="12"/>
        <v>6.5278004632637767</v>
      </c>
      <c r="D19" s="23">
        <f>($B$4/CommAndSportFishingValues!$I$18)*FishHarvestTimeTrends!AC28*((1+'OriginalBCACalculations$2012'!D$10)^MIN('OriginalBCACalculations$2012'!$A19,20))</f>
        <v>-0.43099456588841162</v>
      </c>
      <c r="E19" s="23">
        <f>($B$5/CommAndSportFishingValues!$I$19)*FishHarvestTimeTrends!AD28*((1+'OriginalBCACalculations$2012'!E$10)^MIN('OriginalBCACalculations$2012'!$A19,20))</f>
        <v>-0.11665961191579305</v>
      </c>
      <c r="F19" s="23">
        <f>B6/10</f>
        <v>0.8</v>
      </c>
      <c r="G19" s="27">
        <f t="shared" si="8"/>
        <v>4859.7537816175427</v>
      </c>
      <c r="J19" s="41">
        <f t="shared" si="9"/>
        <v>11.650699513381992</v>
      </c>
      <c r="K19" s="41">
        <f t="shared" si="6"/>
        <v>6.5278004632637767</v>
      </c>
      <c r="L19" s="41">
        <f t="shared" si="6"/>
        <v>-0.43099456588841162</v>
      </c>
      <c r="M19" s="41">
        <f t="shared" si="6"/>
        <v>-0.11665961191579305</v>
      </c>
      <c r="N19" s="41"/>
      <c r="O19" s="41">
        <f t="shared" si="10"/>
        <v>4859.7537816175427</v>
      </c>
      <c r="P19" s="41"/>
      <c r="R19" s="27">
        <f t="shared" si="11"/>
        <v>4841.8276274630925</v>
      </c>
      <c r="S19" s="27">
        <f t="shared" si="7"/>
        <v>4561.2206463737857</v>
      </c>
      <c r="T19" s="27">
        <f t="shared" si="7"/>
        <v>4299.404370665693</v>
      </c>
      <c r="U19" s="27">
        <f t="shared" si="7"/>
        <v>4054.9544115763101</v>
      </c>
      <c r="V19" s="27">
        <f t="shared" si="7"/>
        <v>3826.5667050656107</v>
      </c>
      <c r="W19" s="27">
        <f t="shared" si="7"/>
        <v>3613.0463234735535</v>
      </c>
      <c r="X19" s="27">
        <f t="shared" si="7"/>
        <v>3413.2974209721374</v>
      </c>
      <c r="Y19" s="27">
        <f t="shared" si="7"/>
        <v>3226.314188619986</v>
      </c>
    </row>
    <row r="20" spans="1:25" x14ac:dyDescent="0.25">
      <c r="A20" s="21">
        <v>8</v>
      </c>
      <c r="B20" s="22">
        <f>B$2*'Cost Distribution By Year'!C27</f>
        <v>11.66134428223844</v>
      </c>
      <c r="C20" s="25">
        <f t="shared" si="12"/>
        <v>6.6583564725290527</v>
      </c>
      <c r="D20" s="23">
        <f>($B$4/CommAndSportFishingValues!$I$18)*FishHarvestTimeTrends!AC29*((1+'OriginalBCACalculations$2012'!D$10)^MIN('OriginalBCACalculations$2012'!$A20,20))</f>
        <v>-0.44399817631708827</v>
      </c>
      <c r="E20" s="23">
        <f>($B$5/CommAndSportFishingValues!$I$19)*FishHarvestTimeTrends!AD29*((1+'OriginalBCACalculations$2012'!E$10)^MIN('OriginalBCACalculations$2012'!$A20,20))</f>
        <v>-0.11853580918350226</v>
      </c>
      <c r="F20" s="23">
        <f>2*(B6/10)</f>
        <v>1.6</v>
      </c>
      <c r="G20" s="27">
        <f t="shared" si="8"/>
        <v>4862.1836585083511</v>
      </c>
      <c r="H20" s="22">
        <f>B$8</f>
        <v>3.9100000000000003E-2</v>
      </c>
      <c r="I20" s="22"/>
      <c r="J20" s="41">
        <f t="shared" si="9"/>
        <v>11.66134428223844</v>
      </c>
      <c r="K20" s="41">
        <f t="shared" si="6"/>
        <v>6.6583564725290527</v>
      </c>
      <c r="L20" s="41">
        <f t="shared" si="6"/>
        <v>-0.44399817631708827</v>
      </c>
      <c r="M20" s="41">
        <f t="shared" si="6"/>
        <v>-0.11853580918350226</v>
      </c>
      <c r="N20" s="41">
        <f t="shared" si="6"/>
        <v>1.6</v>
      </c>
      <c r="O20" s="41">
        <f>(G20/((1+$M$9)^($A20-1)))</f>
        <v>4862.1836585083511</v>
      </c>
      <c r="P20" s="41">
        <f t="shared" ref="P20:P83" si="13">H20/((1+$M$9)^($A20-1))</f>
        <v>3.9100000000000003E-2</v>
      </c>
      <c r="R20" s="27">
        <f t="shared" si="11"/>
        <v>4844.940523768083</v>
      </c>
      <c r="S20" s="27">
        <f t="shared" si="7"/>
        <v>4518.9635005007367</v>
      </c>
      <c r="T20" s="27">
        <f t="shared" si="7"/>
        <v>4217.8122877453325</v>
      </c>
      <c r="U20" s="27">
        <f t="shared" si="7"/>
        <v>3939.3800128392504</v>
      </c>
      <c r="V20" s="27">
        <f t="shared" si="7"/>
        <v>3681.7566079159005</v>
      </c>
      <c r="W20" s="27">
        <f t="shared" si="7"/>
        <v>3443.2087758328285</v>
      </c>
      <c r="X20" s="27">
        <f t="shared" si="7"/>
        <v>3222.1621604090901</v>
      </c>
      <c r="Y20" s="27">
        <f t="shared" si="7"/>
        <v>3017.1854606227694</v>
      </c>
    </row>
    <row r="21" spans="1:25" x14ac:dyDescent="0.25">
      <c r="A21" s="21">
        <v>9</v>
      </c>
      <c r="B21" s="22">
        <f>B$2*'Cost Distribution By Year'!C28</f>
        <v>0.89416058394160558</v>
      </c>
      <c r="C21" s="25">
        <f t="shared" si="12"/>
        <v>6.7915236019796339</v>
      </c>
      <c r="D21" s="23">
        <f>($B$4/CommAndSportFishingValues!$I$18)*FishHarvestTimeTrends!AC30*((1+'OriginalBCACalculations$2012'!D$10)^MIN('OriginalBCACalculations$2012'!$A21,20))</f>
        <v>-0.34108747979230947</v>
      </c>
      <c r="E21" s="23">
        <f>($B$5/CommAndSportFishingValues!$I$19)*FishHarvestTimeTrends!AD30*((1+'OriginalBCACalculations$2012'!E$10)^MIN('OriginalBCACalculations$2012'!$A21,20))</f>
        <v>-0.10012611694182239</v>
      </c>
      <c r="F21" s="23">
        <f>3*(B6/10)</f>
        <v>2.4000000000000004</v>
      </c>
      <c r="G21" s="27">
        <f t="shared" si="8"/>
        <v>4864.6147503376051</v>
      </c>
      <c r="H21" s="22">
        <f t="shared" ref="H21:H84" si="14">B$8</f>
        <v>3.9100000000000003E-2</v>
      </c>
      <c r="I21" s="22"/>
      <c r="J21" s="41">
        <f t="shared" si="9"/>
        <v>0.89416058394160558</v>
      </c>
      <c r="K21" s="41">
        <f t="shared" si="6"/>
        <v>6.7915236019796339</v>
      </c>
      <c r="L21" s="41">
        <f t="shared" si="6"/>
        <v>-0.34108747979230947</v>
      </c>
      <c r="M21" s="41">
        <f t="shared" si="6"/>
        <v>-0.10012611694182239</v>
      </c>
      <c r="N21" s="41">
        <f t="shared" si="6"/>
        <v>2.4000000000000004</v>
      </c>
      <c r="O21" s="41">
        <f>G21/((1+$M$9)^($A21-1))</f>
        <v>4864.6147503376051</v>
      </c>
      <c r="P21" s="41">
        <f t="shared" si="13"/>
        <v>3.9100000000000003E-2</v>
      </c>
      <c r="R21" s="27">
        <f t="shared" si="11"/>
        <v>4858.9269525549489</v>
      </c>
      <c r="S21" s="27">
        <f t="shared" si="7"/>
        <v>4487.1375199516051</v>
      </c>
      <c r="T21" s="27">
        <f t="shared" si="7"/>
        <v>4147.0473683217615</v>
      </c>
      <c r="U21" s="27">
        <f t="shared" si="7"/>
        <v>3835.6818052037474</v>
      </c>
      <c r="V21" s="27">
        <f t="shared" si="7"/>
        <v>3550.37033105204</v>
      </c>
      <c r="W21" s="27">
        <f t="shared" si="7"/>
        <v>3288.7130187112848</v>
      </c>
      <c r="X21" s="27">
        <f t="shared" si="7"/>
        <v>3048.5508814792151</v>
      </c>
      <c r="Y21" s="27">
        <f t="shared" si="7"/>
        <v>2827.939724803437</v>
      </c>
    </row>
    <row r="22" spans="1:25" x14ac:dyDescent="0.25">
      <c r="A22" s="21">
        <v>10</v>
      </c>
      <c r="B22" s="22">
        <f>B$2*'Cost Distribution By Year'!C29</f>
        <v>0.89416058394160558</v>
      </c>
      <c r="C22" s="25">
        <f t="shared" si="12"/>
        <v>6.9273540740192265</v>
      </c>
      <c r="D22" s="23">
        <f>($B$4/CommAndSportFishingValues!$I$18)*FishHarvestTimeTrends!AC31*((1+'OriginalBCACalculations$2012'!D$10)^MIN('OriginalBCACalculations$2012'!$A22,20))</f>
        <v>-0.27165023488605505</v>
      </c>
      <c r="E22" s="23">
        <f>($B$5/CommAndSportFishingValues!$I$19)*FishHarvestTimeTrends!AD31*((1+'OriginalBCACalculations$2012'!E$10)^MIN('OriginalBCACalculations$2012'!$A22,20))</f>
        <v>-9.2496156022187789E-2</v>
      </c>
      <c r="F22" s="23">
        <f>4*(B6/10)</f>
        <v>3.2</v>
      </c>
      <c r="G22" s="27">
        <f t="shared" si="8"/>
        <v>4867.0470577127735</v>
      </c>
      <c r="H22" s="22">
        <f t="shared" si="14"/>
        <v>3.9100000000000003E-2</v>
      </c>
      <c r="I22" s="22"/>
      <c r="J22" s="41">
        <f t="shared" si="9"/>
        <v>0.89416058394160558</v>
      </c>
      <c r="K22" s="41">
        <f t="shared" si="6"/>
        <v>6.9273540740192265</v>
      </c>
      <c r="L22" s="41">
        <f t="shared" si="6"/>
        <v>-0.27165023488605505</v>
      </c>
      <c r="M22" s="41">
        <f t="shared" si="6"/>
        <v>-9.2496156022187789E-2</v>
      </c>
      <c r="N22" s="41">
        <f t="shared" si="6"/>
        <v>3.2</v>
      </c>
      <c r="O22" s="41">
        <f>G22/((1+$M$9)^($A22-1))</f>
        <v>4867.0470577127735</v>
      </c>
      <c r="P22" s="41">
        <f t="shared" si="13"/>
        <v>3.9100000000000003E-2</v>
      </c>
      <c r="R22" s="27">
        <f t="shared" si="11"/>
        <v>4862.1004966639048</v>
      </c>
      <c r="S22" s="27">
        <f t="shared" si="7"/>
        <v>4445.6121135564681</v>
      </c>
      <c r="T22" s="27">
        <f t="shared" si="7"/>
        <v>4068.3881937855904</v>
      </c>
      <c r="U22" s="27">
        <f t="shared" si="7"/>
        <v>3726.3951749794755</v>
      </c>
      <c r="V22" s="27">
        <f t="shared" si="7"/>
        <v>3416.0473160073034</v>
      </c>
      <c r="W22" s="27">
        <f t="shared" si="7"/>
        <v>3134.1533316965333</v>
      </c>
      <c r="X22" s="27">
        <f t="shared" si="7"/>
        <v>2877.8698135039367</v>
      </c>
      <c r="Y22" s="27">
        <f t="shared" si="7"/>
        <v>2644.6605199706428</v>
      </c>
    </row>
    <row r="23" spans="1:25" x14ac:dyDescent="0.25">
      <c r="A23" s="21">
        <v>11</v>
      </c>
      <c r="B23" s="22">
        <f>B$2*'Cost Distribution By Year'!C30</f>
        <v>0.35127737226277367</v>
      </c>
      <c r="C23" s="25">
        <f t="shared" si="12"/>
        <v>7.0659011554996116</v>
      </c>
      <c r="D23" s="23">
        <f>($B$4/CommAndSportFishingValues!$I$18)*FishHarvestTimeTrends!AC32*((1+'OriginalBCACalculations$2012'!D$10)^MIN('OriginalBCACalculations$2012'!$A23,20))</f>
        <v>1.2048230694968432E-2</v>
      </c>
      <c r="E23" s="23">
        <f>($B$5/CommAndSportFishingValues!$I$19)*FishHarvestTimeTrends!AD32*((1+'OriginalBCACalculations$2012'!E$10)^MIN('OriginalBCACalculations$2012'!$A23,20))</f>
        <v>-4.6284121385927211E-2</v>
      </c>
      <c r="F23" s="23">
        <f>5*(B6/10)</f>
        <v>4</v>
      </c>
      <c r="H23" s="22">
        <f t="shared" si="14"/>
        <v>3.9100000000000003E-2</v>
      </c>
      <c r="I23" s="22"/>
      <c r="J23" s="41">
        <f t="shared" si="9"/>
        <v>0.35127737226277367</v>
      </c>
      <c r="K23" s="41">
        <f t="shared" si="6"/>
        <v>7.0659011554996116</v>
      </c>
      <c r="L23" s="41">
        <f t="shared" si="6"/>
        <v>1.2048230694968432E-2</v>
      </c>
      <c r="M23" s="41">
        <f t="shared" si="6"/>
        <v>-4.6284121385927211E-2</v>
      </c>
      <c r="N23" s="41">
        <f t="shared" si="6"/>
        <v>4</v>
      </c>
      <c r="O23" s="67"/>
      <c r="P23" s="41">
        <f t="shared" si="13"/>
        <v>3.9100000000000003E-2</v>
      </c>
      <c r="R23" s="27">
        <f t="shared" si="11"/>
        <v>-3.4123144184533443</v>
      </c>
      <c r="S23" s="27">
        <f t="shared" si="7"/>
        <v>-3.0891237283365856</v>
      </c>
      <c r="T23" s="27">
        <f t="shared" si="7"/>
        <v>-2.7992863318176804</v>
      </c>
      <c r="U23" s="27">
        <f t="shared" si="7"/>
        <v>-2.539082394485491</v>
      </c>
      <c r="V23" s="27">
        <f t="shared" si="7"/>
        <v>-2.3052373538747215</v>
      </c>
      <c r="W23" s="27">
        <f t="shared" si="7"/>
        <v>-2.0948650467367367</v>
      </c>
      <c r="X23" s="27">
        <f t="shared" si="7"/>
        <v>-1.9054185484564954</v>
      </c>
      <c r="Y23" s="27">
        <f t="shared" si="7"/>
        <v>-1.7346476191618487</v>
      </c>
    </row>
    <row r="24" spans="1:25" x14ac:dyDescent="0.25">
      <c r="A24" s="21">
        <v>12</v>
      </c>
      <c r="B24" s="22">
        <f>B$2*'Cost Distribution By Year'!C31</f>
        <v>0.34595498783454975</v>
      </c>
      <c r="C24" s="25">
        <f t="shared" si="12"/>
        <v>7.2072191786096038</v>
      </c>
      <c r="D24" s="23">
        <f>($B$4/CommAndSportFishingValues!$I$18)*FishHarvestTimeTrends!AC33*((1+'OriginalBCACalculations$2012'!D$10)^MIN('OriginalBCACalculations$2012'!$A24,20))</f>
        <v>0.29620078767707175</v>
      </c>
      <c r="E24" s="23">
        <f>($B$5/CommAndSportFishingValues!$I$19)*FishHarvestTimeTrends!AD33*((1+'OriginalBCACalculations$2012'!E$10)^MIN('OriginalBCACalculations$2012'!$A24,20))</f>
        <v>-2.58515909913833E-5</v>
      </c>
      <c r="F24" s="23">
        <f>6*(B6/10)</f>
        <v>4.8000000000000007</v>
      </c>
      <c r="H24" s="22">
        <f t="shared" si="14"/>
        <v>3.9100000000000003E-2</v>
      </c>
      <c r="I24" s="22"/>
      <c r="J24" s="41">
        <f t="shared" si="9"/>
        <v>0.34595498783454975</v>
      </c>
      <c r="K24" s="41">
        <f t="shared" si="6"/>
        <v>7.2072191786096038</v>
      </c>
      <c r="L24" s="41">
        <f t="shared" si="6"/>
        <v>0.29620078767707175</v>
      </c>
      <c r="M24" s="41">
        <f t="shared" si="6"/>
        <v>-2.58515909913833E-5</v>
      </c>
      <c r="N24" s="41">
        <f t="shared" si="6"/>
        <v>4.8000000000000007</v>
      </c>
      <c r="O24" s="67"/>
      <c r="P24" s="41">
        <f t="shared" si="13"/>
        <v>3.9100000000000003E-2</v>
      </c>
      <c r="R24" s="27">
        <f t="shared" si="11"/>
        <v>-2.4178992303580724</v>
      </c>
      <c r="S24" s="27">
        <f t="shared" si="7"/>
        <v>-2.1672204267379875</v>
      </c>
      <c r="T24" s="27">
        <f t="shared" si="7"/>
        <v>-1.9446269832291094</v>
      </c>
      <c r="U24" s="27">
        <f t="shared" si="7"/>
        <v>-1.7467418486824435</v>
      </c>
      <c r="V24" s="27">
        <f t="shared" si="7"/>
        <v>-1.5706212344821051</v>
      </c>
      <c r="W24" s="27">
        <f t="shared" si="7"/>
        <v>-1.4136956030884018</v>
      </c>
      <c r="X24" s="27">
        <f t="shared" si="7"/>
        <v>-1.2737191522066329</v>
      </c>
      <c r="Y24" s="27">
        <f t="shared" si="7"/>
        <v>-1.1487265067342103</v>
      </c>
    </row>
    <row r="25" spans="1:25" x14ac:dyDescent="0.25">
      <c r="A25" s="21">
        <v>13</v>
      </c>
      <c r="B25" s="22">
        <f>B$2*'Cost Distribution By Year'!C32</f>
        <v>0.19160583941605838</v>
      </c>
      <c r="C25" s="25">
        <f t="shared" si="12"/>
        <v>7.3513635621817963</v>
      </c>
      <c r="D25" s="23">
        <f>($B$4/CommAndSportFishingValues!$I$18)*FishHarvestTimeTrends!AC34*((1+'OriginalBCACalculations$2012'!D$10)^MIN('OriginalBCACalculations$2012'!$A25,20))</f>
        <v>0.58080798103947862</v>
      </c>
      <c r="E25" s="23">
        <f>($B$5/CommAndSportFishingValues!$I$19)*FishHarvestTimeTrends!AD34*((1+'OriginalBCACalculations$2012'!E$10)^MIN('OriginalBCACalculations$2012'!$A25,20))</f>
        <v>4.6278688044769707E-2</v>
      </c>
      <c r="F25" s="23">
        <f>7*(B6/10)</f>
        <v>5.6000000000000005</v>
      </c>
      <c r="H25" s="22">
        <f t="shared" si="14"/>
        <v>3.9100000000000003E-2</v>
      </c>
      <c r="I25" s="22"/>
      <c r="J25" s="41">
        <f t="shared" si="9"/>
        <v>0.19160583941605838</v>
      </c>
      <c r="K25" s="41">
        <f t="shared" si="6"/>
        <v>7.3513635621817963</v>
      </c>
      <c r="L25" s="41">
        <f t="shared" si="6"/>
        <v>0.58080798103947862</v>
      </c>
      <c r="M25" s="41">
        <f t="shared" si="6"/>
        <v>4.6278688044769707E-2</v>
      </c>
      <c r="N25" s="41">
        <f t="shared" si="6"/>
        <v>5.6000000000000005</v>
      </c>
      <c r="O25" s="67"/>
      <c r="P25" s="41">
        <f t="shared" si="13"/>
        <v>3.9100000000000003E-2</v>
      </c>
      <c r="R25" s="27">
        <f t="shared" si="11"/>
        <v>-1.2767827325136052</v>
      </c>
      <c r="S25" s="27">
        <f t="shared" si="7"/>
        <v>-1.1330798468011249</v>
      </c>
      <c r="T25" s="27">
        <f t="shared" si="7"/>
        <v>-1.0067344712874771</v>
      </c>
      <c r="U25" s="27">
        <f t="shared" si="7"/>
        <v>-0.89550971996284934</v>
      </c>
      <c r="V25" s="27">
        <f t="shared" si="7"/>
        <v>-0.79747472768277128</v>
      </c>
      <c r="W25" s="27">
        <f t="shared" si="7"/>
        <v>-0.71096040034656549</v>
      </c>
      <c r="X25" s="27">
        <f t="shared" si="7"/>
        <v>-0.63452190200338998</v>
      </c>
      <c r="Y25" s="27">
        <f t="shared" si="7"/>
        <v>-0.56690680258810544</v>
      </c>
    </row>
    <row r="26" spans="1:25" x14ac:dyDescent="0.25">
      <c r="A26" s="21">
        <v>14</v>
      </c>
      <c r="B26" s="22">
        <f>B$2*'Cost Distribution By Year'!C33</f>
        <v>0.17563868613138686</v>
      </c>
      <c r="C26" s="25">
        <f t="shared" si="12"/>
        <v>7.4983908334254323</v>
      </c>
      <c r="D26" s="23">
        <f>($B$4/CommAndSportFishingValues!$I$18)*FishHarvestTimeTrends!AC35*((1+'OriginalBCACalculations$2012'!D$10)^MIN('OriginalBCACalculations$2012'!$A26,20))</f>
        <v>0.86587035634276188</v>
      </c>
      <c r="E26" s="23">
        <f>($B$5/CommAndSportFishingValues!$I$19)*FishHarvestTimeTrends!AD35*((1+'OriginalBCACalculations$2012'!E$10)^MIN('OriginalBCACalculations$2012'!$A26,20))</f>
        <v>9.2629532226629466E-2</v>
      </c>
      <c r="F26" s="23">
        <f>8*(B6/10)</f>
        <v>6.4</v>
      </c>
      <c r="H26" s="22">
        <f t="shared" si="14"/>
        <v>3.9100000000000003E-2</v>
      </c>
      <c r="I26" s="22"/>
      <c r="J26" s="41">
        <f t="shared" si="9"/>
        <v>0.17563868613138686</v>
      </c>
      <c r="K26" s="41">
        <f t="shared" si="6"/>
        <v>7.4983908334254323</v>
      </c>
      <c r="L26" s="41">
        <f t="shared" si="6"/>
        <v>0.86587035634276188</v>
      </c>
      <c r="M26" s="41">
        <f t="shared" si="6"/>
        <v>9.2629532226629466E-2</v>
      </c>
      <c r="N26" s="41">
        <f t="shared" si="6"/>
        <v>6.4</v>
      </c>
      <c r="O26" s="67"/>
      <c r="P26" s="41">
        <f t="shared" si="13"/>
        <v>3.9100000000000003E-2</v>
      </c>
      <c r="R26" s="27">
        <f t="shared" si="11"/>
        <v>-0.27642963098742701</v>
      </c>
      <c r="S26" s="27">
        <f t="shared" si="7"/>
        <v>-0.24288837807933109</v>
      </c>
      <c r="T26" s="27">
        <f t="shared" si="7"/>
        <v>-0.21368909564915861</v>
      </c>
      <c r="U26" s="27">
        <f t="shared" si="7"/>
        <v>-0.18823512763470812</v>
      </c>
      <c r="V26" s="27">
        <f t="shared" si="7"/>
        <v>-0.16601647301082023</v>
      </c>
      <c r="W26" s="27">
        <f t="shared" si="7"/>
        <v>-0.1465965352636327</v>
      </c>
      <c r="X26" s="27">
        <f t="shared" si="7"/>
        <v>-0.12960099791098745</v>
      </c>
      <c r="Y26" s="27">
        <f t="shared" si="7"/>
        <v>-0.11470846920272984</v>
      </c>
    </row>
    <row r="27" spans="1:25" x14ac:dyDescent="0.25">
      <c r="A27" s="21">
        <v>15</v>
      </c>
      <c r="B27" s="22">
        <f>B$2*'Cost Distribution By Year'!C34</f>
        <v>0.14370437956204377</v>
      </c>
      <c r="C27" s="25">
        <f t="shared" si="12"/>
        <v>7.6483586500939413</v>
      </c>
      <c r="D27" s="23">
        <f>($B$4/CommAndSportFishingValues!$I$18)*FishHarvestTimeTrends!AC36*((1+'OriginalBCACalculations$2012'!D$10)^MIN('OriginalBCACalculations$2012'!$A27,20))</f>
        <v>1.1513884597294215</v>
      </c>
      <c r="E27" s="23">
        <f>($B$5/CommAndSportFishingValues!$I$19)*FishHarvestTimeTrends!AD36*((1+'OriginalBCACalculations$2012'!E$10)^MIN('OriginalBCACalculations$2012'!$A27,20))</f>
        <v>0.13902671568299907</v>
      </c>
      <c r="F27" s="23">
        <f>9*(B6/10)</f>
        <v>7.2</v>
      </c>
      <c r="H27" s="22">
        <f t="shared" si="14"/>
        <v>3.9100000000000003E-2</v>
      </c>
      <c r="I27" s="22"/>
      <c r="J27" s="41">
        <f t="shared" si="9"/>
        <v>0.14370437956204377</v>
      </c>
      <c r="K27" s="41">
        <f t="shared" si="6"/>
        <v>7.6483586500939413</v>
      </c>
      <c r="L27" s="41">
        <f t="shared" si="6"/>
        <v>1.1513884597294215</v>
      </c>
      <c r="M27" s="41">
        <f t="shared" si="6"/>
        <v>0.13902671568299907</v>
      </c>
      <c r="N27" s="41">
        <f t="shared" si="6"/>
        <v>7.2</v>
      </c>
      <c r="O27" s="67"/>
      <c r="P27" s="41">
        <f t="shared" si="13"/>
        <v>3.9100000000000003E-2</v>
      </c>
      <c r="R27" s="27">
        <f t="shared" si="11"/>
        <v>0.73745214575643558</v>
      </c>
      <c r="S27" s="27">
        <f t="shared" si="7"/>
        <v>0.64155605864295051</v>
      </c>
      <c r="T27" s="27">
        <f t="shared" si="7"/>
        <v>0.55889656309784541</v>
      </c>
      <c r="U27" s="27">
        <f t="shared" si="7"/>
        <v>0.48754274449872725</v>
      </c>
      <c r="V27" s="27">
        <f t="shared" si="7"/>
        <v>0.42586023894781605</v>
      </c>
      <c r="W27" s="27">
        <f t="shared" si="7"/>
        <v>0.37246344568935591</v>
      </c>
      <c r="X27" s="27">
        <f t="shared" si="7"/>
        <v>0.32617579525193058</v>
      </c>
      <c r="Y27" s="27">
        <f t="shared" si="7"/>
        <v>0.28599665654956696</v>
      </c>
    </row>
    <row r="28" spans="1:25" x14ac:dyDescent="0.25">
      <c r="A28" s="21">
        <v>16</v>
      </c>
      <c r="B28" s="22">
        <f>B$2*'Cost Distribution By Year'!C35</f>
        <v>0.13838199513381991</v>
      </c>
      <c r="C28" s="25">
        <f t="shared" si="12"/>
        <v>7.8013258230958202</v>
      </c>
      <c r="D28" s="23">
        <f>($B$4/CommAndSportFishingValues!$I$18)*FishHarvestTimeTrends!AC37*((1+'OriginalBCACalculations$2012'!D$10)^MIN('OriginalBCACalculations$2012'!$A28,20))</f>
        <v>1.3497232513777457</v>
      </c>
      <c r="E28" s="23">
        <f>($B$5/CommAndSportFishingValues!$I$19)*FishHarvestTimeTrends!AD37*((1+'OriginalBCACalculations$2012'!E$10)^MIN('OriginalBCACalculations$2012'!$A28,20))</f>
        <v>0.17100057258204029</v>
      </c>
      <c r="F28" s="23">
        <f>10*(B6/10)</f>
        <v>8</v>
      </c>
      <c r="H28" s="22">
        <f t="shared" si="14"/>
        <v>3.9100000000000003E-2</v>
      </c>
      <c r="I28" s="22"/>
      <c r="J28" s="41">
        <f t="shared" si="9"/>
        <v>0.13838199513381991</v>
      </c>
      <c r="K28" s="41">
        <f t="shared" si="6"/>
        <v>7.8013258230958202</v>
      </c>
      <c r="L28" s="41">
        <f t="shared" si="6"/>
        <v>1.3497232513777457</v>
      </c>
      <c r="M28" s="41">
        <f t="shared" si="6"/>
        <v>0.17100057258204029</v>
      </c>
      <c r="N28" s="41">
        <f t="shared" si="6"/>
        <v>8</v>
      </c>
      <c r="O28" s="67"/>
      <c r="P28" s="41">
        <f t="shared" si="13"/>
        <v>3.9100000000000003E-2</v>
      </c>
      <c r="R28" s="27">
        <f t="shared" si="11"/>
        <v>1.6201160057301456</v>
      </c>
      <c r="S28" s="27">
        <f t="shared" si="7"/>
        <v>1.395486070696712</v>
      </c>
      <c r="T28" s="27">
        <f t="shared" si="7"/>
        <v>1.2037700565476626</v>
      </c>
      <c r="U28" s="27">
        <f t="shared" si="7"/>
        <v>1.0398908144465431</v>
      </c>
      <c r="V28" s="27">
        <f t="shared" si="7"/>
        <v>0.89959290825956639</v>
      </c>
      <c r="W28" s="27">
        <f t="shared" si="7"/>
        <v>0.77930349964704826</v>
      </c>
      <c r="X28" s="27">
        <f t="shared" si="7"/>
        <v>0.67601780352961027</v>
      </c>
      <c r="Y28" s="27">
        <f t="shared" si="7"/>
        <v>0.5872045976357696</v>
      </c>
    </row>
    <row r="29" spans="1:25" x14ac:dyDescent="0.25">
      <c r="A29" s="21">
        <v>17</v>
      </c>
      <c r="B29" s="22">
        <f>B$2*'Cost Distribution By Year'!C36</f>
        <v>6.3868613138686109E-2</v>
      </c>
      <c r="C29" s="25">
        <f t="shared" si="12"/>
        <v>7.9573523395577368</v>
      </c>
      <c r="D29" s="23">
        <f>($B$4/CommAndSportFishingValues!$I$18)*FishHarvestTimeTrends!AC38*((1+'OriginalBCACalculations$2012'!D$10)^MIN('OriginalBCACalculations$2012'!$A29,20))</f>
        <v>1.5483746418040925</v>
      </c>
      <c r="E29" s="23">
        <f>($B$5/CommAndSportFishingValues!$I$19)*FishHarvestTimeTrends!AD38*((1+'OriginalBCACalculations$2012'!E$10)^MIN('OriginalBCACalculations$2012'!$A29,20))</f>
        <v>0.20300636858130156</v>
      </c>
      <c r="F29" s="23">
        <f t="shared" ref="F29:F33" si="15">F28*(1+F$10)</f>
        <v>8.0039999999999996</v>
      </c>
      <c r="H29" s="22">
        <f t="shared" si="14"/>
        <v>3.9100000000000003E-2</v>
      </c>
      <c r="I29" s="22"/>
      <c r="J29" s="41">
        <f t="shared" si="9"/>
        <v>6.3868613138686109E-2</v>
      </c>
      <c r="K29" s="41">
        <f t="shared" si="6"/>
        <v>7.9573523395577368</v>
      </c>
      <c r="L29" s="41">
        <f t="shared" si="6"/>
        <v>1.5483746418040925</v>
      </c>
      <c r="M29" s="41">
        <f t="shared" si="6"/>
        <v>0.20300636858130156</v>
      </c>
      <c r="N29" s="41">
        <f t="shared" si="6"/>
        <v>8.0039999999999996</v>
      </c>
      <c r="O29" s="67"/>
      <c r="P29" s="41">
        <f t="shared" si="13"/>
        <v>3.9100000000000003E-2</v>
      </c>
      <c r="R29" s="27">
        <f t="shared" si="11"/>
        <v>1.7732600576889705</v>
      </c>
      <c r="S29" s="27">
        <f t="shared" si="11"/>
        <v>1.512273880618352</v>
      </c>
      <c r="T29" s="27">
        <f t="shared" si="11"/>
        <v>1.2917238656501926</v>
      </c>
      <c r="U29" s="27">
        <f t="shared" si="11"/>
        <v>1.1050370425913192</v>
      </c>
      <c r="V29" s="27">
        <f t="shared" si="11"/>
        <v>0.94675804241728756</v>
      </c>
      <c r="W29" s="27">
        <f t="shared" si="11"/>
        <v>0.81235086391445244</v>
      </c>
      <c r="X29" s="27">
        <f t="shared" si="11"/>
        <v>0.69803723176556254</v>
      </c>
      <c r="Y29" s="27">
        <f t="shared" si="11"/>
        <v>0.60066453243004536</v>
      </c>
    </row>
    <row r="30" spans="1:25" x14ac:dyDescent="0.25">
      <c r="A30" s="21">
        <v>18</v>
      </c>
      <c r="B30" s="22">
        <f>B$2*'Cost Distribution By Year'!C37</f>
        <v>6.3868613138686109E-2</v>
      </c>
      <c r="C30" s="25">
        <f t="shared" si="12"/>
        <v>8.1164993863488917</v>
      </c>
      <c r="D30" s="23">
        <f>($B$4/CommAndSportFishingValues!$I$18)*FishHarvestTimeTrends!AC39*((1+'OriginalBCACalculations$2012'!D$10)^MIN('OriginalBCACalculations$2012'!$A30,20))</f>
        <v>1.747343010632241</v>
      </c>
      <c r="E30" s="23">
        <f>($B$5/CommAndSportFishingValues!$I$19)*FishHarvestTimeTrends!AD39*((1+'OriginalBCACalculations$2012'!E$10)^MIN('OriginalBCACalculations$2012'!$A30,20))</f>
        <v>0.23504412762641899</v>
      </c>
      <c r="F30" s="23">
        <f t="shared" si="15"/>
        <v>8.0080019999999994</v>
      </c>
      <c r="H30" s="22">
        <f t="shared" si="14"/>
        <v>3.9100000000000003E-2</v>
      </c>
      <c r="I30" s="22"/>
      <c r="J30" s="41">
        <f t="shared" si="9"/>
        <v>6.3868613138686109E-2</v>
      </c>
      <c r="K30" s="41">
        <f t="shared" si="6"/>
        <v>8.1164993863488917</v>
      </c>
      <c r="L30" s="41">
        <f t="shared" si="6"/>
        <v>1.747343010632241</v>
      </c>
      <c r="M30" s="41">
        <f t="shared" si="6"/>
        <v>0.23504412762641899</v>
      </c>
      <c r="N30" s="41">
        <f t="shared" si="6"/>
        <v>8.0080019999999994</v>
      </c>
      <c r="O30" s="67"/>
      <c r="P30" s="41">
        <f t="shared" si="13"/>
        <v>3.9100000000000003E-2</v>
      </c>
      <c r="R30" s="27">
        <f t="shared" ref="R30:Y45" si="16">(SUM($D30:$H30)-SUM($B30:$C30))/((1+R$10)^($A30-1))</f>
        <v>1.849121138771082</v>
      </c>
      <c r="S30" s="27">
        <f t="shared" si="16"/>
        <v>1.5613562609298355</v>
      </c>
      <c r="T30" s="27">
        <f t="shared" si="16"/>
        <v>1.3205730907728359</v>
      </c>
      <c r="U30" s="27">
        <f t="shared" si="16"/>
        <v>1.1187486993157161</v>
      </c>
      <c r="V30" s="27">
        <f t="shared" si="16"/>
        <v>0.94928932098403207</v>
      </c>
      <c r="W30" s="27">
        <f t="shared" si="16"/>
        <v>0.80676542783703942</v>
      </c>
      <c r="X30" s="27">
        <f t="shared" si="16"/>
        <v>0.68669779661506514</v>
      </c>
      <c r="Y30" s="27">
        <f t="shared" si="16"/>
        <v>0.58538439740075654</v>
      </c>
    </row>
    <row r="31" spans="1:25" x14ac:dyDescent="0.25">
      <c r="A31" s="21">
        <v>19</v>
      </c>
      <c r="B31" s="22">
        <f>B$2*'Cost Distribution By Year'!C38</f>
        <v>5.3223844282238433E-2</v>
      </c>
      <c r="C31" s="25">
        <f t="shared" si="12"/>
        <v>8.2788293740758689</v>
      </c>
      <c r="D31" s="23">
        <f>($B$4/CommAndSportFishingValues!$I$18)*FishHarvestTimeTrends!AC40*((1+'OriginalBCACalculations$2012'!D$10)^MIN('OriginalBCACalculations$2012'!$A31,20))</f>
        <v>1.9466287378907439</v>
      </c>
      <c r="E31" s="23">
        <f>($B$5/CommAndSportFishingValues!$I$19)*FishHarvestTimeTrends!AD40*((1+'OriginalBCACalculations$2012'!E$10)^MIN('OriginalBCACalculations$2012'!$A31,20))</f>
        <v>0.26711387367898942</v>
      </c>
      <c r="F31" s="23">
        <f t="shared" si="15"/>
        <v>8.0120060009999996</v>
      </c>
      <c r="H31" s="22">
        <f t="shared" si="14"/>
        <v>3.9100000000000003E-2</v>
      </c>
      <c r="I31" s="22"/>
      <c r="J31" s="41">
        <f t="shared" si="9"/>
        <v>5.3223844282238433E-2</v>
      </c>
      <c r="K31" s="41">
        <f t="shared" si="6"/>
        <v>8.2788293740758689</v>
      </c>
      <c r="L31" s="41">
        <f t="shared" si="6"/>
        <v>1.9466287378907439</v>
      </c>
      <c r="M31" s="41">
        <f t="shared" si="6"/>
        <v>0.26711387367898942</v>
      </c>
      <c r="N31" s="41">
        <f t="shared" si="6"/>
        <v>8.0120060009999996</v>
      </c>
      <c r="O31" s="67"/>
      <c r="P31" s="41">
        <f t="shared" si="13"/>
        <v>3.9100000000000003E-2</v>
      </c>
      <c r="R31" s="27">
        <f t="shared" si="16"/>
        <v>1.9327953942116256</v>
      </c>
      <c r="S31" s="27">
        <f t="shared" si="16"/>
        <v>1.6158504143496832</v>
      </c>
      <c r="T31" s="27">
        <f t="shared" si="16"/>
        <v>1.3532648151476474</v>
      </c>
      <c r="U31" s="27">
        <f t="shared" si="16"/>
        <v>1.1353135921854964</v>
      </c>
      <c r="V31" s="27">
        <f t="shared" si="16"/>
        <v>0.95408215874401336</v>
      </c>
      <c r="W31" s="27">
        <f t="shared" si="16"/>
        <v>0.80311640792766992</v>
      </c>
      <c r="X31" s="27">
        <f t="shared" si="16"/>
        <v>0.67714286588516592</v>
      </c>
      <c r="Y31" s="27">
        <f t="shared" si="16"/>
        <v>0.57184441477979897</v>
      </c>
    </row>
    <row r="32" spans="1:25" x14ac:dyDescent="0.25">
      <c r="A32" s="21">
        <v>20</v>
      </c>
      <c r="C32" s="25">
        <f t="shared" si="12"/>
        <v>8.4444059615573863</v>
      </c>
      <c r="D32" s="23">
        <f>($B$4/CommAndSportFishingValues!$I$18)*FishHarvestTimeTrends!AC41*((1+'OriginalBCACalculations$2012'!D$10)^MIN('OriginalBCACalculations$2012'!$A32,20))</f>
        <v>2.1462322040133328</v>
      </c>
      <c r="E32" s="23">
        <f>($B$5/CommAndSportFishingValues!$I$19)*FishHarvestTimeTrends!AD41*((1+'OriginalBCACalculations$2012'!E$10)^MIN('OriginalBCACalculations$2012'!$A32,20))</f>
        <v>0.29921563071658053</v>
      </c>
      <c r="F32" s="23">
        <f t="shared" si="15"/>
        <v>8.0160120040004994</v>
      </c>
      <c r="H32" s="22">
        <f t="shared" si="14"/>
        <v>3.9100000000000003E-2</v>
      </c>
      <c r="I32" s="22"/>
      <c r="J32" s="41"/>
      <c r="K32" s="41">
        <f t="shared" si="6"/>
        <v>8.4444059615573863</v>
      </c>
      <c r="L32" s="41">
        <f>D44/((1+$M$9)^($A32-1))</f>
        <v>2.5446073544415748</v>
      </c>
      <c r="M32" s="41">
        <f>E44/((1+$M$9)^($A32-1))</f>
        <v>0.36139015915465206</v>
      </c>
      <c r="N32" s="41">
        <f t="shared" si="6"/>
        <v>8.0160120040004994</v>
      </c>
      <c r="O32" s="67"/>
      <c r="P32" s="41">
        <f t="shared" si="13"/>
        <v>3.9100000000000003E-2</v>
      </c>
      <c r="R32" s="27">
        <f t="shared" ref="R32:Y43" si="17">(SUM($D32:$H32)-SUM($B32:$C32))/((1+R$10)^($A32-1))</f>
        <v>2.0561538771730259</v>
      </c>
      <c r="S32" s="27">
        <f t="shared" si="17"/>
        <v>1.7019606356017416</v>
      </c>
      <c r="T32" s="27">
        <f t="shared" si="17"/>
        <v>1.4114072681123617</v>
      </c>
      <c r="U32" s="27">
        <f t="shared" si="17"/>
        <v>1.1725958251269397</v>
      </c>
      <c r="V32" s="27">
        <f t="shared" si="17"/>
        <v>0.97593786047986164</v>
      </c>
      <c r="W32" s="27">
        <f t="shared" si="17"/>
        <v>0.81368991004880975</v>
      </c>
      <c r="X32" s="27">
        <f t="shared" si="17"/>
        <v>0.67958560799416046</v>
      </c>
      <c r="Y32" s="27">
        <f t="shared" si="17"/>
        <v>0.56854368099088781</v>
      </c>
    </row>
    <row r="33" spans="1:25" x14ac:dyDescent="0.25">
      <c r="A33" s="21">
        <v>21</v>
      </c>
      <c r="C33" s="25">
        <f>C32</f>
        <v>8.4444059615573863</v>
      </c>
      <c r="D33" s="23">
        <f>($B$4/CommAndSportFishingValues!$I$18)*FishHarvestTimeTrends!AC42*((1+'OriginalBCACalculations$2012'!D$10)^MIN('OriginalBCACalculations$2012'!$A33,20))</f>
        <v>2.2053654640881928</v>
      </c>
      <c r="E33" s="23">
        <f>($B$5/CommAndSportFishingValues!$I$19)*FishHarvestTimeTrends!AD42*((1+'OriginalBCACalculations$2012'!E$10)^MIN('OriginalBCACalculations$2012'!$A33,20))</f>
        <v>0.30876042625561451</v>
      </c>
      <c r="F33" s="23">
        <f t="shared" si="15"/>
        <v>8.020020010002499</v>
      </c>
      <c r="H33" s="22">
        <f t="shared" si="14"/>
        <v>3.9100000000000003E-2</v>
      </c>
      <c r="I33" s="22"/>
      <c r="J33" s="41"/>
      <c r="K33" s="41">
        <f t="shared" si="6"/>
        <v>8.4444059615573863</v>
      </c>
      <c r="L33" s="41">
        <f t="shared" ref="L33:M43" si="18">D45/((1+$M$9)^($A33-1))</f>
        <v>2.5478375698775571</v>
      </c>
      <c r="M33" s="41">
        <f t="shared" si="18"/>
        <v>0.36185456527762466</v>
      </c>
      <c r="N33" s="41">
        <f t="shared" si="6"/>
        <v>8.020020010002499</v>
      </c>
      <c r="O33" s="67"/>
      <c r="P33" s="41">
        <f t="shared" si="13"/>
        <v>3.9100000000000003E-2</v>
      </c>
      <c r="R33" s="27">
        <f t="shared" si="17"/>
        <v>2.1288399387889196</v>
      </c>
      <c r="S33" s="27">
        <f t="shared" si="17"/>
        <v>1.7446790000676455</v>
      </c>
      <c r="T33" s="27">
        <f t="shared" si="17"/>
        <v>1.4326482515804553</v>
      </c>
      <c r="U33" s="27">
        <f t="shared" si="17"/>
        <v>1.1786870586509461</v>
      </c>
      <c r="V33" s="27">
        <f t="shared" si="17"/>
        <v>0.97157475861522058</v>
      </c>
      <c r="W33" s="27">
        <f t="shared" si="17"/>
        <v>0.80233738364954621</v>
      </c>
      <c r="X33" s="27">
        <f t="shared" si="17"/>
        <v>0.66378235569826749</v>
      </c>
      <c r="Y33" s="27">
        <f t="shared" si="17"/>
        <v>0.55013269413216992</v>
      </c>
    </row>
    <row r="34" spans="1:25" x14ac:dyDescent="0.25">
      <c r="A34" s="21">
        <v>22</v>
      </c>
      <c r="C34" s="25">
        <f t="shared" ref="C34:C97" si="19">C33</f>
        <v>8.4444059615573863</v>
      </c>
      <c r="D34" s="23">
        <f>($B$4/CommAndSportFishingValues!$I$18)*FishHarvestTimeTrends!AC43*((1+'OriginalBCACalculations$2012'!D$10)^MIN('OriginalBCACalculations$2012'!$A34,20))</f>
        <v>2.2644987241630532</v>
      </c>
      <c r="E34" s="23">
        <f>($B$5/CommAndSportFishingValues!$I$19)*FishHarvestTimeTrends!AD43*((1+'OriginalBCACalculations$2012'!E$10)^MIN('OriginalBCACalculations$2012'!$A34,20))</f>
        <v>0.31830522179464865</v>
      </c>
      <c r="F34" s="23">
        <f t="shared" ref="F34:F85" si="20">F33*(1+F$10)</f>
        <v>8.0240300200074994</v>
      </c>
      <c r="H34" s="22">
        <f t="shared" si="14"/>
        <v>3.9100000000000003E-2</v>
      </c>
      <c r="I34" s="22"/>
      <c r="J34" s="41"/>
      <c r="K34" s="41">
        <f t="shared" si="6"/>
        <v>8.4444059615573863</v>
      </c>
      <c r="L34" s="41">
        <f t="shared" si="18"/>
        <v>2.5510677853135397</v>
      </c>
      <c r="M34" s="41">
        <f t="shared" si="18"/>
        <v>0.36231897140059738</v>
      </c>
      <c r="N34" s="41">
        <f t="shared" si="6"/>
        <v>8.0240300200074994</v>
      </c>
      <c r="O34" s="67"/>
      <c r="P34" s="41">
        <f t="shared" si="13"/>
        <v>3.9100000000000003E-2</v>
      </c>
      <c r="R34" s="27">
        <f t="shared" si="17"/>
        <v>2.2015280044078143</v>
      </c>
      <c r="S34" s="27">
        <f t="shared" si="17"/>
        <v>1.7863862399060646</v>
      </c>
      <c r="T34" s="27">
        <f t="shared" si="17"/>
        <v>1.4525149372559303</v>
      </c>
      <c r="U34" s="27">
        <f t="shared" si="17"/>
        <v>1.1834297846629453</v>
      </c>
      <c r="V34" s="27">
        <f t="shared" si="17"/>
        <v>0.96610446433491037</v>
      </c>
      <c r="W34" s="27">
        <f t="shared" si="17"/>
        <v>0.79022166772541913</v>
      </c>
      <c r="X34" s="27">
        <f t="shared" si="17"/>
        <v>0.6475913567419288</v>
      </c>
      <c r="Y34" s="27">
        <f t="shared" si="17"/>
        <v>0.53169782389333986</v>
      </c>
    </row>
    <row r="35" spans="1:25" x14ac:dyDescent="0.25">
      <c r="A35" s="21">
        <v>23</v>
      </c>
      <c r="C35" s="25">
        <f t="shared" si="19"/>
        <v>8.4444059615573863</v>
      </c>
      <c r="D35" s="23">
        <f>($B$4/CommAndSportFishingValues!$I$18)*FishHarvestTimeTrends!AC44*((1+'OriginalBCACalculations$2012'!D$10)^MIN('OriginalBCACalculations$2012'!$A35,20))</f>
        <v>2.3236319842379132</v>
      </c>
      <c r="E35" s="23">
        <f>($B$5/CommAndSportFishingValues!$I$19)*FishHarvestTimeTrends!AD44*((1+'OriginalBCACalculations$2012'!E$10)^MIN('OriginalBCACalculations$2012'!$A35,20))</f>
        <v>0.32785001733368269</v>
      </c>
      <c r="F35" s="23">
        <f t="shared" si="20"/>
        <v>8.0280420350175028</v>
      </c>
      <c r="H35" s="22">
        <f t="shared" si="14"/>
        <v>3.9100000000000003E-2</v>
      </c>
      <c r="I35" s="22"/>
      <c r="J35" s="41"/>
      <c r="K35" s="41">
        <f t="shared" si="6"/>
        <v>8.4444059615573863</v>
      </c>
      <c r="L35" s="41">
        <f t="shared" si="18"/>
        <v>2.554298000749522</v>
      </c>
      <c r="M35" s="41">
        <f t="shared" si="18"/>
        <v>0.36278337752357009</v>
      </c>
      <c r="N35" s="41">
        <f t="shared" si="6"/>
        <v>8.0280420350175028</v>
      </c>
      <c r="O35" s="67"/>
      <c r="P35" s="41">
        <f t="shared" si="13"/>
        <v>3.9100000000000003E-2</v>
      </c>
      <c r="R35" s="27">
        <f t="shared" si="17"/>
        <v>2.2742180750317118</v>
      </c>
      <c r="S35" s="27">
        <f t="shared" si="17"/>
        <v>1.8270981744273773</v>
      </c>
      <c r="T35" s="27">
        <f t="shared" si="17"/>
        <v>1.471053027424579</v>
      </c>
      <c r="U35" s="27">
        <f t="shared" si="17"/>
        <v>1.1868973587306797</v>
      </c>
      <c r="V35" s="27">
        <f t="shared" si="17"/>
        <v>0.95961856717779559</v>
      </c>
      <c r="W35" s="27">
        <f t="shared" si="17"/>
        <v>0.77744115577245609</v>
      </c>
      <c r="X35" s="27">
        <f t="shared" si="17"/>
        <v>0.63110710730211739</v>
      </c>
      <c r="Y35" s="27">
        <f t="shared" si="17"/>
        <v>0.51332096002355754</v>
      </c>
    </row>
    <row r="36" spans="1:25" x14ac:dyDescent="0.25">
      <c r="A36" s="21">
        <v>24</v>
      </c>
      <c r="C36" s="25">
        <f t="shared" si="19"/>
        <v>8.4444059615573863</v>
      </c>
      <c r="D36" s="23">
        <f>($B$4/CommAndSportFishingValues!$I$18)*FishHarvestTimeTrends!AC45*((1+'OriginalBCACalculations$2012'!D$10)^MIN('OriginalBCACalculations$2012'!$A36,20))</f>
        <v>2.3827652443127736</v>
      </c>
      <c r="E36" s="23">
        <f>($B$5/CommAndSportFishingValues!$I$19)*FishHarvestTimeTrends!AD45*((1+'OriginalBCACalculations$2012'!E$10)^MIN('OriginalBCACalculations$2012'!$A36,20))</f>
        <v>0.33739481287271672</v>
      </c>
      <c r="F36" s="23">
        <f t="shared" si="20"/>
        <v>8.0320560560350103</v>
      </c>
      <c r="H36" s="22">
        <f t="shared" si="14"/>
        <v>3.9100000000000003E-2</v>
      </c>
      <c r="I36" s="22"/>
      <c r="J36" s="41"/>
      <c r="K36" s="41">
        <f t="shared" si="6"/>
        <v>8.4444059615573863</v>
      </c>
      <c r="L36" s="41">
        <f t="shared" si="18"/>
        <v>2.5575282161855042</v>
      </c>
      <c r="M36" s="41">
        <f t="shared" si="18"/>
        <v>0.36324778364654275</v>
      </c>
      <c r="N36" s="41">
        <f t="shared" si="6"/>
        <v>8.0320560560350103</v>
      </c>
      <c r="O36" s="67"/>
      <c r="P36" s="41">
        <f t="shared" si="13"/>
        <v>3.9100000000000003E-2</v>
      </c>
      <c r="R36" s="27">
        <f t="shared" si="17"/>
        <v>2.3469101516631135</v>
      </c>
      <c r="S36" s="27">
        <f t="shared" si="17"/>
        <v>1.8668304089523042</v>
      </c>
      <c r="T36" s="27">
        <f t="shared" si="17"/>
        <v>1.4883069609817865</v>
      </c>
      <c r="U36" s="27">
        <f t="shared" si="17"/>
        <v>1.1891600081535829</v>
      </c>
      <c r="V36" s="27">
        <f t="shared" si="17"/>
        <v>0.9522032504608019</v>
      </c>
      <c r="W36" s="27">
        <f t="shared" si="17"/>
        <v>0.76408660266468509</v>
      </c>
      <c r="X36" s="27">
        <f t="shared" si="17"/>
        <v>0.61441465006808926</v>
      </c>
      <c r="Y36" s="27">
        <f t="shared" si="17"/>
        <v>0.49507338198457285</v>
      </c>
    </row>
    <row r="37" spans="1:25" x14ac:dyDescent="0.25">
      <c r="A37" s="21">
        <v>25</v>
      </c>
      <c r="C37" s="25">
        <f t="shared" si="19"/>
        <v>8.4444059615573863</v>
      </c>
      <c r="D37" s="23">
        <f>($B$4/CommAndSportFishingValues!$I$18)*FishHarvestTimeTrends!AC46*((1+'OriginalBCACalculations$2012'!D$10)^MIN('OriginalBCACalculations$2012'!$A37,20))</f>
        <v>2.4418985043876336</v>
      </c>
      <c r="E37" s="23">
        <f>($B$5/CommAndSportFishingValues!$I$19)*FishHarvestTimeTrends!AD46*((1+'OriginalBCACalculations$2012'!E$10)^MIN('OriginalBCACalculations$2012'!$A37,20))</f>
        <v>0.34693960841175081</v>
      </c>
      <c r="F37" s="23">
        <f t="shared" si="20"/>
        <v>8.0360720840630275</v>
      </c>
      <c r="H37" s="22">
        <f t="shared" si="14"/>
        <v>3.9100000000000003E-2</v>
      </c>
      <c r="I37" s="22"/>
      <c r="J37" s="41"/>
      <c r="K37" s="41">
        <f t="shared" si="6"/>
        <v>8.4444059615573863</v>
      </c>
      <c r="L37" s="41">
        <f t="shared" si="18"/>
        <v>2.5607584316214873</v>
      </c>
      <c r="M37" s="41">
        <f t="shared" si="18"/>
        <v>0.36371218976951536</v>
      </c>
      <c r="N37" s="41">
        <f t="shared" si="6"/>
        <v>8.0360720840630275</v>
      </c>
      <c r="O37" s="67"/>
      <c r="P37" s="41">
        <f t="shared" si="13"/>
        <v>3.9100000000000003E-2</v>
      </c>
      <c r="R37" s="27">
        <f t="shared" si="17"/>
        <v>2.4196042353050249</v>
      </c>
      <c r="S37" s="27">
        <f t="shared" si="17"/>
        <v>1.9055983374972127</v>
      </c>
      <c r="T37" s="27">
        <f t="shared" si="17"/>
        <v>1.5043199453969711</v>
      </c>
      <c r="U37" s="27">
        <f t="shared" si="17"/>
        <v>1.1902849519365024</v>
      </c>
      <c r="V37" s="27">
        <f t="shared" si="17"/>
        <v>0.94393957160647912</v>
      </c>
      <c r="W37" s="27">
        <f t="shared" si="17"/>
        <v>0.75024162895207891</v>
      </c>
      <c r="X37" s="27">
        <f t="shared" si="17"/>
        <v>0.59759034157874524</v>
      </c>
      <c r="Y37" s="27">
        <f t="shared" si="17"/>
        <v>0.47701679660417778</v>
      </c>
    </row>
    <row r="38" spans="1:25" x14ac:dyDescent="0.25">
      <c r="A38" s="21">
        <v>26</v>
      </c>
      <c r="C38" s="25">
        <f t="shared" si="19"/>
        <v>8.4444059615573863</v>
      </c>
      <c r="D38" s="23">
        <f>($B$4/CommAndSportFishingValues!$I$18)*FishHarvestTimeTrends!AC47*((1+'OriginalBCACalculations$2012'!D$10)^MIN('OriginalBCACalculations$2012'!$A38,20))</f>
        <v>2.4611481882240289</v>
      </c>
      <c r="E38" s="23">
        <f>($B$5/CommAndSportFishingValues!$I$19)*FishHarvestTimeTrends!AD47*((1+'OriginalBCACalculations$2012'!E$10)^MIN('OriginalBCACalculations$2012'!$A38,20))</f>
        <v>0.34964395611114202</v>
      </c>
      <c r="F38" s="23">
        <f t="shared" si="20"/>
        <v>8.0400901201050594</v>
      </c>
      <c r="H38" s="22">
        <f t="shared" si="14"/>
        <v>3.9100000000000003E-2</v>
      </c>
      <c r="I38" s="22"/>
      <c r="J38" s="41"/>
      <c r="K38" s="41">
        <f t="shared" si="6"/>
        <v>8.4444059615573863</v>
      </c>
      <c r="L38" s="41">
        <f t="shared" si="18"/>
        <v>2.5639886470574695</v>
      </c>
      <c r="M38" s="41">
        <f t="shared" si="18"/>
        <v>0.36417659589248808</v>
      </c>
      <c r="N38" s="41">
        <f t="shared" si="6"/>
        <v>8.0400901201050594</v>
      </c>
      <c r="O38" s="67"/>
      <c r="P38" s="41">
        <f t="shared" si="13"/>
        <v>3.9100000000000003E-2</v>
      </c>
      <c r="R38" s="27">
        <f t="shared" si="17"/>
        <v>2.4455763028828432</v>
      </c>
      <c r="S38" s="27">
        <f t="shared" si="17"/>
        <v>1.9069832259214476</v>
      </c>
      <c r="T38" s="27">
        <f t="shared" si="17"/>
        <v>1.4906542528395104</v>
      </c>
      <c r="U38" s="27">
        <f t="shared" si="17"/>
        <v>1.1680208623111854</v>
      </c>
      <c r="V38" s="27">
        <f t="shared" si="17"/>
        <v>0.91737676240548327</v>
      </c>
      <c r="W38" s="27">
        <f t="shared" si="17"/>
        <v>0.72218546063966937</v>
      </c>
      <c r="X38" s="27">
        <f t="shared" si="17"/>
        <v>0.56981592936448178</v>
      </c>
      <c r="Y38" s="27">
        <f t="shared" si="17"/>
        <v>0.45059542237404332</v>
      </c>
    </row>
    <row r="39" spans="1:25" x14ac:dyDescent="0.25">
      <c r="A39" s="21">
        <v>27</v>
      </c>
      <c r="C39" s="25">
        <f t="shared" si="19"/>
        <v>8.4444059615573863</v>
      </c>
      <c r="D39" s="23">
        <f>($B$4/CommAndSportFishingValues!$I$18)*FishHarvestTimeTrends!AC48*((1+'OriginalBCACalculations$2012'!D$10)^MIN('OriginalBCACalculations$2012'!$A39,20))</f>
        <v>2.4803978720604234</v>
      </c>
      <c r="E39" s="23">
        <f>($B$5/CommAndSportFishingValues!$I$19)*FishHarvestTimeTrends!AD48*((1+'OriginalBCACalculations$2012'!E$10)^MIN('OriginalBCACalculations$2012'!$A39,20))</f>
        <v>0.35234830381053317</v>
      </c>
      <c r="F39" s="23">
        <f t="shared" si="20"/>
        <v>8.0441101651651117</v>
      </c>
      <c r="H39" s="22">
        <f t="shared" si="14"/>
        <v>3.9100000000000003E-2</v>
      </c>
      <c r="I39" s="22"/>
      <c r="J39" s="41"/>
      <c r="K39" s="41">
        <f t="shared" si="6"/>
        <v>8.4444059615573863</v>
      </c>
      <c r="L39" s="41">
        <f t="shared" si="18"/>
        <v>2.5672188624934518</v>
      </c>
      <c r="M39" s="41">
        <f t="shared" si="18"/>
        <v>0.36464100201546074</v>
      </c>
      <c r="N39" s="41">
        <f t="shared" si="6"/>
        <v>8.0441101651651117</v>
      </c>
      <c r="O39" s="67"/>
      <c r="P39" s="41">
        <f t="shared" si="13"/>
        <v>3.9100000000000003E-2</v>
      </c>
      <c r="R39" s="27">
        <f t="shared" si="17"/>
        <v>2.4715503794786819</v>
      </c>
      <c r="S39" s="27">
        <f t="shared" si="17"/>
        <v>1.9081554368186</v>
      </c>
      <c r="T39" s="27">
        <f t="shared" si="17"/>
        <v>1.4769473081942548</v>
      </c>
      <c r="U39" s="27">
        <f t="shared" si="17"/>
        <v>1.1460448795628997</v>
      </c>
      <c r="V39" s="27">
        <f t="shared" si="17"/>
        <v>0.89146161053809037</v>
      </c>
      <c r="W39" s="27">
        <f t="shared" si="17"/>
        <v>0.69510064519115289</v>
      </c>
      <c r="X39" s="27">
        <f t="shared" si="17"/>
        <v>0.54327156003765609</v>
      </c>
      <c r="Y39" s="27">
        <f t="shared" si="17"/>
        <v>0.42558983609694045</v>
      </c>
    </row>
    <row r="40" spans="1:25" x14ac:dyDescent="0.25">
      <c r="A40" s="21">
        <v>28</v>
      </c>
      <c r="C40" s="25">
        <f t="shared" si="19"/>
        <v>8.4444059615573863</v>
      </c>
      <c r="D40" s="23">
        <f>($B$4/CommAndSportFishingValues!$I$18)*FishHarvestTimeTrends!AC49*((1+'OriginalBCACalculations$2012'!D$10)^MIN('OriginalBCACalculations$2012'!$A40,20))</f>
        <v>2.4996475558968188</v>
      </c>
      <c r="E40" s="23">
        <f>($B$5/CommAndSportFishingValues!$I$19)*FishHarvestTimeTrends!AD49*((1+'OriginalBCACalculations$2012'!E$10)^MIN('OriginalBCACalculations$2012'!$A40,20))</f>
        <v>0.35505265150992432</v>
      </c>
      <c r="F40" s="23">
        <f t="shared" si="20"/>
        <v>8.0481322202476946</v>
      </c>
      <c r="H40" s="22">
        <f t="shared" si="14"/>
        <v>3.9100000000000003E-2</v>
      </c>
      <c r="I40" s="22"/>
      <c r="J40" s="41"/>
      <c r="K40" s="41">
        <f t="shared" si="6"/>
        <v>8.4444059615573863</v>
      </c>
      <c r="L40" s="41">
        <f t="shared" si="18"/>
        <v>2.5704490779294349</v>
      </c>
      <c r="M40" s="41">
        <f t="shared" si="18"/>
        <v>0.36510540813843345</v>
      </c>
      <c r="N40" s="41">
        <f t="shared" si="6"/>
        <v>8.0481322202476946</v>
      </c>
      <c r="O40" s="67"/>
      <c r="P40" s="41">
        <f t="shared" si="13"/>
        <v>3.9100000000000003E-2</v>
      </c>
      <c r="R40" s="27">
        <f t="shared" si="17"/>
        <v>2.4975264660970513</v>
      </c>
      <c r="S40" s="27">
        <f t="shared" si="17"/>
        <v>1.9091190312756243</v>
      </c>
      <c r="T40" s="27">
        <f t="shared" si="17"/>
        <v>1.4632059602533187</v>
      </c>
      <c r="U40" s="27">
        <f t="shared" si="17"/>
        <v>1.1243590815216733</v>
      </c>
      <c r="V40" s="27">
        <f t="shared" si="17"/>
        <v>0.8661835627838097</v>
      </c>
      <c r="W40" s="27">
        <f t="shared" si="17"/>
        <v>0.66895826560269933</v>
      </c>
      <c r="X40" s="27">
        <f t="shared" si="17"/>
        <v>0.51790694753279276</v>
      </c>
      <c r="Y40" s="27">
        <f t="shared" si="17"/>
        <v>0.4019278515314938</v>
      </c>
    </row>
    <row r="41" spans="1:25" x14ac:dyDescent="0.25">
      <c r="A41" s="21">
        <v>29</v>
      </c>
      <c r="C41" s="25">
        <f t="shared" si="19"/>
        <v>8.4444059615573863</v>
      </c>
      <c r="D41" s="23">
        <f>($B$4/CommAndSportFishingValues!$I$18)*FishHarvestTimeTrends!AC50*((1+'OriginalBCACalculations$2012'!D$10)^MIN('OriginalBCACalculations$2012'!$A41,20))</f>
        <v>2.5188972397332146</v>
      </c>
      <c r="E41" s="23">
        <f>($B$5/CommAndSportFishingValues!$I$19)*FishHarvestTimeTrends!AD50*((1+'OriginalBCACalculations$2012'!E$10)^MIN('OriginalBCACalculations$2012'!$A41,20))</f>
        <v>0.35775699920931553</v>
      </c>
      <c r="F41" s="23">
        <f t="shared" si="20"/>
        <v>8.0521562863578175</v>
      </c>
      <c r="H41" s="22">
        <f t="shared" si="14"/>
        <v>3.9100000000000003E-2</v>
      </c>
      <c r="I41" s="22"/>
      <c r="J41" s="41"/>
      <c r="K41" s="41">
        <f t="shared" si="6"/>
        <v>8.4444059615573863</v>
      </c>
      <c r="L41" s="41">
        <f t="shared" si="18"/>
        <v>2.5705924732506036</v>
      </c>
      <c r="M41" s="41">
        <f t="shared" si="18"/>
        <v>0.36511845716443381</v>
      </c>
      <c r="N41" s="41">
        <f t="shared" si="6"/>
        <v>8.0521562863578175</v>
      </c>
      <c r="O41" s="67"/>
      <c r="P41" s="41">
        <f t="shared" si="13"/>
        <v>3.9100000000000003E-2</v>
      </c>
      <c r="R41" s="27">
        <f t="shared" si="17"/>
        <v>2.5235045637429607</v>
      </c>
      <c r="S41" s="27">
        <f t="shared" si="17"/>
        <v>1.9098780109478253</v>
      </c>
      <c r="T41" s="27">
        <f t="shared" si="17"/>
        <v>1.449436805527599</v>
      </c>
      <c r="U41" s="27">
        <f t="shared" si="17"/>
        <v>1.1029651813315247</v>
      </c>
      <c r="V41" s="27">
        <f t="shared" si="17"/>
        <v>0.84153192068067173</v>
      </c>
      <c r="W41" s="27">
        <f t="shared" si="17"/>
        <v>0.64372995751236217</v>
      </c>
      <c r="X41" s="27">
        <f t="shared" si="17"/>
        <v>0.4936735588963031</v>
      </c>
      <c r="Y41" s="27">
        <f t="shared" si="17"/>
        <v>0.37954066946487475</v>
      </c>
    </row>
    <row r="42" spans="1:25" x14ac:dyDescent="0.25">
      <c r="A42" s="21">
        <v>30</v>
      </c>
      <c r="C42" s="25">
        <f t="shared" si="19"/>
        <v>8.4444059615573863</v>
      </c>
      <c r="D42" s="23">
        <f>($B$4/CommAndSportFishingValues!$I$18)*FishHarvestTimeTrends!AC51*((1+'OriginalBCACalculations$2012'!D$10)^MIN('OriginalBCACalculations$2012'!$A42,20))</f>
        <v>2.5381469235696095</v>
      </c>
      <c r="E42" s="23">
        <f>($B$5/CommAndSportFishingValues!$I$19)*FishHarvestTimeTrends!AD51*((1+'OriginalBCACalculations$2012'!E$10)^MIN('OriginalBCACalculations$2012'!$A42,20))</f>
        <v>0.36046134690870668</v>
      </c>
      <c r="F42" s="23">
        <f t="shared" si="20"/>
        <v>8.0561823645009962</v>
      </c>
      <c r="H42" s="22">
        <f t="shared" si="14"/>
        <v>3.9100000000000003E-2</v>
      </c>
      <c r="I42" s="22"/>
      <c r="J42" s="41"/>
      <c r="K42" s="41">
        <f t="shared" si="6"/>
        <v>8.4444059615573863</v>
      </c>
      <c r="L42" s="41">
        <f t="shared" si="18"/>
        <v>2.5707358685717709</v>
      </c>
      <c r="M42" s="41">
        <f t="shared" si="18"/>
        <v>0.36513150619043427</v>
      </c>
      <c r="N42" s="41">
        <f t="shared" si="6"/>
        <v>8.0561823645009962</v>
      </c>
      <c r="O42" s="67"/>
      <c r="P42" s="41">
        <f t="shared" si="13"/>
        <v>3.9100000000000003E-2</v>
      </c>
      <c r="R42" s="27">
        <f t="shared" si="17"/>
        <v>2.5494846734219259</v>
      </c>
      <c r="S42" s="27">
        <f t="shared" si="17"/>
        <v>1.9104363188363358</v>
      </c>
      <c r="T42" s="27">
        <f t="shared" si="17"/>
        <v>1.4356461954986375</v>
      </c>
      <c r="U42" s="27">
        <f t="shared" si="17"/>
        <v>1.0818645469097266</v>
      </c>
      <c r="V42" s="27">
        <f t="shared" si="17"/>
        <v>0.81749586726922252</v>
      </c>
      <c r="W42" s="27">
        <f t="shared" si="17"/>
        <v>0.61938792207975768</v>
      </c>
      <c r="X42" s="27">
        <f t="shared" si="17"/>
        <v>0.47052457685879601</v>
      </c>
      <c r="Y42" s="27">
        <f t="shared" si="17"/>
        <v>0.35836274340165669</v>
      </c>
    </row>
    <row r="43" spans="1:25" x14ac:dyDescent="0.25">
      <c r="A43" s="21">
        <v>31</v>
      </c>
      <c r="C43" s="25">
        <f t="shared" si="19"/>
        <v>8.4444059615573863</v>
      </c>
      <c r="D43" s="23">
        <f>($B$4/CommAndSportFishingValues!$I$18)*FishHarvestTimeTrends!AC52*((1+'OriginalBCACalculations$2012'!D$10)^MIN('OriginalBCACalculations$2012'!$A43,20))</f>
        <v>2.5413771390055926</v>
      </c>
      <c r="E43" s="23">
        <f>($B$5/CommAndSportFishingValues!$I$19)*FishHarvestTimeTrends!AD52*((1+'OriginalBCACalculations$2012'!E$10)^MIN('OriginalBCACalculations$2012'!$A43,20))</f>
        <v>0.36092575303167934</v>
      </c>
      <c r="F43" s="23">
        <f t="shared" si="20"/>
        <v>8.0602104556832455</v>
      </c>
      <c r="H43" s="22">
        <f t="shared" si="14"/>
        <v>3.9100000000000003E-2</v>
      </c>
      <c r="I43" s="22"/>
      <c r="J43" s="41"/>
      <c r="K43" s="41">
        <f t="shared" si="6"/>
        <v>8.4444059615573863</v>
      </c>
      <c r="L43" s="41">
        <f t="shared" si="18"/>
        <v>2.5708792638929401</v>
      </c>
      <c r="M43" s="41">
        <f t="shared" si="18"/>
        <v>0.36514455521643474</v>
      </c>
      <c r="N43" s="41">
        <f t="shared" si="6"/>
        <v>8.0602104556832455</v>
      </c>
      <c r="O43" s="67"/>
      <c r="P43" s="41">
        <f t="shared" si="13"/>
        <v>3.9100000000000003E-2</v>
      </c>
      <c r="R43" s="27">
        <f t="shared" si="17"/>
        <v>2.5572073861631299</v>
      </c>
      <c r="S43" s="27">
        <f t="shared" si="17"/>
        <v>1.8972507653289339</v>
      </c>
      <c r="T43" s="27">
        <f t="shared" si="17"/>
        <v>1.4117597549850762</v>
      </c>
      <c r="U43" s="27">
        <f t="shared" si="17"/>
        <v>1.0535355844354903</v>
      </c>
      <c r="V43" s="27">
        <f t="shared" si="17"/>
        <v>0.78843477503360804</v>
      </c>
      <c r="W43" s="27">
        <f t="shared" si="17"/>
        <v>0.59168012069434084</v>
      </c>
      <c r="X43" s="27">
        <f t="shared" si="17"/>
        <v>0.44523571277050344</v>
      </c>
      <c r="Y43" s="27">
        <f t="shared" si="17"/>
        <v>0.33593296228667424</v>
      </c>
    </row>
    <row r="44" spans="1:25" x14ac:dyDescent="0.25">
      <c r="A44" s="21">
        <v>32</v>
      </c>
      <c r="C44" s="25">
        <f t="shared" si="19"/>
        <v>8.4444059615573863</v>
      </c>
      <c r="D44" s="23">
        <f>($B$4/CommAndSportFishingValues!$I$18)*FishHarvestTimeTrends!AC53*((1+'OriginalBCACalculations$2012'!D$10)^MIN('OriginalBCACalculations$2012'!$A44,20))</f>
        <v>2.5446073544415748</v>
      </c>
      <c r="E44" s="23">
        <f>($B$5/CommAndSportFishingValues!$I$19)*FishHarvestTimeTrends!AD53*((1+'OriginalBCACalculations$2012'!E$10)^MIN('OriginalBCACalculations$2012'!$A44,20))</f>
        <v>0.36139015915465206</v>
      </c>
      <c r="F44" s="23">
        <f t="shared" si="20"/>
        <v>8.0642405609110863</v>
      </c>
      <c r="H44" s="22">
        <f t="shared" si="14"/>
        <v>3.9100000000000003E-2</v>
      </c>
      <c r="I44" s="22"/>
      <c r="J44" s="41"/>
      <c r="K44" s="41">
        <f t="shared" si="6"/>
        <v>8.4444059615573863</v>
      </c>
      <c r="L44" s="41">
        <f t="shared" si="6"/>
        <v>2.5446073544415748</v>
      </c>
      <c r="M44" s="41">
        <f t="shared" si="6"/>
        <v>0.36139015915465206</v>
      </c>
      <c r="N44" s="41">
        <f t="shared" si="6"/>
        <v>8.0642405609110863</v>
      </c>
      <c r="O44" s="67"/>
      <c r="P44" s="41">
        <f t="shared" si="13"/>
        <v>3.9100000000000003E-2</v>
      </c>
      <c r="R44" s="27">
        <f t="shared" si="16"/>
        <v>2.5649321129499274</v>
      </c>
      <c r="S44" s="27">
        <f t="shared" si="16"/>
        <v>1.8841405120452512</v>
      </c>
      <c r="T44" s="27">
        <f t="shared" si="16"/>
        <v>1.3882591684013637</v>
      </c>
      <c r="U44" s="27">
        <f t="shared" si="16"/>
        <v>1.0259398733908045</v>
      </c>
      <c r="V44" s="27">
        <f t="shared" si="16"/>
        <v>0.76040043510285771</v>
      </c>
      <c r="W44" s="27">
        <f t="shared" si="16"/>
        <v>0.56520709359031751</v>
      </c>
      <c r="X44" s="27">
        <f t="shared" si="16"/>
        <v>0.42130251505905802</v>
      </c>
      <c r="Y44" s="27">
        <f t="shared" si="16"/>
        <v>0.31490442745370339</v>
      </c>
    </row>
    <row r="45" spans="1:25" x14ac:dyDescent="0.25">
      <c r="A45" s="21">
        <v>33</v>
      </c>
      <c r="C45" s="25">
        <f t="shared" si="19"/>
        <v>8.4444059615573863</v>
      </c>
      <c r="D45" s="23">
        <f>($B$4/CommAndSportFishingValues!$I$18)*FishHarvestTimeTrends!AC54*((1+'OriginalBCACalculations$2012'!D$10)^MIN('OriginalBCACalculations$2012'!$A45,20))</f>
        <v>2.5478375698775571</v>
      </c>
      <c r="E45" s="23">
        <f>($B$5/CommAndSportFishingValues!$I$19)*FishHarvestTimeTrends!AD54*((1+'OriginalBCACalculations$2012'!E$10)^MIN('OriginalBCACalculations$2012'!$A45,20))</f>
        <v>0.36185456527762466</v>
      </c>
      <c r="F45" s="23">
        <f t="shared" si="20"/>
        <v>8.0682726811915408</v>
      </c>
      <c r="H45" s="22">
        <f t="shared" si="14"/>
        <v>3.9100000000000003E-2</v>
      </c>
      <c r="I45" s="22"/>
      <c r="J45" s="41"/>
      <c r="K45" s="41">
        <f t="shared" si="6"/>
        <v>8.4444059615573863</v>
      </c>
      <c r="L45" s="41">
        <f t="shared" si="6"/>
        <v>2.5478375698775571</v>
      </c>
      <c r="M45" s="41">
        <f t="shared" si="6"/>
        <v>0.36185456527762466</v>
      </c>
      <c r="N45" s="41">
        <f t="shared" si="6"/>
        <v>8.0682726811915408</v>
      </c>
      <c r="O45" s="67"/>
      <c r="P45" s="41">
        <f t="shared" si="13"/>
        <v>3.9100000000000003E-2</v>
      </c>
      <c r="R45" s="27">
        <f t="shared" si="16"/>
        <v>2.5726588547893368</v>
      </c>
      <c r="S45" s="27">
        <f t="shared" si="16"/>
        <v>1.8711053465505203</v>
      </c>
      <c r="T45" s="27">
        <f t="shared" si="16"/>
        <v>1.3651384669411684</v>
      </c>
      <c r="U45" s="27">
        <f t="shared" si="16"/>
        <v>0.99905870951509379</v>
      </c>
      <c r="V45" s="27">
        <f t="shared" si="16"/>
        <v>0.73335683363412829</v>
      </c>
      <c r="W45" s="27">
        <f t="shared" si="16"/>
        <v>0.5399140517760167</v>
      </c>
      <c r="X45" s="27">
        <f t="shared" si="16"/>
        <v>0.39865251868616397</v>
      </c>
      <c r="Y45" s="27">
        <f t="shared" si="16"/>
        <v>0.29518977830020404</v>
      </c>
    </row>
    <row r="46" spans="1:25" x14ac:dyDescent="0.25">
      <c r="A46" s="21">
        <v>34</v>
      </c>
      <c r="C46" s="25">
        <f t="shared" si="19"/>
        <v>8.4444059615573863</v>
      </c>
      <c r="D46" s="23">
        <f>($B$4/CommAndSportFishingValues!$I$18)*FishHarvestTimeTrends!AC55*((1+'OriginalBCACalculations$2012'!D$10)^MIN('OriginalBCACalculations$2012'!$A46,20))</f>
        <v>2.5510677853135397</v>
      </c>
      <c r="E46" s="23">
        <f>($B$5/CommAndSportFishingValues!$I$19)*FishHarvestTimeTrends!AD55*((1+'OriginalBCACalculations$2012'!E$10)^MIN('OriginalBCACalculations$2012'!$A46,20))</f>
        <v>0.36231897140059738</v>
      </c>
      <c r="F46" s="23">
        <f t="shared" si="20"/>
        <v>8.0723068175321355</v>
      </c>
      <c r="H46" s="22">
        <f t="shared" si="14"/>
        <v>3.9100000000000003E-2</v>
      </c>
      <c r="I46" s="22"/>
      <c r="J46" s="41"/>
      <c r="K46" s="41">
        <f t="shared" si="6"/>
        <v>8.4444059615573863</v>
      </c>
      <c r="L46" s="41">
        <f t="shared" si="6"/>
        <v>2.5510677853135397</v>
      </c>
      <c r="M46" s="41">
        <f t="shared" si="6"/>
        <v>0.36231897140059738</v>
      </c>
      <c r="N46" s="41">
        <f t="shared" si="6"/>
        <v>8.0723068175321355</v>
      </c>
      <c r="O46" s="67"/>
      <c r="P46" s="41">
        <f t="shared" si="13"/>
        <v>3.9100000000000003E-2</v>
      </c>
      <c r="R46" s="27">
        <f t="shared" ref="R46:Y61" si="21">(SUM($D46:$H46)-SUM($B46:$C46))/((1+R$10)^($A46-1))</f>
        <v>2.5803876126888863</v>
      </c>
      <c r="S46" s="27">
        <f t="shared" si="21"/>
        <v>1.858145053365851</v>
      </c>
      <c r="T46" s="27">
        <f t="shared" si="21"/>
        <v>1.3423917679191131</v>
      </c>
      <c r="U46" s="27">
        <f t="shared" si="21"/>
        <v>0.97287385673336646</v>
      </c>
      <c r="V46" s="27">
        <f t="shared" si="21"/>
        <v>0.70726920907714297</v>
      </c>
      <c r="W46" s="27">
        <f t="shared" si="21"/>
        <v>0.51574862530364751</v>
      </c>
      <c r="X46" s="27">
        <f t="shared" si="21"/>
        <v>0.37721711970741034</v>
      </c>
      <c r="Y46" s="27">
        <f t="shared" si="21"/>
        <v>0.27670708850248782</v>
      </c>
    </row>
    <row r="47" spans="1:25" x14ac:dyDescent="0.25">
      <c r="A47" s="21">
        <v>35</v>
      </c>
      <c r="C47" s="25">
        <f t="shared" si="19"/>
        <v>8.4444059615573863</v>
      </c>
      <c r="D47" s="23">
        <f>($B$4/CommAndSportFishingValues!$I$18)*FishHarvestTimeTrends!AC56*((1+'OriginalBCACalculations$2012'!D$10)^MIN('OriginalBCACalculations$2012'!$A47,20))</f>
        <v>2.554298000749522</v>
      </c>
      <c r="E47" s="23">
        <f>($B$5/CommAndSportFishingValues!$I$19)*FishHarvestTimeTrends!AD56*((1+'OriginalBCACalculations$2012'!E$10)^MIN('OriginalBCACalculations$2012'!$A47,20))</f>
        <v>0.36278337752357009</v>
      </c>
      <c r="F47" s="23">
        <f t="shared" si="20"/>
        <v>8.0763429709409014</v>
      </c>
      <c r="H47" s="22">
        <f t="shared" si="14"/>
        <v>3.9100000000000003E-2</v>
      </c>
      <c r="I47" s="22"/>
      <c r="J47" s="41"/>
      <c r="K47" s="41">
        <f t="shared" si="6"/>
        <v>8.4444059615573863</v>
      </c>
      <c r="L47" s="41">
        <f t="shared" si="6"/>
        <v>2.554298000749522</v>
      </c>
      <c r="M47" s="41">
        <f t="shared" si="6"/>
        <v>0.36278337752357009</v>
      </c>
      <c r="N47" s="41">
        <f t="shared" si="6"/>
        <v>8.0763429709409014</v>
      </c>
      <c r="O47" s="67"/>
      <c r="P47" s="41">
        <f t="shared" si="13"/>
        <v>3.9100000000000003E-2</v>
      </c>
      <c r="R47" s="27">
        <f t="shared" si="21"/>
        <v>2.588118387656607</v>
      </c>
      <c r="S47" s="27">
        <f t="shared" si="21"/>
        <v>1.8452594140480938</v>
      </c>
      <c r="T47" s="27">
        <f t="shared" si="21"/>
        <v>1.3200132736806707</v>
      </c>
      <c r="U47" s="27">
        <f t="shared" si="21"/>
        <v>0.94736753573184329</v>
      </c>
      <c r="V47" s="27">
        <f t="shared" si="21"/>
        <v>0.6821040090861934</v>
      </c>
      <c r="W47" s="27">
        <f t="shared" si="21"/>
        <v>0.49266075707574414</v>
      </c>
      <c r="X47" s="27">
        <f t="shared" si="21"/>
        <v>0.35693137028584782</v>
      </c>
      <c r="Y47" s="27">
        <f t="shared" si="21"/>
        <v>0.25937952881107224</v>
      </c>
    </row>
    <row r="48" spans="1:25" x14ac:dyDescent="0.25">
      <c r="A48" s="21">
        <v>36</v>
      </c>
      <c r="C48" s="25">
        <f t="shared" si="19"/>
        <v>8.4444059615573863</v>
      </c>
      <c r="D48" s="23">
        <f>($B$4/CommAndSportFishingValues!$I$18)*FishHarvestTimeTrends!AC57*((1+'OriginalBCACalculations$2012'!D$10)^MIN('OriginalBCACalculations$2012'!$A48,20))</f>
        <v>2.5575282161855042</v>
      </c>
      <c r="E48" s="23">
        <f>($B$5/CommAndSportFishingValues!$I$19)*FishHarvestTimeTrends!AD57*((1+'OriginalBCACalculations$2012'!E$10)^MIN('OriginalBCACalculations$2012'!$A48,20))</f>
        <v>0.36324778364654275</v>
      </c>
      <c r="F48" s="23">
        <f t="shared" si="20"/>
        <v>8.0803811424263721</v>
      </c>
      <c r="H48" s="22">
        <f t="shared" si="14"/>
        <v>3.9100000000000003E-2</v>
      </c>
      <c r="I48" s="22"/>
      <c r="J48" s="41"/>
      <c r="K48" s="41">
        <f t="shared" si="6"/>
        <v>8.4444059615573863</v>
      </c>
      <c r="L48" s="41">
        <f t="shared" si="6"/>
        <v>2.5575282161855042</v>
      </c>
      <c r="M48" s="41">
        <f t="shared" si="6"/>
        <v>0.36324778364654275</v>
      </c>
      <c r="N48" s="41">
        <f t="shared" si="6"/>
        <v>8.0803811424263721</v>
      </c>
      <c r="O48" s="67"/>
      <c r="P48" s="41">
        <f t="shared" si="13"/>
        <v>3.9100000000000003E-2</v>
      </c>
      <c r="R48" s="27">
        <f t="shared" si="21"/>
        <v>2.5958511807010325</v>
      </c>
      <c r="S48" s="27">
        <f t="shared" si="21"/>
        <v>1.8324482072684427</v>
      </c>
      <c r="T48" s="27">
        <f t="shared" si="21"/>
        <v>1.2979972705218514</v>
      </c>
      <c r="U48" s="27">
        <f t="shared" si="21"/>
        <v>0.92252241280244707</v>
      </c>
      <c r="V48" s="27">
        <f t="shared" si="21"/>
        <v>0.65782884889534499</v>
      </c>
      <c r="W48" s="27">
        <f t="shared" si="21"/>
        <v>0.47060260128211451</v>
      </c>
      <c r="X48" s="27">
        <f t="shared" si="21"/>
        <v>0.33773378454396474</v>
      </c>
      <c r="Y48" s="27">
        <f t="shared" si="21"/>
        <v>0.24313505071277353</v>
      </c>
    </row>
    <row r="49" spans="1:25" x14ac:dyDescent="0.25">
      <c r="A49" s="21">
        <v>37</v>
      </c>
      <c r="C49" s="25">
        <f t="shared" si="19"/>
        <v>8.4444059615573863</v>
      </c>
      <c r="D49" s="23">
        <f>($B$4/CommAndSportFishingValues!$I$18)*FishHarvestTimeTrends!AC58*((1+'OriginalBCACalculations$2012'!D$10)^MIN('OriginalBCACalculations$2012'!$A49,20))</f>
        <v>2.5607584316214873</v>
      </c>
      <c r="E49" s="23">
        <f>($B$5/CommAndSportFishingValues!$I$19)*FishHarvestTimeTrends!AD58*((1+'OriginalBCACalculations$2012'!E$10)^MIN('OriginalBCACalculations$2012'!$A49,20))</f>
        <v>0.36371218976951536</v>
      </c>
      <c r="F49" s="23">
        <f t="shared" si="20"/>
        <v>8.084421332997584</v>
      </c>
      <c r="H49" s="22">
        <f t="shared" si="14"/>
        <v>3.9100000000000003E-2</v>
      </c>
      <c r="I49" s="22"/>
      <c r="J49" s="41"/>
      <c r="K49" s="41">
        <f t="shared" si="6"/>
        <v>8.4444059615573863</v>
      </c>
      <c r="L49" s="41">
        <f t="shared" si="6"/>
        <v>2.5607584316214873</v>
      </c>
      <c r="M49" s="41">
        <f t="shared" si="6"/>
        <v>0.36371218976951536</v>
      </c>
      <c r="N49" s="41">
        <f t="shared" si="6"/>
        <v>8.084421332997584</v>
      </c>
      <c r="O49" s="67"/>
      <c r="P49" s="41">
        <f t="shared" si="13"/>
        <v>3.9100000000000003E-2</v>
      </c>
      <c r="R49" s="27">
        <f t="shared" si="21"/>
        <v>2.6035859928311993</v>
      </c>
      <c r="S49" s="27">
        <f t="shared" si="21"/>
        <v>1.8197112088897824</v>
      </c>
      <c r="T49" s="27">
        <f t="shared" si="21"/>
        <v>1.2763381276187071</v>
      </c>
      <c r="U49" s="27">
        <f t="shared" si="21"/>
        <v>0.89832158895017022</v>
      </c>
      <c r="V49" s="27">
        <f t="shared" si="21"/>
        <v>0.63441247110797927</v>
      </c>
      <c r="W49" s="27">
        <f t="shared" si="21"/>
        <v>0.44952842626699152</v>
      </c>
      <c r="X49" s="27">
        <f t="shared" si="21"/>
        <v>0.31956615468366334</v>
      </c>
      <c r="Y49" s="27">
        <f t="shared" si="21"/>
        <v>0.22790608967220979</v>
      </c>
    </row>
    <row r="50" spans="1:25" x14ac:dyDescent="0.25">
      <c r="A50" s="21">
        <v>38</v>
      </c>
      <c r="C50" s="25">
        <f t="shared" si="19"/>
        <v>8.4444059615573863</v>
      </c>
      <c r="D50" s="23">
        <f>($B$4/CommAndSportFishingValues!$I$18)*FishHarvestTimeTrends!AC59*((1+'OriginalBCACalculations$2012'!D$10)^MIN('OriginalBCACalculations$2012'!$A50,20))</f>
        <v>2.5639886470574695</v>
      </c>
      <c r="E50" s="23">
        <f>($B$5/CommAndSportFishingValues!$I$19)*FishHarvestTimeTrends!AD59*((1+'OriginalBCACalculations$2012'!E$10)^MIN('OriginalBCACalculations$2012'!$A50,20))</f>
        <v>0.36417659589248808</v>
      </c>
      <c r="F50" s="23">
        <f t="shared" si="20"/>
        <v>8.0884635436640817</v>
      </c>
      <c r="H50" s="22">
        <f t="shared" si="14"/>
        <v>3.9100000000000003E-2</v>
      </c>
      <c r="I50" s="22"/>
      <c r="J50" s="41"/>
      <c r="K50" s="41">
        <f t="shared" si="6"/>
        <v>8.4444059615573863</v>
      </c>
      <c r="L50" s="41">
        <f t="shared" si="6"/>
        <v>2.5639886470574695</v>
      </c>
      <c r="M50" s="41">
        <f t="shared" si="6"/>
        <v>0.36417659589248808</v>
      </c>
      <c r="N50" s="41">
        <f t="shared" si="6"/>
        <v>8.0884635436640817</v>
      </c>
      <c r="O50" s="67"/>
      <c r="P50" s="41">
        <f t="shared" si="13"/>
        <v>3.9100000000000003E-2</v>
      </c>
      <c r="R50" s="27">
        <f t="shared" si="21"/>
        <v>2.6113228250566518</v>
      </c>
      <c r="S50" s="27">
        <f t="shared" si="21"/>
        <v>1.8070481920428032</v>
      </c>
      <c r="T50" s="27">
        <f t="shared" si="21"/>
        <v>1.2550302959666815</v>
      </c>
      <c r="U50" s="27">
        <f t="shared" si="21"/>
        <v>0.87474858925745136</v>
      </c>
      <c r="V50" s="27">
        <f t="shared" si="21"/>
        <v>0.61182470685341106</v>
      </c>
      <c r="W50" s="27">
        <f t="shared" si="21"/>
        <v>0.42939452163466518</v>
      </c>
      <c r="X50" s="27">
        <f t="shared" si="21"/>
        <v>0.30237337683369492</v>
      </c>
      <c r="Y50" s="27">
        <f t="shared" si="21"/>
        <v>0.21362928674453388</v>
      </c>
    </row>
    <row r="51" spans="1:25" x14ac:dyDescent="0.25">
      <c r="A51" s="21">
        <v>39</v>
      </c>
      <c r="C51" s="25">
        <f t="shared" si="19"/>
        <v>8.4444059615573863</v>
      </c>
      <c r="D51" s="23">
        <f>($B$4/CommAndSportFishingValues!$I$18)*FishHarvestTimeTrends!AC60*((1+'OriginalBCACalculations$2012'!D$10)^MIN('OriginalBCACalculations$2012'!$A51,20))</f>
        <v>2.5672188624934518</v>
      </c>
      <c r="E51" s="23">
        <f>($B$5/CommAndSportFishingValues!$I$19)*FishHarvestTimeTrends!AD60*((1+'OriginalBCACalculations$2012'!E$10)^MIN('OriginalBCACalculations$2012'!$A51,20))</f>
        <v>0.36464100201546074</v>
      </c>
      <c r="F51" s="23">
        <f t="shared" si="20"/>
        <v>8.092507775435914</v>
      </c>
      <c r="H51" s="22">
        <f t="shared" si="14"/>
        <v>3.9100000000000003E-2</v>
      </c>
      <c r="I51" s="22"/>
      <c r="J51" s="41"/>
      <c r="K51" s="41">
        <f t="shared" si="6"/>
        <v>8.4444059615573863</v>
      </c>
      <c r="L51" s="41">
        <f t="shared" si="6"/>
        <v>2.5672188624934518</v>
      </c>
      <c r="M51" s="41">
        <f t="shared" si="6"/>
        <v>0.36464100201546074</v>
      </c>
      <c r="N51" s="41">
        <f t="shared" si="6"/>
        <v>8.092507775435914</v>
      </c>
      <c r="O51" s="67"/>
      <c r="P51" s="41">
        <f t="shared" si="13"/>
        <v>3.9100000000000003E-2</v>
      </c>
      <c r="R51" s="27">
        <f t="shared" si="21"/>
        <v>2.6190616783874408</v>
      </c>
      <c r="S51" s="27">
        <f t="shared" si="21"/>
        <v>1.7944589272008877</v>
      </c>
      <c r="T51" s="27">
        <f t="shared" si="21"/>
        <v>1.2340683073298235</v>
      </c>
      <c r="U51" s="27">
        <f t="shared" si="21"/>
        <v>0.85178735249981619</v>
      </c>
      <c r="V51" s="27">
        <f t="shared" si="21"/>
        <v>0.59003643826485763</v>
      </c>
      <c r="W51" s="27">
        <f t="shared" si="21"/>
        <v>0.41015910941009298</v>
      </c>
      <c r="X51" s="27">
        <f t="shared" si="21"/>
        <v>0.28610328611231678</v>
      </c>
      <c r="Y51" s="27">
        <f t="shared" si="21"/>
        <v>0.2002452274255149</v>
      </c>
    </row>
    <row r="52" spans="1:25" x14ac:dyDescent="0.25">
      <c r="A52" s="21">
        <v>40</v>
      </c>
      <c r="C52" s="25">
        <f t="shared" si="19"/>
        <v>8.4444059615573863</v>
      </c>
      <c r="D52" s="23">
        <f>($B$4/CommAndSportFishingValues!$I$18)*FishHarvestTimeTrends!AC61*((1+'OriginalBCACalculations$2012'!D$10)^MIN('OriginalBCACalculations$2012'!$A52,20))</f>
        <v>2.5704490779294349</v>
      </c>
      <c r="E52" s="23">
        <f>($B$5/CommAndSportFishingValues!$I$19)*FishHarvestTimeTrends!AD61*((1+'OriginalBCACalculations$2012'!E$10)^MIN('OriginalBCACalculations$2012'!$A52,20))</f>
        <v>0.36510540813843345</v>
      </c>
      <c r="F52" s="23">
        <f t="shared" si="20"/>
        <v>8.0965540293236309</v>
      </c>
      <c r="H52" s="22">
        <f t="shared" si="14"/>
        <v>3.9100000000000003E-2</v>
      </c>
      <c r="I52" s="22"/>
      <c r="J52" s="41"/>
      <c r="K52" s="41">
        <f t="shared" si="6"/>
        <v>8.4444059615573863</v>
      </c>
      <c r="L52" s="41">
        <f t="shared" si="6"/>
        <v>2.5704490779294349</v>
      </c>
      <c r="M52" s="41">
        <f t="shared" si="6"/>
        <v>0.36510540813843345</v>
      </c>
      <c r="N52" s="41">
        <f t="shared" si="6"/>
        <v>8.0965540293236309</v>
      </c>
      <c r="O52" s="67"/>
      <c r="P52" s="41">
        <f t="shared" si="13"/>
        <v>3.9100000000000003E-2</v>
      </c>
      <c r="R52" s="27">
        <f t="shared" si="21"/>
        <v>2.6268025538341124</v>
      </c>
      <c r="S52" s="27">
        <f t="shared" si="21"/>
        <v>1.7819431822537899</v>
      </c>
      <c r="T52" s="27">
        <f t="shared" si="21"/>
        <v>1.2134467731998821</v>
      </c>
      <c r="U52" s="27">
        <f t="shared" si="21"/>
        <v>0.82942222100715168</v>
      </c>
      <c r="V52" s="27">
        <f t="shared" si="21"/>
        <v>0.56901956223453243</v>
      </c>
      <c r="W52" s="27">
        <f t="shared" si="21"/>
        <v>0.39178225907885267</v>
      </c>
      <c r="X52" s="27">
        <f t="shared" si="21"/>
        <v>0.27070650041976446</v>
      </c>
      <c r="Y52" s="27">
        <f t="shared" si="21"/>
        <v>0.18769819667483559</v>
      </c>
    </row>
    <row r="53" spans="1:25" x14ac:dyDescent="0.25">
      <c r="A53" s="21">
        <v>41</v>
      </c>
      <c r="C53" s="25">
        <f t="shared" si="19"/>
        <v>8.4444059615573863</v>
      </c>
      <c r="D53" s="23">
        <f>($B$4/CommAndSportFishingValues!$I$18)*FishHarvestTimeTrends!AC62*((1+'OriginalBCACalculations$2012'!D$10)^MIN('OriginalBCACalculations$2012'!$A53,20))</f>
        <v>2.5705924732506036</v>
      </c>
      <c r="E53" s="23">
        <f>($B$5/CommAndSportFishingValues!$I$19)*FishHarvestTimeTrends!AD62*((1+'OriginalBCACalculations$2012'!E$10)^MIN('OriginalBCACalculations$2012'!$A53,20))</f>
        <v>0.36511845716443381</v>
      </c>
      <c r="F53" s="23">
        <f t="shared" si="20"/>
        <v>8.1006023063382919</v>
      </c>
      <c r="H53" s="22">
        <f t="shared" si="14"/>
        <v>3.9100000000000003E-2</v>
      </c>
      <c r="I53" s="22"/>
      <c r="J53" s="41"/>
      <c r="K53" s="41">
        <f t="shared" si="6"/>
        <v>8.4444059615573863</v>
      </c>
      <c r="L53" s="41">
        <f t="shared" si="6"/>
        <v>2.5705924732506036</v>
      </c>
      <c r="M53" s="41">
        <f t="shared" si="6"/>
        <v>0.36511845716443381</v>
      </c>
      <c r="N53" s="41">
        <f t="shared" si="6"/>
        <v>8.1006023063382919</v>
      </c>
      <c r="O53" s="67"/>
      <c r="P53" s="41">
        <f t="shared" si="13"/>
        <v>3.9100000000000003E-2</v>
      </c>
      <c r="R53" s="27">
        <f t="shared" si="21"/>
        <v>2.6310072751959428</v>
      </c>
      <c r="S53" s="27">
        <f t="shared" si="21"/>
        <v>1.7671242947500032</v>
      </c>
      <c r="T53" s="27">
        <f t="shared" si="21"/>
        <v>1.191557977218868</v>
      </c>
      <c r="U53" s="27">
        <f t="shared" si="21"/>
        <v>0.8065532783369701</v>
      </c>
      <c r="V53" s="27">
        <f t="shared" si="21"/>
        <v>0.54800999185181054</v>
      </c>
      <c r="W53" s="27">
        <f t="shared" si="21"/>
        <v>0.37372322354220255</v>
      </c>
      <c r="X53" s="27">
        <f t="shared" si="21"/>
        <v>0.25579228317154379</v>
      </c>
      <c r="Y53" s="27">
        <f t="shared" si="21"/>
        <v>0.17569966829164888</v>
      </c>
    </row>
    <row r="54" spans="1:25" x14ac:dyDescent="0.25">
      <c r="A54" s="21">
        <v>42</v>
      </c>
      <c r="C54" s="25">
        <f t="shared" si="19"/>
        <v>8.4444059615573863</v>
      </c>
      <c r="D54" s="23">
        <f>($B$4/CommAndSportFishingValues!$I$18)*FishHarvestTimeTrends!AC63*((1+'OriginalBCACalculations$2012'!D$10)^MIN('OriginalBCACalculations$2012'!$A54,20))</f>
        <v>2.5707358685717709</v>
      </c>
      <c r="E54" s="23">
        <f>($B$5/CommAndSportFishingValues!$I$19)*FishHarvestTimeTrends!AD63*((1+'OriginalBCACalculations$2012'!E$10)^MIN('OriginalBCACalculations$2012'!$A54,20))</f>
        <v>0.36513150619043427</v>
      </c>
      <c r="F54" s="23">
        <f t="shared" si="20"/>
        <v>8.1046526074914613</v>
      </c>
      <c r="H54" s="22">
        <f t="shared" si="14"/>
        <v>3.9100000000000003E-2</v>
      </c>
      <c r="I54" s="22"/>
      <c r="J54" s="41"/>
      <c r="K54" s="41">
        <f t="shared" si="6"/>
        <v>8.4444059615573863</v>
      </c>
      <c r="L54" s="41">
        <f t="shared" si="6"/>
        <v>2.5707358685717709</v>
      </c>
      <c r="M54" s="41">
        <f t="shared" si="6"/>
        <v>0.36513150619043427</v>
      </c>
      <c r="N54" s="41">
        <f t="shared" si="6"/>
        <v>8.1046526074914613</v>
      </c>
      <c r="O54" s="67"/>
      <c r="P54" s="41">
        <f t="shared" si="13"/>
        <v>3.9100000000000003E-2</v>
      </c>
      <c r="R54" s="27">
        <f t="shared" si="21"/>
        <v>2.6352140206962797</v>
      </c>
      <c r="S54" s="27">
        <f t="shared" si="21"/>
        <v>1.7524255134353381</v>
      </c>
      <c r="T54" s="27">
        <f t="shared" si="21"/>
        <v>1.1700619332697004</v>
      </c>
      <c r="U54" s="27">
        <f t="shared" si="21"/>
        <v>0.78431348053154637</v>
      </c>
      <c r="V54" s="27">
        <f t="shared" si="21"/>
        <v>0.52777520274347678</v>
      </c>
      <c r="W54" s="27">
        <f t="shared" si="21"/>
        <v>0.35649597483529666</v>
      </c>
      <c r="X54" s="27">
        <f t="shared" si="21"/>
        <v>0.24169931337001838</v>
      </c>
      <c r="Y54" s="27">
        <f t="shared" si="21"/>
        <v>0.16446784706448209</v>
      </c>
    </row>
    <row r="55" spans="1:25" x14ac:dyDescent="0.25">
      <c r="A55" s="21">
        <v>43</v>
      </c>
      <c r="C55" s="25">
        <f t="shared" si="19"/>
        <v>8.4444059615573863</v>
      </c>
      <c r="D55" s="23">
        <f>($B$4/CommAndSportFishingValues!$I$18)*FishHarvestTimeTrends!AC64*((1+'OriginalBCACalculations$2012'!D$10)^MIN('OriginalBCACalculations$2012'!$A55,20))</f>
        <v>2.5708792638929401</v>
      </c>
      <c r="E55" s="23">
        <f>($B$5/CommAndSportFishingValues!$I$19)*FishHarvestTimeTrends!AD64*((1+'OriginalBCACalculations$2012'!E$10)^MIN('OriginalBCACalculations$2012'!$A55,20))</f>
        <v>0.36514455521643474</v>
      </c>
      <c r="F55" s="23">
        <f t="shared" si="20"/>
        <v>8.108704933795206</v>
      </c>
      <c r="H55" s="22">
        <f t="shared" si="14"/>
        <v>3.9100000000000003E-2</v>
      </c>
      <c r="I55" s="22"/>
      <c r="J55" s="41"/>
      <c r="K55" s="41">
        <f t="shared" si="6"/>
        <v>8.4444059615573863</v>
      </c>
      <c r="L55" s="41">
        <f t="shared" si="6"/>
        <v>2.5708792638929401</v>
      </c>
      <c r="M55" s="41">
        <f t="shared" si="6"/>
        <v>0.36514455521643474</v>
      </c>
      <c r="N55" s="41">
        <f t="shared" si="6"/>
        <v>8.108704933795206</v>
      </c>
      <c r="O55" s="67"/>
      <c r="P55" s="41">
        <f t="shared" si="13"/>
        <v>3.9100000000000003E-2</v>
      </c>
      <c r="R55" s="27">
        <f t="shared" si="21"/>
        <v>2.6394227913471937</v>
      </c>
      <c r="S55" s="27">
        <f t="shared" si="21"/>
        <v>1.7378458999981583</v>
      </c>
      <c r="T55" s="27">
        <f t="shared" si="21"/>
        <v>1.148951637661098</v>
      </c>
      <c r="U55" s="27">
        <f t="shared" si="21"/>
        <v>0.76268556167572665</v>
      </c>
      <c r="V55" s="27">
        <f t="shared" si="21"/>
        <v>0.50828666019905711</v>
      </c>
      <c r="W55" s="27">
        <f t="shared" si="21"/>
        <v>0.34006223244971967</v>
      </c>
      <c r="X55" s="27">
        <f t="shared" si="21"/>
        <v>0.22838239414601696</v>
      </c>
      <c r="Y55" s="27">
        <f t="shared" si="21"/>
        <v>0.15395375986258183</v>
      </c>
    </row>
    <row r="56" spans="1:25" x14ac:dyDescent="0.25">
      <c r="A56" s="21">
        <v>44</v>
      </c>
      <c r="C56" s="25">
        <f t="shared" si="19"/>
        <v>8.4444059615573863</v>
      </c>
      <c r="D56" s="23">
        <f>($B$4/CommAndSportFishingValues!$I$18)*FishHarvestTimeTrends!AC65*((1+'OriginalBCACalculations$2012'!D$10)^MIN('OriginalBCACalculations$2012'!$A56,20))</f>
        <v>2.5710226592141083</v>
      </c>
      <c r="E56" s="23">
        <f>($B$5/CommAndSportFishingValues!$I$19)*FishHarvestTimeTrends!AD65*((1+'OriginalBCACalculations$2012'!E$10)^MIN('OriginalBCACalculations$2012'!$A56,20))</f>
        <v>0.3651576042424351</v>
      </c>
      <c r="F56" s="23">
        <f t="shared" si="20"/>
        <v>8.1127592862621025</v>
      </c>
      <c r="H56" s="22">
        <f t="shared" si="14"/>
        <v>3.9100000000000003E-2</v>
      </c>
      <c r="I56" s="22"/>
      <c r="J56" s="41"/>
      <c r="K56" s="41">
        <f t="shared" si="6"/>
        <v>8.4444059615573863</v>
      </c>
      <c r="L56" s="41">
        <f t="shared" si="6"/>
        <v>2.5710226592141083</v>
      </c>
      <c r="M56" s="41">
        <f t="shared" si="6"/>
        <v>0.3651576042424351</v>
      </c>
      <c r="N56" s="41">
        <f t="shared" si="6"/>
        <v>8.1127592862621025</v>
      </c>
      <c r="O56" s="67"/>
      <c r="P56" s="41">
        <f t="shared" si="13"/>
        <v>3.9100000000000003E-2</v>
      </c>
      <c r="R56" s="27">
        <f t="shared" si="21"/>
        <v>2.6436335881612596</v>
      </c>
      <c r="S56" s="27">
        <f t="shared" si="21"/>
        <v>1.7233845230523825</v>
      </c>
      <c r="T56" s="27">
        <f t="shared" si="21"/>
        <v>1.1282202106844175</v>
      </c>
      <c r="U56" s="27">
        <f t="shared" si="21"/>
        <v>0.74165272840356178</v>
      </c>
      <c r="V56" s="27">
        <f t="shared" si="21"/>
        <v>0.48951687894445162</v>
      </c>
      <c r="W56" s="27">
        <f t="shared" si="21"/>
        <v>0.32438547611039648</v>
      </c>
      <c r="X56" s="27">
        <f t="shared" si="21"/>
        <v>0.21579881457572703</v>
      </c>
      <c r="Y56" s="27">
        <f t="shared" si="21"/>
        <v>0.14411156039607695</v>
      </c>
    </row>
    <row r="57" spans="1:25" x14ac:dyDescent="0.25">
      <c r="A57" s="21">
        <v>45</v>
      </c>
      <c r="C57" s="25">
        <f t="shared" si="19"/>
        <v>8.4444059615573863</v>
      </c>
      <c r="D57" s="23">
        <f>($B$4/CommAndSportFishingValues!$I$18)*FishHarvestTimeTrends!AC66*((1+'OriginalBCACalculations$2012'!D$10)^MIN('OriginalBCACalculations$2012'!$A57,20))</f>
        <v>2.5711660545352761</v>
      </c>
      <c r="E57" s="23">
        <f>($B$5/CommAndSportFishingValues!$I$19)*FishHarvestTimeTrends!AD66*((1+'OriginalBCACalculations$2012'!E$10)^MIN('OriginalBCACalculations$2012'!$A57,20))</f>
        <v>0.36517065326843556</v>
      </c>
      <c r="F57" s="23">
        <f t="shared" si="20"/>
        <v>8.116815665905234</v>
      </c>
      <c r="H57" s="22">
        <f t="shared" si="14"/>
        <v>3.9100000000000003E-2</v>
      </c>
      <c r="I57" s="22"/>
      <c r="J57" s="41"/>
      <c r="K57" s="41">
        <f t="shared" si="6"/>
        <v>8.4444059615573863</v>
      </c>
      <c r="L57" s="41">
        <f t="shared" si="6"/>
        <v>2.5711660545352761</v>
      </c>
      <c r="M57" s="41">
        <f t="shared" si="6"/>
        <v>0.36517065326843556</v>
      </c>
      <c r="N57" s="41">
        <f t="shared" si="6"/>
        <v>8.116815665905234</v>
      </c>
      <c r="O57" s="67"/>
      <c r="P57" s="41">
        <f t="shared" si="13"/>
        <v>3.9100000000000003E-2</v>
      </c>
      <c r="R57" s="27">
        <f t="shared" si="21"/>
        <v>2.6478464121515586</v>
      </c>
      <c r="S57" s="27">
        <f t="shared" si="21"/>
        <v>1.7090404580912038</v>
      </c>
      <c r="T57" s="27">
        <f t="shared" si="21"/>
        <v>1.1078608944380015</v>
      </c>
      <c r="U57" s="27">
        <f t="shared" si="21"/>
        <v>0.72119864700431902</v>
      </c>
      <c r="V57" s="27">
        <f t="shared" si="21"/>
        <v>0.47143938460495949</v>
      </c>
      <c r="W57" s="27">
        <f t="shared" si="21"/>
        <v>0.30943086490950644</v>
      </c>
      <c r="X57" s="27">
        <f t="shared" si="21"/>
        <v>0.20390821303027329</v>
      </c>
      <c r="Y57" s="27">
        <f t="shared" si="21"/>
        <v>0.1348983296596348</v>
      </c>
    </row>
    <row r="58" spans="1:25" x14ac:dyDescent="0.25">
      <c r="A58" s="21">
        <v>46</v>
      </c>
      <c r="C58" s="25">
        <f t="shared" si="19"/>
        <v>8.4444059615573863</v>
      </c>
      <c r="D58" s="23">
        <f>($B$4/CommAndSportFishingValues!$I$18)*FishHarvestTimeTrends!AC67*((1+'OriginalBCACalculations$2012'!D$10)^MIN('OriginalBCACalculations$2012'!$A58,20))</f>
        <v>2.5713094498564448</v>
      </c>
      <c r="E58" s="23">
        <f>($B$5/CommAndSportFishingValues!$I$19)*FishHarvestTimeTrends!AD67*((1+'OriginalBCACalculations$2012'!E$10)^MIN('OriginalBCACalculations$2012'!$A58,20))</f>
        <v>0.36518370229443597</v>
      </c>
      <c r="F58" s="23">
        <f t="shared" si="20"/>
        <v>8.1208740737381859</v>
      </c>
      <c r="H58" s="22">
        <f t="shared" si="14"/>
        <v>3.9100000000000003E-2</v>
      </c>
      <c r="I58" s="22"/>
      <c r="J58" s="41"/>
      <c r="K58" s="41">
        <f t="shared" si="6"/>
        <v>8.4444059615573863</v>
      </c>
      <c r="L58" s="41">
        <f t="shared" si="6"/>
        <v>2.5713094498564448</v>
      </c>
      <c r="M58" s="41">
        <f t="shared" si="6"/>
        <v>0.36518370229443597</v>
      </c>
      <c r="N58" s="41">
        <f t="shared" si="6"/>
        <v>8.1208740737381859</v>
      </c>
      <c r="O58" s="67"/>
      <c r="P58" s="41">
        <f t="shared" si="13"/>
        <v>3.9100000000000003E-2</v>
      </c>
      <c r="R58" s="27">
        <f t="shared" si="21"/>
        <v>2.6520612643316799</v>
      </c>
      <c r="S58" s="27">
        <f t="shared" si="21"/>
        <v>1.6948127874410652</v>
      </c>
      <c r="T58" s="27">
        <f t="shared" si="21"/>
        <v>1.0878670506893002</v>
      </c>
      <c r="U58" s="27">
        <f t="shared" si="21"/>
        <v>0.70130743087912395</v>
      </c>
      <c r="V58" s="27">
        <f t="shared" si="21"/>
        <v>0.4540286765811089</v>
      </c>
      <c r="W58" s="27">
        <f t="shared" si="21"/>
        <v>0.29516516015182259</v>
      </c>
      <c r="X58" s="27">
        <f t="shared" si="21"/>
        <v>0.19267244803206127</v>
      </c>
      <c r="Y58" s="27">
        <f t="shared" si="21"/>
        <v>0.12627388910613224</v>
      </c>
    </row>
    <row r="59" spans="1:25" x14ac:dyDescent="0.25">
      <c r="A59" s="21">
        <v>47</v>
      </c>
      <c r="C59" s="25">
        <f t="shared" si="19"/>
        <v>8.4444059615573863</v>
      </c>
      <c r="D59" s="23">
        <f>($B$4/CommAndSportFishingValues!$I$18)*FishHarvestTimeTrends!AC68*((1+'OriginalBCACalculations$2012'!D$10)^MIN('OriginalBCACalculations$2012'!$A59,20))</f>
        <v>2.5714528451776126</v>
      </c>
      <c r="E59" s="23">
        <f>($B$5/CommAndSportFishingValues!$I$19)*FishHarvestTimeTrends!AD68*((1+'OriginalBCACalculations$2012'!E$10)^MIN('OriginalBCACalculations$2012'!$A59,20))</f>
        <v>0.36519675132043644</v>
      </c>
      <c r="F59" s="23">
        <f t="shared" si="20"/>
        <v>8.1249345107750539</v>
      </c>
      <c r="H59" s="22">
        <f t="shared" si="14"/>
        <v>3.9100000000000003E-2</v>
      </c>
      <c r="I59" s="22"/>
      <c r="J59" s="41"/>
      <c r="K59" s="41">
        <f t="shared" si="6"/>
        <v>8.4444059615573863</v>
      </c>
      <c r="L59" s="41">
        <f t="shared" si="6"/>
        <v>2.5714528451776126</v>
      </c>
      <c r="M59" s="41">
        <f t="shared" si="6"/>
        <v>0.36519675132043644</v>
      </c>
      <c r="N59" s="41">
        <f t="shared" si="6"/>
        <v>8.1249345107750539</v>
      </c>
      <c r="O59" s="67"/>
      <c r="P59" s="41">
        <f t="shared" si="13"/>
        <v>3.9100000000000003E-2</v>
      </c>
      <c r="R59" s="27">
        <f t="shared" si="21"/>
        <v>2.6562781457157154</v>
      </c>
      <c r="S59" s="27">
        <f t="shared" si="21"/>
        <v>1.6807006002158724</v>
      </c>
      <c r="T59" s="27">
        <f t="shared" si="21"/>
        <v>1.0682321587741128</v>
      </c>
      <c r="U59" s="27">
        <f t="shared" si="21"/>
        <v>0.68196362833873458</v>
      </c>
      <c r="V59" s="27">
        <f t="shared" si="21"/>
        <v>0.43726019228558982</v>
      </c>
      <c r="W59" s="27">
        <f t="shared" si="21"/>
        <v>0.28155665174131356</v>
      </c>
      <c r="X59" s="27">
        <f t="shared" si="21"/>
        <v>0.18205547620578563</v>
      </c>
      <c r="Y59" s="27">
        <f t="shared" si="21"/>
        <v>0.11820062573865783</v>
      </c>
    </row>
    <row r="60" spans="1:25" x14ac:dyDescent="0.25">
      <c r="A60" s="21">
        <v>48</v>
      </c>
      <c r="C60" s="25">
        <f t="shared" si="19"/>
        <v>8.4444059615573863</v>
      </c>
      <c r="D60" s="23">
        <f>($B$4/CommAndSportFishingValues!$I$18)*FishHarvestTimeTrends!AC69*((1+'OriginalBCACalculations$2012'!D$10)^MIN('OriginalBCACalculations$2012'!$A60,20))</f>
        <v>2.5715962404987818</v>
      </c>
      <c r="E60" s="23">
        <f>($B$5/CommAndSportFishingValues!$I$19)*FishHarvestTimeTrends!AD69*((1+'OriginalBCACalculations$2012'!E$10)^MIN('OriginalBCACalculations$2012'!$A60,20))</f>
        <v>0.36520980034643691</v>
      </c>
      <c r="F60" s="23">
        <f t="shared" si="20"/>
        <v>8.1289969780304414</v>
      </c>
      <c r="H60" s="22">
        <f t="shared" si="14"/>
        <v>3.9100000000000003E-2</v>
      </c>
      <c r="I60" s="22"/>
      <c r="J60" s="41"/>
      <c r="K60" s="41">
        <f t="shared" si="6"/>
        <v>8.4444059615573863</v>
      </c>
      <c r="L60" s="41">
        <f t="shared" si="6"/>
        <v>2.5715962404987818</v>
      </c>
      <c r="M60" s="41">
        <f t="shared" si="6"/>
        <v>0.36520980034643691</v>
      </c>
      <c r="N60" s="41">
        <f t="shared" si="6"/>
        <v>8.1289969780304414</v>
      </c>
      <c r="O60" s="67"/>
      <c r="P60" s="41">
        <f t="shared" si="13"/>
        <v>3.9100000000000003E-2</v>
      </c>
      <c r="R60" s="27">
        <f t="shared" si="21"/>
        <v>2.6604970573182722</v>
      </c>
      <c r="S60" s="27">
        <f t="shared" si="21"/>
        <v>1.6667029922714671</v>
      </c>
      <c r="T60" s="27">
        <f t="shared" si="21"/>
        <v>1.0489498135323301</v>
      </c>
      <c r="U60" s="27">
        <f t="shared" si="21"/>
        <v>0.66315221073320862</v>
      </c>
      <c r="V60" s="27">
        <f t="shared" si="21"/>
        <v>0.42111027269147971</v>
      </c>
      <c r="W60" s="27">
        <f t="shared" si="21"/>
        <v>0.26857508794663898</v>
      </c>
      <c r="X60" s="27">
        <f t="shared" si="21"/>
        <v>0.17202323693461263</v>
      </c>
      <c r="Y60" s="27">
        <f t="shared" si="21"/>
        <v>0.11064332836088933</v>
      </c>
    </row>
    <row r="61" spans="1:25" x14ac:dyDescent="0.25">
      <c r="A61" s="21">
        <v>49</v>
      </c>
      <c r="C61" s="25">
        <f t="shared" si="19"/>
        <v>8.4444059615573863</v>
      </c>
      <c r="D61" s="23">
        <f>($B$4/CommAndSportFishingValues!$I$18)*FishHarvestTimeTrends!AC70*((1+'OriginalBCACalculations$2012'!D$10)^MIN('OriginalBCACalculations$2012'!$A61,20))</f>
        <v>2.57173963581995</v>
      </c>
      <c r="E61" s="23">
        <f>($B$5/CommAndSportFishingValues!$I$19)*FishHarvestTimeTrends!AD70*((1+'OriginalBCACalculations$2012'!E$10)^MIN('OriginalBCACalculations$2012'!$A61,20))</f>
        <v>0.36522284937243726</v>
      </c>
      <c r="F61" s="23">
        <f t="shared" si="20"/>
        <v>8.1330614765194564</v>
      </c>
      <c r="H61" s="22">
        <f t="shared" si="14"/>
        <v>3.9100000000000003E-2</v>
      </c>
      <c r="I61" s="22"/>
      <c r="J61" s="41"/>
      <c r="K61" s="41">
        <f t="shared" si="6"/>
        <v>8.4444059615573863</v>
      </c>
      <c r="L61" s="41">
        <f t="shared" si="6"/>
        <v>2.57173963581995</v>
      </c>
      <c r="M61" s="41">
        <f t="shared" si="6"/>
        <v>0.36522284937243726</v>
      </c>
      <c r="N61" s="41">
        <f t="shared" si="6"/>
        <v>8.1330614765194564</v>
      </c>
      <c r="O61" s="67"/>
      <c r="P61" s="41">
        <f t="shared" si="13"/>
        <v>3.9100000000000003E-2</v>
      </c>
      <c r="R61" s="27">
        <f t="shared" si="21"/>
        <v>2.6647180001544566</v>
      </c>
      <c r="S61" s="27">
        <f t="shared" si="21"/>
        <v>1.6528190661603255</v>
      </c>
      <c r="T61" s="27">
        <f t="shared" si="21"/>
        <v>1.030013723279523</v>
      </c>
      <c r="U61" s="27">
        <f t="shared" si="21"/>
        <v>0.64485856090446236</v>
      </c>
      <c r="V61" s="27">
        <f t="shared" si="21"/>
        <v>0.40555612914376016</v>
      </c>
      <c r="W61" s="27">
        <f t="shared" si="21"/>
        <v>0.25619160839060262</v>
      </c>
      <c r="X61" s="27">
        <f t="shared" si="21"/>
        <v>0.16254354335340826</v>
      </c>
      <c r="Y61" s="27">
        <f t="shared" si="21"/>
        <v>0.10356903427432337</v>
      </c>
    </row>
    <row r="62" spans="1:25" x14ac:dyDescent="0.25">
      <c r="A62" s="21">
        <v>50</v>
      </c>
      <c r="C62" s="25">
        <f t="shared" si="19"/>
        <v>8.4444059615573863</v>
      </c>
      <c r="D62" s="23">
        <f>($B$4/CommAndSportFishingValues!$I$18)*FishHarvestTimeTrends!AC71*((1+'OriginalBCACalculations$2012'!D$10)^MIN('OriginalBCACalculations$2012'!$A62,20))</f>
        <v>2.5718830311411178</v>
      </c>
      <c r="E62" s="23">
        <f>($B$5/CommAndSportFishingValues!$I$19)*FishHarvestTimeTrends!AD71*((1+'OriginalBCACalculations$2012'!E$10)^MIN('OriginalBCACalculations$2012'!$A62,20))</f>
        <v>0.36523589839843773</v>
      </c>
      <c r="F62" s="23">
        <f t="shared" si="20"/>
        <v>8.137128007257715</v>
      </c>
      <c r="H62" s="22">
        <f t="shared" si="14"/>
        <v>3.9100000000000003E-2</v>
      </c>
      <c r="I62" s="22"/>
      <c r="J62" s="41"/>
      <c r="K62" s="41">
        <f t="shared" si="6"/>
        <v>8.4444059615573863</v>
      </c>
      <c r="L62" s="41">
        <f t="shared" si="6"/>
        <v>2.5718830311411178</v>
      </c>
      <c r="M62" s="41">
        <f t="shared" si="6"/>
        <v>0.36523589839843773</v>
      </c>
      <c r="N62" s="41">
        <f t="shared" si="6"/>
        <v>8.137128007257715</v>
      </c>
      <c r="O62" s="67"/>
      <c r="P62" s="41">
        <f t="shared" si="13"/>
        <v>3.9100000000000003E-2</v>
      </c>
      <c r="R62" s="27">
        <f t="shared" ref="R62:Y77" si="22">(SUM($D62:$H62)-SUM($B62:$C62))/((1+R$10)^($A62-1))</f>
        <v>2.6689409752398827</v>
      </c>
      <c r="S62" s="27">
        <f t="shared" si="22"/>
        <v>1.6390479310865267</v>
      </c>
      <c r="T62" s="27">
        <f t="shared" si="22"/>
        <v>1.0114177078137969</v>
      </c>
      <c r="U62" s="27">
        <f t="shared" si="22"/>
        <v>0.62706846195298338</v>
      </c>
      <c r="V62" s="27">
        <f t="shared" si="22"/>
        <v>0.39057581138789249</v>
      </c>
      <c r="W62" s="27">
        <f t="shared" si="22"/>
        <v>0.2443786801157288</v>
      </c>
      <c r="X62" s="27">
        <f t="shared" si="22"/>
        <v>0.15358597933108692</v>
      </c>
      <c r="Y62" s="27">
        <f t="shared" si="22"/>
        <v>9.694688575618568E-2</v>
      </c>
    </row>
    <row r="63" spans="1:25" x14ac:dyDescent="0.25">
      <c r="A63" s="21">
        <v>51</v>
      </c>
      <c r="C63" s="25">
        <f t="shared" si="19"/>
        <v>8.4444059615573863</v>
      </c>
      <c r="D63" s="23">
        <f>($B$4/CommAndSportFishingValues!$I$18)*FishHarvestTimeTrends!AC72*((1+'OriginalBCACalculations$2012'!D$10)^MIN('OriginalBCACalculations$2012'!$A63,20))</f>
        <v>2.5718848695508276</v>
      </c>
      <c r="E63" s="23">
        <f>($B$5/CommAndSportFishingValues!$I$19)*FishHarvestTimeTrends!AD72*((1+'OriginalBCACalculations$2012'!E$10)^MIN('OriginalBCACalculations$2012'!$A63,20))</f>
        <v>0.36523609100859078</v>
      </c>
      <c r="F63" s="23">
        <f t="shared" si="20"/>
        <v>8.141196571261343</v>
      </c>
      <c r="H63" s="22">
        <f t="shared" si="14"/>
        <v>3.9100000000000003E-2</v>
      </c>
      <c r="I63" s="22"/>
      <c r="J63" s="41"/>
      <c r="K63" s="41">
        <f t="shared" si="6"/>
        <v>8.4444059615573863</v>
      </c>
      <c r="L63" s="41">
        <f t="shared" si="6"/>
        <v>2.5718848695508276</v>
      </c>
      <c r="M63" s="41">
        <f t="shared" si="6"/>
        <v>0.36523609100859078</v>
      </c>
      <c r="N63" s="41">
        <f t="shared" si="6"/>
        <v>8.141196571261343</v>
      </c>
      <c r="O63" s="67"/>
      <c r="P63" s="41">
        <f t="shared" si="13"/>
        <v>3.9100000000000003E-2</v>
      </c>
      <c r="R63" s="27">
        <f t="shared" si="22"/>
        <v>2.673011570263375</v>
      </c>
      <c r="S63" s="27">
        <f t="shared" si="22"/>
        <v>1.6252948135629051</v>
      </c>
      <c r="T63" s="27">
        <f t="shared" si="22"/>
        <v>0.99309832760081662</v>
      </c>
      <c r="U63" s="27">
        <f t="shared" si="22"/>
        <v>0.60973286353700329</v>
      </c>
      <c r="V63" s="27">
        <f t="shared" si="22"/>
        <v>0.37612644886776847</v>
      </c>
      <c r="W63" s="27">
        <f t="shared" si="22"/>
        <v>0.23309657116726168</v>
      </c>
      <c r="X63" s="27">
        <f t="shared" si="22"/>
        <v>0.14511341926665866</v>
      </c>
      <c r="Y63" s="27">
        <f t="shared" si="22"/>
        <v>9.0742753707820423E-2</v>
      </c>
    </row>
    <row r="64" spans="1:25" x14ac:dyDescent="0.25">
      <c r="A64" s="21">
        <v>52</v>
      </c>
      <c r="C64" s="25">
        <f t="shared" si="19"/>
        <v>8.4444059615573863</v>
      </c>
      <c r="D64" s="23">
        <f>($B$4/CommAndSportFishingValues!$I$18)*FishHarvestTimeTrends!AC73*((1+'OriginalBCACalculations$2012'!D$10)^MIN('OriginalBCACalculations$2012'!$A64,20))</f>
        <v>2.5718867079605374</v>
      </c>
      <c r="E64" s="23">
        <f>($B$5/CommAndSportFishingValues!$I$19)*FishHarvestTimeTrends!AD73*((1+'OriginalBCACalculations$2012'!E$10)^MIN('OriginalBCACalculations$2012'!$A64,20))</f>
        <v>0.36523628361874383</v>
      </c>
      <c r="F64" s="23">
        <f t="shared" si="20"/>
        <v>8.1452671695469725</v>
      </c>
      <c r="H64" s="22">
        <f t="shared" si="14"/>
        <v>3.9100000000000003E-2</v>
      </c>
      <c r="I64" s="22"/>
      <c r="J64" s="41"/>
      <c r="K64" s="41">
        <f t="shared" si="6"/>
        <v>8.4444059615573863</v>
      </c>
      <c r="L64" s="41">
        <f t="shared" si="6"/>
        <v>2.5718867079605374</v>
      </c>
      <c r="M64" s="41">
        <f t="shared" si="6"/>
        <v>0.36523628361874383</v>
      </c>
      <c r="N64" s="41">
        <f t="shared" si="6"/>
        <v>8.1452671695469725</v>
      </c>
      <c r="O64" s="67"/>
      <c r="P64" s="41">
        <f t="shared" si="13"/>
        <v>3.9100000000000003E-2</v>
      </c>
      <c r="R64" s="27">
        <f t="shared" si="22"/>
        <v>2.677084199568867</v>
      </c>
      <c r="S64" s="27">
        <f t="shared" si="22"/>
        <v>1.6116545844546639</v>
      </c>
      <c r="T64" s="27">
        <f t="shared" si="22"/>
        <v>0.97510923817781803</v>
      </c>
      <c r="U64" s="27">
        <f t="shared" si="22"/>
        <v>0.59287559137373314</v>
      </c>
      <c r="V64" s="27">
        <f t="shared" si="22"/>
        <v>0.36221107614291059</v>
      </c>
      <c r="W64" s="27">
        <f t="shared" si="22"/>
        <v>0.22233497106788336</v>
      </c>
      <c r="X64" s="27">
        <f t="shared" si="22"/>
        <v>0.13710803362258533</v>
      </c>
      <c r="Y64" s="27">
        <f t="shared" si="22"/>
        <v>8.4935523689420936E-2</v>
      </c>
    </row>
    <row r="65" spans="1:25" x14ac:dyDescent="0.25">
      <c r="A65" s="21">
        <v>53</v>
      </c>
      <c r="C65" s="25">
        <f t="shared" si="19"/>
        <v>8.4444059615573863</v>
      </c>
      <c r="D65" s="23">
        <f>($B$4/CommAndSportFishingValues!$I$18)*FishHarvestTimeTrends!AC74*((1+'OriginalBCACalculations$2012'!D$10)^MIN('OriginalBCACalculations$2012'!$A65,20))</f>
        <v>2.5718885463702468</v>
      </c>
      <c r="E65" s="23">
        <f>($B$5/CommAndSportFishingValues!$I$19)*FishHarvestTimeTrends!AD74*((1+'OriginalBCACalculations$2012'!E$10)^MIN('OriginalBCACalculations$2012'!$A65,20))</f>
        <v>0.36523647622889699</v>
      </c>
      <c r="F65" s="23">
        <f t="shared" si="20"/>
        <v>8.1493398031317454</v>
      </c>
      <c r="H65" s="22">
        <f t="shared" si="14"/>
        <v>3.9100000000000003E-2</v>
      </c>
      <c r="I65" s="22"/>
      <c r="J65" s="41"/>
      <c r="K65" s="41">
        <f t="shared" si="6"/>
        <v>8.4444059615573863</v>
      </c>
      <c r="L65" s="41">
        <f t="shared" si="6"/>
        <v>2.5718885463702468</v>
      </c>
      <c r="M65" s="41">
        <f t="shared" si="6"/>
        <v>0.36523647622889699</v>
      </c>
      <c r="N65" s="41">
        <f t="shared" si="6"/>
        <v>8.1493398031317454</v>
      </c>
      <c r="O65" s="67"/>
      <c r="P65" s="41">
        <f t="shared" si="13"/>
        <v>3.9100000000000003E-2</v>
      </c>
      <c r="R65" s="27">
        <f t="shared" si="22"/>
        <v>2.6811588641735025</v>
      </c>
      <c r="S65" s="27">
        <f t="shared" si="22"/>
        <v>1.5981263450410887</v>
      </c>
      <c r="T65" s="27">
        <f t="shared" si="22"/>
        <v>0.95744451600568248</v>
      </c>
      <c r="U65" s="27">
        <f t="shared" si="22"/>
        <v>0.57648347531249999</v>
      </c>
      <c r="V65" s="27">
        <f t="shared" si="22"/>
        <v>0.34880998141803909</v>
      </c>
      <c r="W65" s="27">
        <f t="shared" si="22"/>
        <v>0.21206988259497883</v>
      </c>
      <c r="X65" s="27">
        <f t="shared" si="22"/>
        <v>0.12954407485428851</v>
      </c>
      <c r="Y65" s="27">
        <f t="shared" si="22"/>
        <v>7.9499813155197899E-2</v>
      </c>
    </row>
    <row r="66" spans="1:25" x14ac:dyDescent="0.25">
      <c r="A66" s="21">
        <v>54</v>
      </c>
      <c r="C66" s="25">
        <f t="shared" si="19"/>
        <v>8.4444059615573863</v>
      </c>
      <c r="D66" s="23">
        <f>($B$4/CommAndSportFishingValues!$I$18)*FishHarvestTimeTrends!AC75*((1+'OriginalBCACalculations$2012'!D$10)^MIN('OriginalBCACalculations$2012'!$A66,20))</f>
        <v>2.5718903847799557</v>
      </c>
      <c r="E66" s="23">
        <f>($B$5/CommAndSportFishingValues!$I$19)*FishHarvestTimeTrends!AD75*((1+'OriginalBCACalculations$2012'!E$10)^MIN('OriginalBCACalculations$2012'!$A66,20))</f>
        <v>0.36523666883905004</v>
      </c>
      <c r="F66" s="23">
        <f t="shared" si="20"/>
        <v>8.15341447303331</v>
      </c>
      <c r="H66" s="22">
        <f t="shared" si="14"/>
        <v>3.9100000000000003E-2</v>
      </c>
      <c r="I66" s="22"/>
      <c r="J66" s="41"/>
      <c r="K66" s="41">
        <f t="shared" si="6"/>
        <v>8.4444059615573863</v>
      </c>
      <c r="L66" s="41">
        <f t="shared" si="6"/>
        <v>2.5718903847799557</v>
      </c>
      <c r="M66" s="41">
        <f t="shared" si="6"/>
        <v>0.36523666883905004</v>
      </c>
      <c r="N66" s="41">
        <f t="shared" si="6"/>
        <v>8.15341447303331</v>
      </c>
      <c r="O66" s="67"/>
      <c r="P66" s="41">
        <f t="shared" si="13"/>
        <v>3.9100000000000003E-2</v>
      </c>
      <c r="R66" s="27">
        <f t="shared" si="22"/>
        <v>2.6852355650949296</v>
      </c>
      <c r="S66" s="27">
        <f t="shared" si="22"/>
        <v>1.5847092034398567</v>
      </c>
      <c r="T66" s="27">
        <f t="shared" si="22"/>
        <v>0.94009834312567864</v>
      </c>
      <c r="U66" s="27">
        <f t="shared" si="22"/>
        <v>0.56054370698389833</v>
      </c>
      <c r="V66" s="27">
        <f t="shared" si="22"/>
        <v>0.33590417966112918</v>
      </c>
      <c r="W66" s="27">
        <f t="shared" si="22"/>
        <v>0.20227841405901251</v>
      </c>
      <c r="X66" s="27">
        <f t="shared" si="22"/>
        <v>0.12239721374097359</v>
      </c>
      <c r="Y66" s="27">
        <f t="shared" si="22"/>
        <v>7.4411862231353737E-2</v>
      </c>
    </row>
    <row r="67" spans="1:25" x14ac:dyDescent="0.25">
      <c r="A67" s="21">
        <v>55</v>
      </c>
      <c r="C67" s="25">
        <f t="shared" si="19"/>
        <v>8.4444059615573863</v>
      </c>
      <c r="D67" s="23">
        <f>($B$4/CommAndSportFishingValues!$I$18)*FishHarvestTimeTrends!AC76*((1+'OriginalBCACalculations$2012'!D$10)^MIN('OriginalBCACalculations$2012'!$A67,20))</f>
        <v>2.5718922231896655</v>
      </c>
      <c r="E67" s="23">
        <f>($B$5/CommAndSportFishingValues!$I$19)*FishHarvestTimeTrends!AD76*((1+'OriginalBCACalculations$2012'!E$10)^MIN('OriginalBCACalculations$2012'!$A67,20))</f>
        <v>0.36523686144920309</v>
      </c>
      <c r="F67" s="23">
        <f t="shared" si="20"/>
        <v>8.157491180269826</v>
      </c>
      <c r="H67" s="22">
        <f t="shared" si="14"/>
        <v>3.9100000000000003E-2</v>
      </c>
      <c r="I67" s="22"/>
      <c r="J67" s="41"/>
      <c r="K67" s="41">
        <f t="shared" si="6"/>
        <v>8.4444059615573863</v>
      </c>
      <c r="L67" s="41">
        <f t="shared" si="6"/>
        <v>2.5718922231896655</v>
      </c>
      <c r="M67" s="41">
        <f t="shared" si="6"/>
        <v>0.36523686144920309</v>
      </c>
      <c r="N67" s="41">
        <f t="shared" si="6"/>
        <v>8.157491180269826</v>
      </c>
      <c r="O67" s="67"/>
      <c r="P67" s="41">
        <f t="shared" si="13"/>
        <v>3.9100000000000003E-2</v>
      </c>
      <c r="R67" s="27">
        <f t="shared" si="22"/>
        <v>2.6893143033513081</v>
      </c>
      <c r="S67" s="27">
        <f t="shared" si="22"/>
        <v>1.5714022745587053</v>
      </c>
      <c r="T67" s="27">
        <f t="shared" si="22"/>
        <v>0.92306500529128543</v>
      </c>
      <c r="U67" s="27">
        <f t="shared" si="22"/>
        <v>0.54504382988728761</v>
      </c>
      <c r="V67" s="27">
        <f t="shared" si="22"/>
        <v>0.32347538584292718</v>
      </c>
      <c r="W67" s="27">
        <f t="shared" si="22"/>
        <v>0.19293872841243342</v>
      </c>
      <c r="X67" s="27">
        <f t="shared" si="22"/>
        <v>0.11564446129704993</v>
      </c>
      <c r="Y67" s="27">
        <f t="shared" si="22"/>
        <v>6.964943001965597E-2</v>
      </c>
    </row>
    <row r="68" spans="1:25" x14ac:dyDescent="0.25">
      <c r="A68" s="21">
        <v>56</v>
      </c>
      <c r="C68" s="25">
        <f t="shared" si="19"/>
        <v>8.4444059615573863</v>
      </c>
      <c r="D68" s="23">
        <f>($B$4/CommAndSportFishingValues!$I$18)*FishHarvestTimeTrends!AC77*((1+'OriginalBCACalculations$2012'!D$10)^MIN('OriginalBCACalculations$2012'!$A68,20))</f>
        <v>2.5718940615993753</v>
      </c>
      <c r="E68" s="23">
        <f>($B$5/CommAndSportFishingValues!$I$19)*FishHarvestTimeTrends!AD77*((1+'OriginalBCACalculations$2012'!E$10)^MIN('OriginalBCACalculations$2012'!$A68,20))</f>
        <v>0.36523705405935625</v>
      </c>
      <c r="F68" s="23">
        <f t="shared" si="20"/>
        <v>8.1615699258599612</v>
      </c>
      <c r="H68" s="22">
        <f t="shared" si="14"/>
        <v>3.9100000000000003E-2</v>
      </c>
      <c r="I68" s="22"/>
      <c r="J68" s="41"/>
      <c r="K68" s="41">
        <f t="shared" si="6"/>
        <v>8.4444059615573863</v>
      </c>
      <c r="L68" s="41">
        <f t="shared" si="6"/>
        <v>2.5718940615993753</v>
      </c>
      <c r="M68" s="41">
        <f t="shared" si="6"/>
        <v>0.36523705405935625</v>
      </c>
      <c r="N68" s="41">
        <f t="shared" si="6"/>
        <v>8.1615699258599612</v>
      </c>
      <c r="O68" s="67"/>
      <c r="P68" s="41">
        <f t="shared" si="13"/>
        <v>3.9100000000000003E-2</v>
      </c>
      <c r="R68" s="27">
        <f t="shared" si="22"/>
        <v>2.6933950799613058</v>
      </c>
      <c r="S68" s="27">
        <f t="shared" si="22"/>
        <v>1.5582046800473988</v>
      </c>
      <c r="T68" s="27">
        <f t="shared" si="22"/>
        <v>0.90633889013278646</v>
      </c>
      <c r="U68" s="27">
        <f t="shared" si="22"/>
        <v>0.52997172974910578</v>
      </c>
      <c r="V68" s="27">
        <f t="shared" si="22"/>
        <v>0.31150598916044203</v>
      </c>
      <c r="W68" s="27">
        <f t="shared" si="22"/>
        <v>0.1840299946993075</v>
      </c>
      <c r="X68" s="27">
        <f t="shared" si="22"/>
        <v>0.10926409498050972</v>
      </c>
      <c r="Y68" s="27">
        <f t="shared" si="22"/>
        <v>6.5191697525123257E-2</v>
      </c>
    </row>
    <row r="69" spans="1:25" x14ac:dyDescent="0.25">
      <c r="A69" s="21">
        <v>57</v>
      </c>
      <c r="C69" s="25">
        <f t="shared" si="19"/>
        <v>8.4444059615573863</v>
      </c>
      <c r="D69" s="23">
        <f>($B$4/CommAndSportFishingValues!$I$18)*FishHarvestTimeTrends!AC78*((1+'OriginalBCACalculations$2012'!D$10)^MIN('OriginalBCACalculations$2012'!$A69,20))</f>
        <v>2.5718959000090842</v>
      </c>
      <c r="E69" s="23">
        <f>($B$5/CommAndSportFishingValues!$I$19)*FishHarvestTimeTrends!AD78*((1+'OriginalBCACalculations$2012'!E$10)^MIN('OriginalBCACalculations$2012'!$A69,20))</f>
        <v>0.3652372466695093</v>
      </c>
      <c r="F69" s="23">
        <f t="shared" si="20"/>
        <v>8.1656507108228915</v>
      </c>
      <c r="H69" s="22">
        <f t="shared" si="14"/>
        <v>3.9100000000000003E-2</v>
      </c>
      <c r="I69" s="22"/>
      <c r="J69" s="41"/>
      <c r="K69" s="41">
        <f t="shared" si="6"/>
        <v>8.4444059615573863</v>
      </c>
      <c r="L69" s="41">
        <f t="shared" si="6"/>
        <v>2.5718959000090842</v>
      </c>
      <c r="M69" s="41">
        <f t="shared" si="6"/>
        <v>0.3652372466695093</v>
      </c>
      <c r="N69" s="41">
        <f t="shared" si="6"/>
        <v>8.1656507108228915</v>
      </c>
      <c r="O69" s="67"/>
      <c r="P69" s="41">
        <f t="shared" si="13"/>
        <v>3.9100000000000003E-2</v>
      </c>
      <c r="R69" s="27">
        <f t="shared" si="22"/>
        <v>2.6974778959440986</v>
      </c>
      <c r="S69" s="27">
        <f t="shared" si="22"/>
        <v>1.5451155482499837</v>
      </c>
      <c r="T69" s="27">
        <f t="shared" si="22"/>
        <v>0.88991448535405893</v>
      </c>
      <c r="U69" s="27">
        <f t="shared" si="22"/>
        <v>0.51531562514462625</v>
      </c>
      <c r="V69" s="27">
        <f t="shared" si="22"/>
        <v>0.29997902820829037</v>
      </c>
      <c r="W69" s="27">
        <f t="shared" si="22"/>
        <v>0.17553234173811141</v>
      </c>
      <c r="X69" s="27">
        <f t="shared" si="22"/>
        <v>0.10323558896195571</v>
      </c>
      <c r="Y69" s="27">
        <f t="shared" si="22"/>
        <v>6.1019176784849014E-2</v>
      </c>
    </row>
    <row r="70" spans="1:25" x14ac:dyDescent="0.25">
      <c r="A70" s="21">
        <v>58</v>
      </c>
      <c r="C70" s="25">
        <f t="shared" si="19"/>
        <v>8.4444059615573863</v>
      </c>
      <c r="D70" s="23">
        <f>($B$4/CommAndSportFishingValues!$I$18)*FishHarvestTimeTrends!AC79*((1+'OriginalBCACalculations$2012'!D$10)^MIN('OriginalBCACalculations$2012'!$A70,20))</f>
        <v>2.571897738418794</v>
      </c>
      <c r="E70" s="23">
        <f>($B$5/CommAndSportFishingValues!$I$19)*FishHarvestTimeTrends!AD79*((1+'OriginalBCACalculations$2012'!E$10)^MIN('OriginalBCACalculations$2012'!$A70,20))</f>
        <v>0.36523743927966251</v>
      </c>
      <c r="F70" s="23">
        <f t="shared" si="20"/>
        <v>8.1697335361783026</v>
      </c>
      <c r="H70" s="22">
        <f t="shared" si="14"/>
        <v>3.9100000000000003E-2</v>
      </c>
      <c r="I70" s="22"/>
      <c r="J70" s="41"/>
      <c r="K70" s="41">
        <f t="shared" si="6"/>
        <v>8.4444059615573863</v>
      </c>
      <c r="L70" s="41">
        <f t="shared" si="6"/>
        <v>2.571897738418794</v>
      </c>
      <c r="M70" s="41">
        <f t="shared" si="6"/>
        <v>0.36523743927966251</v>
      </c>
      <c r="N70" s="41">
        <f t="shared" si="6"/>
        <v>8.1697335361783026</v>
      </c>
      <c r="O70" s="67"/>
      <c r="P70" s="41">
        <f t="shared" si="13"/>
        <v>3.9100000000000003E-2</v>
      </c>
      <c r="R70" s="27">
        <f t="shared" si="22"/>
        <v>2.7015627523193722</v>
      </c>
      <c r="S70" s="27">
        <f t="shared" si="22"/>
        <v>1.5321340141573467</v>
      </c>
      <c r="T70" s="27">
        <f t="shared" si="22"/>
        <v>0.87378637696100958</v>
      </c>
      <c r="U70" s="27">
        <f t="shared" si="22"/>
        <v>0.50106405837598256</v>
      </c>
      <c r="V70" s="27">
        <f t="shared" si="22"/>
        <v>0.28887816706309216</v>
      </c>
      <c r="W70" s="27">
        <f t="shared" si="22"/>
        <v>0.16742681393505951</v>
      </c>
      <c r="X70" s="27">
        <f t="shared" si="22"/>
        <v>9.7539548230953454E-2</v>
      </c>
      <c r="Y70" s="27">
        <f t="shared" si="22"/>
        <v>5.7113625801983807E-2</v>
      </c>
    </row>
    <row r="71" spans="1:25" x14ac:dyDescent="0.25">
      <c r="A71" s="21">
        <v>59</v>
      </c>
      <c r="C71" s="25">
        <f t="shared" si="19"/>
        <v>8.4444059615573863</v>
      </c>
      <c r="D71" s="23">
        <f>($B$4/CommAndSportFishingValues!$I$18)*FishHarvestTimeTrends!AC80*((1+'OriginalBCACalculations$2012'!D$10)^MIN('OriginalBCACalculations$2012'!$A71,20))</f>
        <v>2.5718995768285033</v>
      </c>
      <c r="E71" s="23">
        <f>($B$5/CommAndSportFishingValues!$I$19)*FishHarvestTimeTrends!AD80*((1+'OriginalBCACalculations$2012'!E$10)^MIN('OriginalBCACalculations$2012'!$A71,20))</f>
        <v>0.36523763188981545</v>
      </c>
      <c r="F71" s="23">
        <f t="shared" si="20"/>
        <v>8.1738184029463916</v>
      </c>
      <c r="H71" s="22">
        <f t="shared" si="14"/>
        <v>3.9100000000000003E-2</v>
      </c>
      <c r="I71" s="22"/>
      <c r="J71" s="41"/>
      <c r="K71" s="41">
        <f t="shared" si="6"/>
        <v>8.4444059615573863</v>
      </c>
      <c r="L71" s="41">
        <f t="shared" si="6"/>
        <v>2.5718995768285033</v>
      </c>
      <c r="M71" s="41">
        <f t="shared" si="6"/>
        <v>0.36523763188981545</v>
      </c>
      <c r="N71" s="41">
        <f t="shared" si="6"/>
        <v>8.1738184029463916</v>
      </c>
      <c r="O71" s="67"/>
      <c r="P71" s="41">
        <f t="shared" si="13"/>
        <v>3.9100000000000003E-2</v>
      </c>
      <c r="R71" s="27">
        <f t="shared" si="22"/>
        <v>2.7056496501073237</v>
      </c>
      <c r="S71" s="27">
        <f t="shared" si="22"/>
        <v>1.5192592193600605</v>
      </c>
      <c r="T71" s="27">
        <f t="shared" si="22"/>
        <v>0.85794924752109836</v>
      </c>
      <c r="U71" s="27">
        <f t="shared" si="22"/>
        <v>0.48720588659948183</v>
      </c>
      <c r="V71" s="27">
        <f t="shared" si="22"/>
        <v>0.2781876722473911</v>
      </c>
      <c r="W71" s="27">
        <f t="shared" si="22"/>
        <v>0.15969532913004844</v>
      </c>
      <c r="X71" s="27">
        <f t="shared" si="22"/>
        <v>9.2157646328659956E-2</v>
      </c>
      <c r="Y71" s="27">
        <f t="shared" si="22"/>
        <v>5.345796891417269E-2</v>
      </c>
    </row>
    <row r="72" spans="1:25" x14ac:dyDescent="0.25">
      <c r="A72" s="21">
        <v>60</v>
      </c>
      <c r="C72" s="25">
        <f t="shared" si="19"/>
        <v>8.4444059615573863</v>
      </c>
      <c r="D72" s="23">
        <f>($B$4/CommAndSportFishingValues!$I$18)*FishHarvestTimeTrends!AC81*((1+'OriginalBCACalculations$2012'!D$10)^MIN('OriginalBCACalculations$2012'!$A72,20))</f>
        <v>2.5719014152382127</v>
      </c>
      <c r="E72" s="23">
        <f>($B$5/CommAndSportFishingValues!$I$19)*FishHarvestTimeTrends!AD81*((1+'OriginalBCACalculations$2012'!E$10)^MIN('OriginalBCACalculations$2012'!$A72,20))</f>
        <v>0.36523782449996861</v>
      </c>
      <c r="F72" s="23">
        <f t="shared" si="20"/>
        <v>8.177905312147864</v>
      </c>
      <c r="H72" s="22">
        <f t="shared" si="14"/>
        <v>3.9100000000000003E-2</v>
      </c>
      <c r="I72" s="22"/>
      <c r="J72" s="41"/>
      <c r="K72" s="41">
        <f t="shared" si="6"/>
        <v>8.4444059615573863</v>
      </c>
      <c r="L72" s="41">
        <f t="shared" si="6"/>
        <v>2.5719014152382127</v>
      </c>
      <c r="M72" s="41">
        <f t="shared" si="6"/>
        <v>0.36523782449996861</v>
      </c>
      <c r="N72" s="41">
        <f t="shared" si="6"/>
        <v>8.177905312147864</v>
      </c>
      <c r="O72" s="67"/>
      <c r="P72" s="41">
        <f t="shared" si="13"/>
        <v>3.9100000000000003E-2</v>
      </c>
      <c r="R72" s="27">
        <f t="shared" si="22"/>
        <v>2.7097385903286586</v>
      </c>
      <c r="S72" s="27">
        <f t="shared" si="22"/>
        <v>1.5064903120015178</v>
      </c>
      <c r="T72" s="27">
        <f t="shared" si="22"/>
        <v>0.84239787445341452</v>
      </c>
      <c r="U72" s="27">
        <f t="shared" si="22"/>
        <v>0.47373027319541144</v>
      </c>
      <c r="V72" s="27">
        <f t="shared" si="22"/>
        <v>0.26789239054080044</v>
      </c>
      <c r="W72" s="27">
        <f t="shared" si="22"/>
        <v>0.1523206383817983</v>
      </c>
      <c r="X72" s="27">
        <f t="shared" si="22"/>
        <v>8.7072566507279681E-2</v>
      </c>
      <c r="Y72" s="27">
        <f t="shared" si="22"/>
        <v>5.0036222249406022E-2</v>
      </c>
    </row>
    <row r="73" spans="1:25" x14ac:dyDescent="0.25">
      <c r="A73" s="21">
        <v>61</v>
      </c>
      <c r="C73" s="25">
        <f t="shared" si="19"/>
        <v>8.4444059615573863</v>
      </c>
      <c r="D73" s="23">
        <f>($B$4/CommAndSportFishingValues!$I$18)*FishHarvestTimeTrends!AC82*((1+'OriginalBCACalculations$2012'!D$10)^MIN('OriginalBCACalculations$2012'!$A73,20))</f>
        <v>2.5719032536479225</v>
      </c>
      <c r="E73" s="23">
        <f>($B$5/CommAndSportFishingValues!$I$19)*FishHarvestTimeTrends!AD82*((1+'OriginalBCACalculations$2012'!E$10)^MIN('OriginalBCACalculations$2012'!$A73,20))</f>
        <v>0.36523801711012166</v>
      </c>
      <c r="F73" s="23">
        <f t="shared" si="20"/>
        <v>8.1819942648039383</v>
      </c>
      <c r="H73" s="22">
        <f t="shared" si="14"/>
        <v>3.9100000000000003E-2</v>
      </c>
      <c r="I73" s="22"/>
      <c r="J73" s="41"/>
      <c r="K73" s="41">
        <f t="shared" si="6"/>
        <v>8.4444059615573863</v>
      </c>
      <c r="L73" s="41">
        <f t="shared" si="6"/>
        <v>2.5719032536479225</v>
      </c>
      <c r="M73" s="41">
        <f t="shared" si="6"/>
        <v>0.36523801711012166</v>
      </c>
      <c r="N73" s="41">
        <f t="shared" si="6"/>
        <v>8.1819942648039383</v>
      </c>
      <c r="O73" s="67"/>
      <c r="P73" s="41">
        <f t="shared" si="13"/>
        <v>3.9100000000000003E-2</v>
      </c>
      <c r="R73" s="27">
        <f t="shared" si="22"/>
        <v>2.7138295740045955</v>
      </c>
      <c r="S73" s="27">
        <f t="shared" si="22"/>
        <v>1.4938264467313636</v>
      </c>
      <c r="T73" s="27">
        <f t="shared" si="22"/>
        <v>0.82712712834877389</v>
      </c>
      <c r="U73" s="27">
        <f t="shared" si="22"/>
        <v>0.46062667937373852</v>
      </c>
      <c r="V73" s="27">
        <f t="shared" si="22"/>
        <v>0.25797772760726639</v>
      </c>
      <c r="W73" s="27">
        <f t="shared" si="22"/>
        <v>0.14528628760306139</v>
      </c>
      <c r="X73" s="27">
        <f t="shared" si="22"/>
        <v>8.2267946127864103E-2</v>
      </c>
      <c r="Y73" s="27">
        <f t="shared" si="22"/>
        <v>4.6833423944395353E-2</v>
      </c>
    </row>
    <row r="74" spans="1:25" x14ac:dyDescent="0.25">
      <c r="A74" s="21">
        <v>62</v>
      </c>
      <c r="C74" s="25">
        <f t="shared" si="19"/>
        <v>8.4444059615573863</v>
      </c>
      <c r="D74" s="23">
        <f>($B$4/CommAndSportFishingValues!$I$18)*FishHarvestTimeTrends!AC83*((1+'OriginalBCACalculations$2012'!D$10)^MIN('OriginalBCACalculations$2012'!$A74,20))</f>
        <v>2.5719050920576318</v>
      </c>
      <c r="E74" s="23">
        <f>($B$5/CommAndSportFishingValues!$I$19)*FishHarvestTimeTrends!AD83*((1+'OriginalBCACalculations$2012'!E$10)^MIN('OriginalBCACalculations$2012'!$A74,20))</f>
        <v>0.36523820972027482</v>
      </c>
      <c r="F74" s="23">
        <f t="shared" si="20"/>
        <v>8.1860852619363396</v>
      </c>
      <c r="H74" s="22">
        <f t="shared" si="14"/>
        <v>3.9100000000000003E-2</v>
      </c>
      <c r="I74" s="22"/>
      <c r="J74" s="41"/>
      <c r="K74" s="41">
        <f t="shared" si="6"/>
        <v>8.4444059615573863</v>
      </c>
      <c r="L74" s="41">
        <f t="shared" si="6"/>
        <v>2.5719050920576318</v>
      </c>
      <c r="M74" s="41">
        <f t="shared" si="6"/>
        <v>0.36523820972027482</v>
      </c>
      <c r="N74" s="41">
        <f t="shared" si="6"/>
        <v>8.1860852619363396</v>
      </c>
      <c r="O74" s="67"/>
      <c r="P74" s="41">
        <f t="shared" si="13"/>
        <v>3.9100000000000003E-2</v>
      </c>
      <c r="R74" s="27">
        <f t="shared" si="22"/>
        <v>2.7179226021568592</v>
      </c>
      <c r="S74" s="27">
        <f t="shared" si="22"/>
        <v>1.4812667846592074</v>
      </c>
      <c r="T74" s="27">
        <f t="shared" si="22"/>
        <v>0.81213197131931547</v>
      </c>
      <c r="U74" s="27">
        <f t="shared" si="22"/>
        <v>0.44788485600926842</v>
      </c>
      <c r="V74" s="27">
        <f t="shared" si="22"/>
        <v>0.24842962740847155</v>
      </c>
      <c r="W74" s="27">
        <f t="shared" si="22"/>
        <v>0.13857658096085898</v>
      </c>
      <c r="X74" s="27">
        <f t="shared" si="22"/>
        <v>7.7728324118329209E-2</v>
      </c>
      <c r="Y74" s="27">
        <f t="shared" si="22"/>
        <v>4.3835568821323979E-2</v>
      </c>
    </row>
    <row r="75" spans="1:25" x14ac:dyDescent="0.25">
      <c r="A75" s="21">
        <v>63</v>
      </c>
      <c r="C75" s="25">
        <f t="shared" si="19"/>
        <v>8.4444059615573863</v>
      </c>
      <c r="D75" s="23">
        <f>($B$4/CommAndSportFishingValues!$I$18)*FishHarvestTimeTrends!AC84*((1+'OriginalBCACalculations$2012'!D$10)^MIN('OriginalBCACalculations$2012'!$A75,20))</f>
        <v>2.5719069304673412</v>
      </c>
      <c r="E75" s="23">
        <f>($B$5/CommAndSportFishingValues!$I$19)*FishHarvestTimeTrends!AD84*((1+'OriginalBCACalculations$2012'!E$10)^MIN('OriginalBCACalculations$2012'!$A75,20))</f>
        <v>0.36523840233042781</v>
      </c>
      <c r="F75" s="23">
        <f t="shared" si="20"/>
        <v>8.1901783045673078</v>
      </c>
      <c r="H75" s="22">
        <f t="shared" si="14"/>
        <v>3.9100000000000003E-2</v>
      </c>
      <c r="I75" s="22"/>
      <c r="J75" s="41"/>
      <c r="K75" s="41">
        <f t="shared" si="6"/>
        <v>8.4444059615573863</v>
      </c>
      <c r="L75" s="41">
        <f t="shared" si="6"/>
        <v>2.5719069304673412</v>
      </c>
      <c r="M75" s="41">
        <f t="shared" si="6"/>
        <v>0.36523840233042781</v>
      </c>
      <c r="N75" s="41">
        <f t="shared" si="6"/>
        <v>8.1901783045673078</v>
      </c>
      <c r="O75" s="67"/>
      <c r="P75" s="41">
        <f t="shared" si="13"/>
        <v>3.9100000000000003E-2</v>
      </c>
      <c r="R75" s="27">
        <f t="shared" si="22"/>
        <v>2.7220176758076899</v>
      </c>
      <c r="S75" s="27">
        <f t="shared" si="22"/>
        <v>1.4688104933086321</v>
      </c>
      <c r="T75" s="27">
        <f t="shared" si="22"/>
        <v>0.79740745537708446</v>
      </c>
      <c r="U75" s="27">
        <f t="shared" si="22"/>
        <v>0.43549483570001585</v>
      </c>
      <c r="V75" s="27">
        <f t="shared" si="22"/>
        <v>0.23923455237450866</v>
      </c>
      <c r="W75" s="27">
        <f t="shared" si="22"/>
        <v>0.13217654596061648</v>
      </c>
      <c r="X75" s="27">
        <f t="shared" si="22"/>
        <v>7.3439091323360739E-2</v>
      </c>
      <c r="Y75" s="27">
        <f t="shared" si="22"/>
        <v>4.1029547238239331E-2</v>
      </c>
    </row>
    <row r="76" spans="1:25" x14ac:dyDescent="0.25">
      <c r="A76" s="21">
        <v>64</v>
      </c>
      <c r="C76" s="25">
        <f t="shared" si="19"/>
        <v>8.4444059615573863</v>
      </c>
      <c r="D76" s="23">
        <f>($B$4/CommAndSportFishingValues!$I$18)*FishHarvestTimeTrends!AC85*((1+'OriginalBCACalculations$2012'!D$10)^MIN('OriginalBCACalculations$2012'!$A76,20))</f>
        <v>2.5719087688770506</v>
      </c>
      <c r="E76" s="23">
        <f>($B$5/CommAndSportFishingValues!$I$19)*FishHarvestTimeTrends!AD85*((1+'OriginalBCACalculations$2012'!E$10)^MIN('OriginalBCACalculations$2012'!$A76,20))</f>
        <v>0.36523859494058097</v>
      </c>
      <c r="F76" s="23">
        <f t="shared" si="20"/>
        <v>8.1942733937195911</v>
      </c>
      <c r="H76" s="22">
        <f t="shared" si="14"/>
        <v>3.9100000000000003E-2</v>
      </c>
      <c r="I76" s="22"/>
      <c r="J76" s="41"/>
      <c r="K76" s="41">
        <f t="shared" si="6"/>
        <v>8.4444059615573863</v>
      </c>
      <c r="L76" s="41">
        <f t="shared" si="6"/>
        <v>2.5719087688770506</v>
      </c>
      <c r="M76" s="41">
        <f t="shared" si="6"/>
        <v>0.36523859494058097</v>
      </c>
      <c r="N76" s="41">
        <f t="shared" si="6"/>
        <v>8.1942733937195911</v>
      </c>
      <c r="O76" s="67"/>
      <c r="P76" s="41">
        <f t="shared" si="13"/>
        <v>3.9100000000000003E-2</v>
      </c>
      <c r="R76" s="27">
        <f t="shared" si="22"/>
        <v>2.7261147959798357</v>
      </c>
      <c r="S76" s="27">
        <f t="shared" si="22"/>
        <v>1.4564567465714822</v>
      </c>
      <c r="T76" s="27">
        <f t="shared" si="22"/>
        <v>0.78294872084109868</v>
      </c>
      <c r="U76" s="27">
        <f t="shared" si="22"/>
        <v>0.42344692504269926</v>
      </c>
      <c r="V76" s="27">
        <f t="shared" si="22"/>
        <v>0.23037946430400794</v>
      </c>
      <c r="W76" s="27">
        <f t="shared" si="22"/>
        <v>0.12607190013678676</v>
      </c>
      <c r="X76" s="27">
        <f t="shared" si="22"/>
        <v>6.9386443587126881E-2</v>
      </c>
      <c r="Y76" s="27">
        <f t="shared" si="22"/>
        <v>3.8403087846529377E-2</v>
      </c>
    </row>
    <row r="77" spans="1:25" x14ac:dyDescent="0.25">
      <c r="A77" s="21">
        <v>65</v>
      </c>
      <c r="C77" s="25">
        <f t="shared" si="19"/>
        <v>8.4444059615573863</v>
      </c>
      <c r="D77" s="23">
        <f>($B$4/CommAndSportFishingValues!$I$18)*FishHarvestTimeTrends!AC86*((1+'OriginalBCACalculations$2012'!D$10)^MIN('OriginalBCACalculations$2012'!$A77,20))</f>
        <v>2.5719106072867604</v>
      </c>
      <c r="E77" s="23">
        <f>($B$5/CommAndSportFishingValues!$I$19)*FishHarvestTimeTrends!AD86*((1+'OriginalBCACalculations$2012'!E$10)^MIN('OriginalBCACalculations$2012'!$A77,20))</f>
        <v>0.36523878755073402</v>
      </c>
      <c r="F77" s="23">
        <f t="shared" si="20"/>
        <v>8.1983705304164509</v>
      </c>
      <c r="H77" s="22">
        <f t="shared" si="14"/>
        <v>3.9100000000000003E-2</v>
      </c>
      <c r="I77" s="22"/>
      <c r="J77" s="41"/>
      <c r="K77" s="41">
        <f t="shared" ref="K77:N112" si="23">C77/((1+$M$9)^($A77-1))</f>
        <v>8.4444059615573863</v>
      </c>
      <c r="L77" s="41">
        <f t="shared" si="23"/>
        <v>2.5719106072867604</v>
      </c>
      <c r="M77" s="41">
        <f t="shared" si="23"/>
        <v>0.36523878755073402</v>
      </c>
      <c r="N77" s="41">
        <f t="shared" si="23"/>
        <v>8.1983705304164509</v>
      </c>
      <c r="O77" s="67"/>
      <c r="P77" s="41">
        <f t="shared" si="13"/>
        <v>3.9100000000000003E-2</v>
      </c>
      <c r="R77" s="27">
        <f t="shared" si="22"/>
        <v>2.7302139636965581</v>
      </c>
      <c r="S77" s="27">
        <f t="shared" si="22"/>
        <v>1.4442047246624379</v>
      </c>
      <c r="T77" s="27">
        <f t="shared" si="22"/>
        <v>0.76875099477240127</v>
      </c>
      <c r="U77" s="27">
        <f t="shared" si="22"/>
        <v>0.4117316971194464</v>
      </c>
      <c r="V77" s="27">
        <f t="shared" si="22"/>
        <v>0.22185180596692572</v>
      </c>
      <c r="W77" s="27">
        <f t="shared" si="22"/>
        <v>0.12024901927611416</v>
      </c>
      <c r="X77" s="27">
        <f t="shared" si="22"/>
        <v>6.5557337418467143E-2</v>
      </c>
      <c r="Y77" s="27">
        <f t="shared" si="22"/>
        <v>3.5944704005944038E-2</v>
      </c>
    </row>
    <row r="78" spans="1:25" x14ac:dyDescent="0.25">
      <c r="A78" s="21">
        <v>66</v>
      </c>
      <c r="C78" s="25">
        <f t="shared" si="19"/>
        <v>8.4444059615573863</v>
      </c>
      <c r="D78" s="23">
        <f>($B$4/CommAndSportFishingValues!$I$18)*FishHarvestTimeTrends!AC87*((1+'OriginalBCACalculations$2012'!D$10)^MIN('OriginalBCACalculations$2012'!$A78,20))</f>
        <v>2.5719124456964697</v>
      </c>
      <c r="E78" s="23">
        <f>($B$5/CommAndSportFishingValues!$I$19)*FishHarvestTimeTrends!AD87*((1+'OriginalBCACalculations$2012'!E$10)^MIN('OriginalBCACalculations$2012'!$A78,20))</f>
        <v>0.36523898016088713</v>
      </c>
      <c r="F78" s="23">
        <f t="shared" si="20"/>
        <v>8.2024697156816586</v>
      </c>
      <c r="H78" s="22">
        <f t="shared" si="14"/>
        <v>3.9100000000000003E-2</v>
      </c>
      <c r="I78" s="22"/>
      <c r="J78" s="41"/>
      <c r="K78" s="41">
        <f t="shared" si="23"/>
        <v>8.4444059615573863</v>
      </c>
      <c r="L78" s="41">
        <f t="shared" si="23"/>
        <v>2.5719124456964697</v>
      </c>
      <c r="M78" s="41">
        <f t="shared" si="23"/>
        <v>0.36523898016088713</v>
      </c>
      <c r="N78" s="41">
        <f t="shared" si="23"/>
        <v>8.2024697156816586</v>
      </c>
      <c r="O78" s="67"/>
      <c r="P78" s="41">
        <f t="shared" si="13"/>
        <v>3.9100000000000003E-2</v>
      </c>
      <c r="R78" s="27">
        <f t="shared" ref="R78:Y93" si="24">(SUM($D78:$H78)-SUM($B78:$C78))/((1+R$10)^($A78-1))</f>
        <v>2.7343151799816283</v>
      </c>
      <c r="S78" s="27">
        <f t="shared" si="24"/>
        <v>1.4320536140738787</v>
      </c>
      <c r="T78" s="27">
        <f t="shared" si="24"/>
        <v>0.75480958943661625</v>
      </c>
      <c r="U78" s="27">
        <f t="shared" si="24"/>
        <v>0.40033998418994848</v>
      </c>
      <c r="V78" s="27">
        <f t="shared" si="24"/>
        <v>0.21363948338418015</v>
      </c>
      <c r="W78" s="27">
        <f t="shared" si="24"/>
        <v>0.11469490710307594</v>
      </c>
      <c r="X78" s="27">
        <f t="shared" si="24"/>
        <v>6.1939448096488416E-2</v>
      </c>
      <c r="Y78" s="27">
        <f t="shared" si="24"/>
        <v>3.3643643623552419E-2</v>
      </c>
    </row>
    <row r="79" spans="1:25" x14ac:dyDescent="0.25">
      <c r="A79" s="21">
        <v>67</v>
      </c>
      <c r="C79" s="25">
        <f t="shared" si="19"/>
        <v>8.4444059615573863</v>
      </c>
      <c r="D79" s="23">
        <f>($B$4/CommAndSportFishingValues!$I$18)*FishHarvestTimeTrends!AC88*((1+'OriginalBCACalculations$2012'!D$10)^MIN('OriginalBCACalculations$2012'!$A79,20))</f>
        <v>2.5719142841061791</v>
      </c>
      <c r="E79" s="23">
        <f>($B$5/CommAndSportFishingValues!$I$19)*FishHarvestTimeTrends!AD88*((1+'OriginalBCACalculations$2012'!E$10)^MIN('OriginalBCACalculations$2012'!$A79,20))</f>
        <v>0.36523917277104023</v>
      </c>
      <c r="F79" s="23">
        <f t="shared" si="20"/>
        <v>8.2065709505394988</v>
      </c>
      <c r="H79" s="22">
        <f t="shared" si="14"/>
        <v>3.9100000000000003E-2</v>
      </c>
      <c r="I79" s="22"/>
      <c r="J79" s="41"/>
      <c r="K79" s="41">
        <f t="shared" si="23"/>
        <v>8.4444059615573863</v>
      </c>
      <c r="L79" s="41">
        <f t="shared" si="23"/>
        <v>2.5719142841061791</v>
      </c>
      <c r="M79" s="41">
        <f t="shared" si="23"/>
        <v>0.36523917277104023</v>
      </c>
      <c r="N79" s="41">
        <f t="shared" si="23"/>
        <v>8.2065709505394988</v>
      </c>
      <c r="O79" s="67"/>
      <c r="P79" s="41">
        <f t="shared" si="13"/>
        <v>3.9100000000000003E-2</v>
      </c>
      <c r="R79" s="27">
        <f t="shared" si="24"/>
        <v>2.738418445859331</v>
      </c>
      <c r="S79" s="27">
        <f t="shared" si="24"/>
        <v>1.4200026075310239</v>
      </c>
      <c r="T79" s="27">
        <f t="shared" si="24"/>
        <v>0.74111990079352519</v>
      </c>
      <c r="U79" s="27">
        <f t="shared" si="24"/>
        <v>0.38926287058346776</v>
      </c>
      <c r="V79" s="27">
        <f t="shared" si="24"/>
        <v>0.20573084875927047</v>
      </c>
      <c r="W79" s="27">
        <f t="shared" si="24"/>
        <v>0.10939716636028068</v>
      </c>
      <c r="X79" s="27">
        <f t="shared" si="24"/>
        <v>5.8521130082312196E-2</v>
      </c>
      <c r="Y79" s="27">
        <f t="shared" si="24"/>
        <v>3.1489842197942215E-2</v>
      </c>
    </row>
    <row r="80" spans="1:25" x14ac:dyDescent="0.25">
      <c r="A80" s="21">
        <v>68</v>
      </c>
      <c r="C80" s="25">
        <f t="shared" si="19"/>
        <v>8.4444059615573863</v>
      </c>
      <c r="D80" s="23">
        <f>($B$4/CommAndSportFishingValues!$I$18)*FishHarvestTimeTrends!AC89*((1+'OriginalBCACalculations$2012'!D$10)^MIN('OriginalBCACalculations$2012'!$A80,20))</f>
        <v>2.5719161225158889</v>
      </c>
      <c r="E80" s="23">
        <f>($B$5/CommAndSportFishingValues!$I$19)*FishHarvestTimeTrends!AD89*((1+'OriginalBCACalculations$2012'!E$10)^MIN('OriginalBCACalculations$2012'!$A80,20))</f>
        <v>0.36523936538119328</v>
      </c>
      <c r="F80" s="23">
        <f t="shared" si="20"/>
        <v>8.2106742360147678</v>
      </c>
      <c r="H80" s="22">
        <f t="shared" si="14"/>
        <v>3.9100000000000003E-2</v>
      </c>
      <c r="I80" s="22"/>
      <c r="J80" s="41"/>
      <c r="K80" s="41">
        <f t="shared" si="23"/>
        <v>8.4444059615573863</v>
      </c>
      <c r="L80" s="41">
        <f t="shared" si="23"/>
        <v>2.5719161225158889</v>
      </c>
      <c r="M80" s="41">
        <f t="shared" si="23"/>
        <v>0.36523936538119328</v>
      </c>
      <c r="N80" s="41">
        <f t="shared" si="23"/>
        <v>8.2106742360147678</v>
      </c>
      <c r="O80" s="67"/>
      <c r="P80" s="41">
        <f t="shared" si="13"/>
        <v>3.9100000000000003E-2</v>
      </c>
      <c r="R80" s="27">
        <f t="shared" si="24"/>
        <v>2.7425237623544625</v>
      </c>
      <c r="S80" s="27">
        <f t="shared" si="24"/>
        <v>1.408050903947357</v>
      </c>
      <c r="T80" s="27">
        <f t="shared" si="24"/>
        <v>0.72767740701319605</v>
      </c>
      <c r="U80" s="27">
        <f t="shared" si="24"/>
        <v>0.378491685785245</v>
      </c>
      <c r="V80" s="27">
        <f t="shared" si="24"/>
        <v>0.1981146840379259</v>
      </c>
      <c r="W80" s="27">
        <f t="shared" si="24"/>
        <v>0.10434397121968618</v>
      </c>
      <c r="X80" s="27">
        <f t="shared" si="24"/>
        <v>5.5291379610096857E-2</v>
      </c>
      <c r="Y80" s="27">
        <f t="shared" si="24"/>
        <v>2.9473878863929579E-2</v>
      </c>
    </row>
    <row r="81" spans="1:25" x14ac:dyDescent="0.25">
      <c r="A81" s="21">
        <v>69</v>
      </c>
      <c r="C81" s="25">
        <f t="shared" si="19"/>
        <v>8.4444059615573863</v>
      </c>
      <c r="D81" s="23">
        <f>($B$4/CommAndSportFishingValues!$I$18)*FishHarvestTimeTrends!AC90*((1+'OriginalBCACalculations$2012'!D$10)^MIN('OriginalBCACalculations$2012'!$A81,20))</f>
        <v>2.5719179609255978</v>
      </c>
      <c r="E81" s="23">
        <f>($B$5/CommAndSportFishingValues!$I$19)*FishHarvestTimeTrends!AD90*((1+'OriginalBCACalculations$2012'!E$10)^MIN('OriginalBCACalculations$2012'!$A81,20))</f>
        <v>0.36523955799134644</v>
      </c>
      <c r="F81" s="23">
        <f t="shared" si="20"/>
        <v>8.2147795731327751</v>
      </c>
      <c r="H81" s="22">
        <f t="shared" si="14"/>
        <v>3.9100000000000003E-2</v>
      </c>
      <c r="I81" s="22"/>
      <c r="J81" s="41"/>
      <c r="K81" s="41">
        <f t="shared" si="23"/>
        <v>8.4444059615573863</v>
      </c>
      <c r="L81" s="41">
        <f t="shared" si="23"/>
        <v>2.5719179609255978</v>
      </c>
      <c r="M81" s="41">
        <f t="shared" si="23"/>
        <v>0.36523955799134644</v>
      </c>
      <c r="N81" s="41">
        <f t="shared" si="23"/>
        <v>8.2147795731327751</v>
      </c>
      <c r="O81" s="67"/>
      <c r="P81" s="41">
        <f t="shared" si="13"/>
        <v>3.9100000000000003E-2</v>
      </c>
      <c r="R81" s="27">
        <f t="shared" si="24"/>
        <v>2.7466311304923323</v>
      </c>
      <c r="S81" s="27">
        <f t="shared" si="24"/>
        <v>1.3961977083803296</v>
      </c>
      <c r="T81" s="27">
        <f t="shared" si="24"/>
        <v>0.71447766701820392</v>
      </c>
      <c r="U81" s="27">
        <f t="shared" si="24"/>
        <v>0.36801799771200988</v>
      </c>
      <c r="V81" s="27">
        <f t="shared" si="24"/>
        <v>0.19078018507270952</v>
      </c>
      <c r="W81" s="27">
        <f t="shared" si="24"/>
        <v>9.952404096344844E-2</v>
      </c>
      <c r="X81" s="27">
        <f t="shared" si="24"/>
        <v>5.223979933743636E-2</v>
      </c>
      <c r="Y81" s="27">
        <f t="shared" si="24"/>
        <v>2.7586935246119916E-2</v>
      </c>
    </row>
    <row r="82" spans="1:25" x14ac:dyDescent="0.25">
      <c r="A82" s="21">
        <v>70</v>
      </c>
      <c r="C82" s="25">
        <f t="shared" si="19"/>
        <v>8.4444059615573863</v>
      </c>
      <c r="D82" s="23">
        <f>($B$4/CommAndSportFishingValues!$I$18)*FishHarvestTimeTrends!AC91*((1+'OriginalBCACalculations$2012'!D$10)^MIN('OriginalBCACalculations$2012'!$A82,20))</f>
        <v>2.5719197993353076</v>
      </c>
      <c r="E82" s="23">
        <f>($B$5/CommAndSportFishingValues!$I$19)*FishHarvestTimeTrends!AD91*((1+'OriginalBCACalculations$2012'!E$10)^MIN('OriginalBCACalculations$2012'!$A82,20))</f>
        <v>0.36523975060149949</v>
      </c>
      <c r="F82" s="23">
        <f t="shared" si="20"/>
        <v>8.2188869629193402</v>
      </c>
      <c r="H82" s="22">
        <f t="shared" si="14"/>
        <v>3.9100000000000003E-2</v>
      </c>
      <c r="I82" s="22"/>
      <c r="J82" s="41"/>
      <c r="K82" s="41">
        <f t="shared" si="23"/>
        <v>8.4444059615573863</v>
      </c>
      <c r="L82" s="41">
        <f t="shared" si="23"/>
        <v>2.5719197993353076</v>
      </c>
      <c r="M82" s="41">
        <f t="shared" si="23"/>
        <v>0.36523975060149949</v>
      </c>
      <c r="N82" s="41">
        <f t="shared" si="23"/>
        <v>8.2188869629193402</v>
      </c>
      <c r="O82" s="67"/>
      <c r="P82" s="41">
        <f t="shared" si="13"/>
        <v>3.9100000000000003E-2</v>
      </c>
      <c r="R82" s="27">
        <f t="shared" si="24"/>
        <v>2.7507405512987599</v>
      </c>
      <c r="S82" s="27">
        <f t="shared" si="24"/>
        <v>1.384442231987344</v>
      </c>
      <c r="T82" s="27">
        <f t="shared" si="24"/>
        <v>0.70151631905148581</v>
      </c>
      <c r="U82" s="27">
        <f t="shared" si="24"/>
        <v>0.35783360617143484</v>
      </c>
      <c r="V82" s="27">
        <f t="shared" si="24"/>
        <v>0.18371694637034969</v>
      </c>
      <c r="W82" s="27">
        <f t="shared" si="24"/>
        <v>9.4926614876022358E-2</v>
      </c>
      <c r="X82" s="27">
        <f t="shared" si="24"/>
        <v>4.935656494182853E-2</v>
      </c>
      <c r="Y82" s="27">
        <f t="shared" si="24"/>
        <v>2.5820756941897158E-2</v>
      </c>
    </row>
    <row r="83" spans="1:25" x14ac:dyDescent="0.25">
      <c r="A83" s="21">
        <v>71</v>
      </c>
      <c r="C83" s="25">
        <f t="shared" si="19"/>
        <v>8.4444059615573863</v>
      </c>
      <c r="D83" s="23">
        <f>($B$4/CommAndSportFishingValues!$I$18)*FishHarvestTimeTrends!AC92*((1+'OriginalBCACalculations$2012'!D$10)^MIN('OriginalBCACalculations$2012'!$A83,20))</f>
        <v>2.5719216377450174</v>
      </c>
      <c r="E83" s="23">
        <f>($B$5/CommAndSportFishingValues!$I$19)*FishHarvestTimeTrends!AD92*((1+'OriginalBCACalculations$2012'!E$10)^MIN('OriginalBCACalculations$2012'!$A83,20))</f>
        <v>0.36523994321165254</v>
      </c>
      <c r="F83" s="23">
        <f t="shared" si="20"/>
        <v>8.2229964064007994</v>
      </c>
      <c r="H83" s="22">
        <f t="shared" si="14"/>
        <v>3.9100000000000003E-2</v>
      </c>
      <c r="I83" s="22"/>
      <c r="J83" s="41"/>
      <c r="K83" s="41">
        <f t="shared" si="23"/>
        <v>8.4444059615573863</v>
      </c>
      <c r="L83" s="41">
        <f t="shared" si="23"/>
        <v>2.5719216377450174</v>
      </c>
      <c r="M83" s="41">
        <f t="shared" si="23"/>
        <v>0.36523994321165254</v>
      </c>
      <c r="N83" s="41">
        <f t="shared" si="23"/>
        <v>8.2229964064007994</v>
      </c>
      <c r="O83" s="67"/>
      <c r="P83" s="41">
        <f t="shared" si="13"/>
        <v>3.9100000000000003E-2</v>
      </c>
      <c r="R83" s="27">
        <f t="shared" si="24"/>
        <v>2.7548520258000817</v>
      </c>
      <c r="S83" s="27">
        <f t="shared" si="24"/>
        <v>1.3727836919820149</v>
      </c>
      <c r="T83" s="27">
        <f t="shared" si="24"/>
        <v>0.68878907926938782</v>
      </c>
      <c r="U83" s="27">
        <f t="shared" si="24"/>
        <v>0.34793053650051953</v>
      </c>
      <c r="V83" s="27">
        <f t="shared" si="24"/>
        <v>0.1769149464003856</v>
      </c>
      <c r="W83" s="27">
        <f t="shared" si="24"/>
        <v>9.054142829181841E-2</v>
      </c>
      <c r="X83" s="27">
        <f t="shared" si="24"/>
        <v>4.6632393556137429E-2</v>
      </c>
      <c r="Y83" s="27">
        <f t="shared" si="24"/>
        <v>2.4167617465875774E-2</v>
      </c>
    </row>
    <row r="84" spans="1:25" x14ac:dyDescent="0.25">
      <c r="A84" s="21">
        <v>72</v>
      </c>
      <c r="C84" s="25">
        <f t="shared" si="19"/>
        <v>8.4444059615573863</v>
      </c>
      <c r="D84" s="23">
        <f>($B$4/CommAndSportFishingValues!$I$18)*FishHarvestTimeTrends!AC93*((1+'OriginalBCACalculations$2012'!D$10)^MIN('OriginalBCACalculations$2012'!$A84,20))</f>
        <v>2.5719234761547263</v>
      </c>
      <c r="E84" s="23">
        <f>($B$5/CommAndSportFishingValues!$I$19)*FishHarvestTimeTrends!AD93*((1+'OriginalBCACalculations$2012'!E$10)^MIN('OriginalBCACalculations$2012'!$A84,20))</f>
        <v>0.36524013582180564</v>
      </c>
      <c r="F84" s="23">
        <f t="shared" si="20"/>
        <v>8.227107904603999</v>
      </c>
      <c r="H84" s="22">
        <f t="shared" si="14"/>
        <v>3.9100000000000003E-2</v>
      </c>
      <c r="I84" s="22"/>
      <c r="J84" s="41"/>
      <c r="K84" s="41">
        <f t="shared" si="23"/>
        <v>8.4444059615573863</v>
      </c>
      <c r="L84" s="41">
        <f t="shared" si="23"/>
        <v>2.5719234761547263</v>
      </c>
      <c r="M84" s="41">
        <f t="shared" si="23"/>
        <v>0.36524013582180564</v>
      </c>
      <c r="N84" s="41">
        <f t="shared" si="23"/>
        <v>8.227107904603999</v>
      </c>
      <c r="O84" s="67"/>
      <c r="P84" s="41">
        <f t="shared" ref="P84:P112" si="25">H84/((1+$M$9)^($A84-1))</f>
        <v>3.9100000000000003E-2</v>
      </c>
      <c r="R84" s="27">
        <f t="shared" si="24"/>
        <v>2.7589655550231438</v>
      </c>
      <c r="S84" s="27">
        <f t="shared" si="24"/>
        <v>1.3612213115907068</v>
      </c>
      <c r="T84" s="27">
        <f t="shared" si="24"/>
        <v>0.67629174035946116</v>
      </c>
      <c r="U84" s="27">
        <f t="shared" si="24"/>
        <v>0.33830103337802192</v>
      </c>
      <c r="V84" s="27">
        <f t="shared" si="24"/>
        <v>0.17036453344450014</v>
      </c>
      <c r="W84" s="27">
        <f t="shared" si="24"/>
        <v>8.6358689745275954E-2</v>
      </c>
      <c r="X84" s="27">
        <f t="shared" si="24"/>
        <v>4.4058513941861277E-2</v>
      </c>
      <c r="Y84" s="27">
        <f t="shared" si="24"/>
        <v>2.2620284498574426E-2</v>
      </c>
    </row>
    <row r="85" spans="1:25" x14ac:dyDescent="0.25">
      <c r="A85" s="21">
        <v>73</v>
      </c>
      <c r="C85" s="25">
        <f t="shared" si="19"/>
        <v>8.4444059615573863</v>
      </c>
      <c r="D85" s="23">
        <f>($B$4/CommAndSportFishingValues!$I$18)*FishHarvestTimeTrends!AC94*((1+'OriginalBCACalculations$2012'!D$10)^MIN('OriginalBCACalculations$2012'!$A85,20))</f>
        <v>2.5719253145644356</v>
      </c>
      <c r="E85" s="23">
        <f>($B$5/CommAndSportFishingValues!$I$19)*FishHarvestTimeTrends!AD94*((1+'OriginalBCACalculations$2012'!E$10)^MIN('OriginalBCACalculations$2012'!$A85,20))</f>
        <v>0.36524032843195881</v>
      </c>
      <c r="F85" s="23">
        <f t="shared" si="20"/>
        <v>8.2312214585563002</v>
      </c>
      <c r="H85" s="22">
        <f t="shared" ref="H85:H112" si="26">B$8</f>
        <v>3.9100000000000003E-2</v>
      </c>
      <c r="I85" s="22"/>
      <c r="J85" s="41"/>
      <c r="K85" s="41">
        <f t="shared" si="23"/>
        <v>8.4444059615573863</v>
      </c>
      <c r="L85" s="41">
        <f t="shared" si="23"/>
        <v>2.5719253145644356</v>
      </c>
      <c r="M85" s="41">
        <f t="shared" si="23"/>
        <v>0.36524032843195881</v>
      </c>
      <c r="N85" s="41">
        <f t="shared" si="23"/>
        <v>8.2312214585563002</v>
      </c>
      <c r="O85" s="67"/>
      <c r="P85" s="41">
        <f t="shared" si="25"/>
        <v>3.9100000000000003E-2</v>
      </c>
      <c r="R85" s="27">
        <f t="shared" si="24"/>
        <v>2.7630811399953075</v>
      </c>
      <c r="S85" s="27">
        <f t="shared" si="24"/>
        <v>1.3497543200093425</v>
      </c>
      <c r="T85" s="27">
        <f t="shared" si="24"/>
        <v>0.66402017018257975</v>
      </c>
      <c r="U85" s="27">
        <f t="shared" si="24"/>
        <v>0.32893755480619186</v>
      </c>
      <c r="V85" s="27">
        <f t="shared" si="24"/>
        <v>0.1640564119666699</v>
      </c>
      <c r="W85" s="27">
        <f t="shared" si="24"/>
        <v>8.2369059172658091E-2</v>
      </c>
      <c r="X85" s="27">
        <f t="shared" si="24"/>
        <v>4.162663830458322E-2</v>
      </c>
      <c r="Y85" s="27">
        <f t="shared" si="24"/>
        <v>2.1171988292111525E-2</v>
      </c>
    </row>
    <row r="86" spans="1:25" x14ac:dyDescent="0.25">
      <c r="A86" s="21">
        <v>74</v>
      </c>
      <c r="C86" s="25">
        <f t="shared" si="19"/>
        <v>8.4444059615573863</v>
      </c>
      <c r="D86" s="23">
        <f>($B$4/CommAndSportFishingValues!$I$18)*FishHarvestTimeTrends!AC95*((1+'OriginalBCACalculations$2012'!D$10)^MIN('OriginalBCACalculations$2012'!$A86,20))</f>
        <v>2.5719271529741454</v>
      </c>
      <c r="E86" s="23">
        <f>($B$5/CommAndSportFishingValues!$I$19)*FishHarvestTimeTrends!AD95*((1+'OriginalBCACalculations$2012'!E$10)^MIN('OriginalBCACalculations$2012'!$A86,20))</f>
        <v>0.3652405210421118</v>
      </c>
      <c r="F86" s="23">
        <f t="shared" ref="F86:F112" si="27">F85*(1+F$10)</f>
        <v>8.2353370692855776</v>
      </c>
      <c r="H86" s="22">
        <f t="shared" si="26"/>
        <v>3.9100000000000003E-2</v>
      </c>
      <c r="I86" s="22"/>
      <c r="J86" s="41"/>
      <c r="K86" s="41">
        <f t="shared" si="23"/>
        <v>8.4444059615573863</v>
      </c>
      <c r="L86" s="41">
        <f t="shared" si="23"/>
        <v>2.5719271529741454</v>
      </c>
      <c r="M86" s="41">
        <f t="shared" si="23"/>
        <v>0.3652405210421118</v>
      </c>
      <c r="N86" s="41">
        <f t="shared" si="23"/>
        <v>8.2353370692855776</v>
      </c>
      <c r="O86" s="67"/>
      <c r="P86" s="41">
        <f t="shared" si="25"/>
        <v>3.9100000000000003E-2</v>
      </c>
      <c r="R86" s="27">
        <f t="shared" si="24"/>
        <v>2.7671987817444474</v>
      </c>
      <c r="S86" s="27">
        <f t="shared" si="24"/>
        <v>1.3383819523604956</v>
      </c>
      <c r="T86" s="27">
        <f t="shared" si="24"/>
        <v>0.65197031043895426</v>
      </c>
      <c r="U86" s="27">
        <f t="shared" si="24"/>
        <v>0.31983276625718621</v>
      </c>
      <c r="V86" s="27">
        <f t="shared" si="24"/>
        <v>0.15798162948499123</v>
      </c>
      <c r="W86" s="27">
        <f t="shared" si="24"/>
        <v>7.8563627117199525E-2</v>
      </c>
      <c r="X86" s="27">
        <f t="shared" si="24"/>
        <v>3.9328935661239545E-2</v>
      </c>
      <c r="Y86" s="27">
        <f t="shared" si="24"/>
        <v>1.9816392095122055E-2</v>
      </c>
    </row>
    <row r="87" spans="1:25" x14ac:dyDescent="0.25">
      <c r="A87" s="21">
        <v>75</v>
      </c>
      <c r="C87" s="25">
        <f t="shared" si="19"/>
        <v>8.4444059615573863</v>
      </c>
      <c r="D87" s="23">
        <f>($B$4/CommAndSportFishingValues!$I$18)*FishHarvestTimeTrends!AC96*((1+'OriginalBCACalculations$2012'!D$10)^MIN('OriginalBCACalculations$2012'!$A87,20))</f>
        <v>2.5719289913838548</v>
      </c>
      <c r="E87" s="23">
        <f>($B$5/CommAndSportFishingValues!$I$19)*FishHarvestTimeTrends!AD96*((1+'OriginalBCACalculations$2012'!E$10)^MIN('OriginalBCACalculations$2012'!$A87,20))</f>
        <v>0.36524071365226501</v>
      </c>
      <c r="F87" s="23">
        <f t="shared" si="27"/>
        <v>8.2394547378202194</v>
      </c>
      <c r="H87" s="22">
        <f t="shared" si="26"/>
        <v>3.9100000000000003E-2</v>
      </c>
      <c r="I87" s="22"/>
      <c r="J87" s="41"/>
      <c r="K87" s="41">
        <f t="shared" si="23"/>
        <v>8.4444059615573863</v>
      </c>
      <c r="L87" s="41">
        <f t="shared" si="23"/>
        <v>2.5719289913838548</v>
      </c>
      <c r="M87" s="41">
        <f t="shared" si="23"/>
        <v>0.36524071365226501</v>
      </c>
      <c r="N87" s="41">
        <f t="shared" si="23"/>
        <v>8.2394547378202194</v>
      </c>
      <c r="O87" s="67"/>
      <c r="P87" s="41">
        <f t="shared" si="25"/>
        <v>3.9100000000000003E-2</v>
      </c>
      <c r="R87" s="27">
        <f t="shared" si="24"/>
        <v>2.7713184812989518</v>
      </c>
      <c r="S87" s="27">
        <f t="shared" si="24"/>
        <v>1.3271034496507434</v>
      </c>
      <c r="T87" s="27">
        <f t="shared" si="24"/>
        <v>0.64013817535762518</v>
      </c>
      <c r="U87" s="27">
        <f t="shared" si="24"/>
        <v>0.31097953497967507</v>
      </c>
      <c r="V87" s="27">
        <f t="shared" si="24"/>
        <v>0.15213156392674312</v>
      </c>
      <c r="W87" s="27">
        <f t="shared" si="24"/>
        <v>7.4933894891463168E-2</v>
      </c>
      <c r="X87" s="27">
        <f t="shared" si="24"/>
        <v>3.7158006673810792E-2</v>
      </c>
      <c r="Y87" s="27">
        <f t="shared" si="24"/>
        <v>1.854756446789519E-2</v>
      </c>
    </row>
    <row r="88" spans="1:25" x14ac:dyDescent="0.25">
      <c r="A88" s="21">
        <v>76</v>
      </c>
      <c r="C88" s="25">
        <f t="shared" si="19"/>
        <v>8.4444059615573863</v>
      </c>
      <c r="D88" s="23">
        <f>($B$4/CommAndSportFishingValues!$I$18)*FishHarvestTimeTrends!AC97*((1+'OriginalBCACalculations$2012'!D$10)^MIN('OriginalBCACalculations$2012'!$A88,20))</f>
        <v>2.5719308297935641</v>
      </c>
      <c r="E88" s="23">
        <f>($B$5/CommAndSportFishingValues!$I$19)*FishHarvestTimeTrends!AD97*((1+'OriginalBCACalculations$2012'!E$10)^MIN('OriginalBCACalculations$2012'!$A88,20))</f>
        <v>0.36524090626241801</v>
      </c>
      <c r="F88" s="23">
        <f t="shared" si="27"/>
        <v>8.2435744651891287</v>
      </c>
      <c r="H88" s="22">
        <f t="shared" si="26"/>
        <v>3.9100000000000003E-2</v>
      </c>
      <c r="I88" s="22"/>
      <c r="J88" s="41"/>
      <c r="K88" s="41">
        <f t="shared" si="23"/>
        <v>8.4444059615573863</v>
      </c>
      <c r="L88" s="41">
        <f t="shared" si="23"/>
        <v>2.5719308297935641</v>
      </c>
      <c r="M88" s="41">
        <f t="shared" si="23"/>
        <v>0.36524090626241801</v>
      </c>
      <c r="N88" s="41">
        <f t="shared" si="23"/>
        <v>8.2435744651891287</v>
      </c>
      <c r="O88" s="67"/>
      <c r="P88" s="41">
        <f t="shared" si="25"/>
        <v>3.9100000000000003E-2</v>
      </c>
      <c r="R88" s="27">
        <f t="shared" si="24"/>
        <v>2.7754402396877236</v>
      </c>
      <c r="S88" s="27">
        <f t="shared" si="24"/>
        <v>1.3159180587282999</v>
      </c>
      <c r="T88" s="27">
        <f t="shared" si="24"/>
        <v>0.62851985040902869</v>
      </c>
      <c r="U88" s="27">
        <f t="shared" si="24"/>
        <v>0.30237092446126657</v>
      </c>
      <c r="V88" s="27">
        <f t="shared" si="24"/>
        <v>0.14649791144892532</v>
      </c>
      <c r="W88" s="27">
        <f t="shared" si="24"/>
        <v>7.1471755652880886E-2</v>
      </c>
      <c r="X88" s="27">
        <f t="shared" si="24"/>
        <v>3.5106859868736962E-2</v>
      </c>
      <c r="Y88" s="27">
        <f t="shared" si="24"/>
        <v>1.7359953366970191E-2</v>
      </c>
    </row>
    <row r="89" spans="1:25" x14ac:dyDescent="0.25">
      <c r="A89" s="21">
        <v>77</v>
      </c>
      <c r="C89" s="25">
        <f t="shared" si="19"/>
        <v>8.4444059615573863</v>
      </c>
      <c r="D89" s="23">
        <f>($B$4/CommAndSportFishingValues!$I$18)*FishHarvestTimeTrends!AC98*((1+'OriginalBCACalculations$2012'!D$10)^MIN('OriginalBCACalculations$2012'!$A89,20))</f>
        <v>2.5719326682032739</v>
      </c>
      <c r="E89" s="23">
        <f>($B$5/CommAndSportFishingValues!$I$19)*FishHarvestTimeTrends!AD98*((1+'OriginalBCACalculations$2012'!E$10)^MIN('OriginalBCACalculations$2012'!$A89,20))</f>
        <v>0.36524109887257117</v>
      </c>
      <c r="F89" s="23">
        <f t="shared" si="27"/>
        <v>8.2476962524217221</v>
      </c>
      <c r="H89" s="22">
        <f t="shared" si="26"/>
        <v>3.9100000000000003E-2</v>
      </c>
      <c r="I89" s="22"/>
      <c r="J89" s="41"/>
      <c r="K89" s="41">
        <f t="shared" si="23"/>
        <v>8.4444059615573863</v>
      </c>
      <c r="L89" s="41">
        <f t="shared" si="23"/>
        <v>2.5719326682032739</v>
      </c>
      <c r="M89" s="41">
        <f t="shared" si="23"/>
        <v>0.36524109887257117</v>
      </c>
      <c r="N89" s="41">
        <f t="shared" si="23"/>
        <v>8.2476962524217221</v>
      </c>
      <c r="O89" s="67"/>
      <c r="P89" s="41">
        <f t="shared" si="25"/>
        <v>3.9100000000000003E-2</v>
      </c>
      <c r="R89" s="27">
        <f t="shared" si="24"/>
        <v>2.7795640579401795</v>
      </c>
      <c r="S89" s="27">
        <f t="shared" si="24"/>
        <v>1.3048250322409141</v>
      </c>
      <c r="T89" s="27">
        <f t="shared" si="24"/>
        <v>0.61711149104022811</v>
      </c>
      <c r="U89" s="27">
        <f t="shared" si="24"/>
        <v>0.29400018904249964</v>
      </c>
      <c r="V89" s="27">
        <f t="shared" si="24"/>
        <v>0.14107267470716081</v>
      </c>
      <c r="W89" s="27">
        <f t="shared" si="24"/>
        <v>6.8169476350476446E-2</v>
      </c>
      <c r="X89" s="27">
        <f t="shared" si="24"/>
        <v>3.316888916579662E-2</v>
      </c>
      <c r="Y89" s="27">
        <f t="shared" si="24"/>
        <v>1.6248361886140199E-2</v>
      </c>
    </row>
    <row r="90" spans="1:25" x14ac:dyDescent="0.25">
      <c r="A90" s="21">
        <v>78</v>
      </c>
      <c r="C90" s="25">
        <f t="shared" si="19"/>
        <v>8.4444059615573863</v>
      </c>
      <c r="D90" s="23">
        <f>($B$4/CommAndSportFishingValues!$I$18)*FishHarvestTimeTrends!AC99*((1+'OriginalBCACalculations$2012'!D$10)^MIN('OriginalBCACalculations$2012'!$A90,20))</f>
        <v>2.5719345066129837</v>
      </c>
      <c r="E90" s="23">
        <f>($B$5/CommAndSportFishingValues!$I$19)*FishHarvestTimeTrends!AD99*((1+'OriginalBCACalculations$2012'!E$10)^MIN('OriginalBCACalculations$2012'!$A90,20))</f>
        <v>0.36524129148272416</v>
      </c>
      <c r="F90" s="23">
        <f t="shared" si="27"/>
        <v>8.251820100547933</v>
      </c>
      <c r="H90" s="22">
        <f t="shared" si="26"/>
        <v>3.9100000000000003E-2</v>
      </c>
      <c r="I90" s="22"/>
      <c r="J90" s="41"/>
      <c r="K90" s="41">
        <f t="shared" si="23"/>
        <v>8.4444059615573863</v>
      </c>
      <c r="L90" s="41">
        <f t="shared" si="23"/>
        <v>2.5719345066129837</v>
      </c>
      <c r="M90" s="41">
        <f t="shared" si="23"/>
        <v>0.36524129148272416</v>
      </c>
      <c r="N90" s="41">
        <f t="shared" si="23"/>
        <v>8.251820100547933</v>
      </c>
      <c r="O90" s="67"/>
      <c r="P90" s="41">
        <f t="shared" si="25"/>
        <v>3.9100000000000003E-2</v>
      </c>
      <c r="R90" s="27">
        <f t="shared" si="24"/>
        <v>2.7836899370862547</v>
      </c>
      <c r="S90" s="27">
        <f t="shared" si="24"/>
        <v>1.2938236285940419</v>
      </c>
      <c r="T90" s="27">
        <f t="shared" si="24"/>
        <v>0.6059093214324236</v>
      </c>
      <c r="U90" s="27">
        <f t="shared" si="24"/>
        <v>0.28586076867826776</v>
      </c>
      <c r="V90" s="27">
        <f t="shared" si="24"/>
        <v>0.13584815155648139</v>
      </c>
      <c r="W90" s="27">
        <f t="shared" si="24"/>
        <v>6.5019680502699628E-2</v>
      </c>
      <c r="X90" s="27">
        <f t="shared" si="24"/>
        <v>3.1337852644384212E-2</v>
      </c>
      <c r="Y90" s="27">
        <f t="shared" si="24"/>
        <v>1.5207925548033532E-2</v>
      </c>
    </row>
    <row r="91" spans="1:25" x14ac:dyDescent="0.25">
      <c r="A91" s="21">
        <v>79</v>
      </c>
      <c r="C91" s="25">
        <f t="shared" si="19"/>
        <v>8.4444059615573863</v>
      </c>
      <c r="D91" s="23">
        <f>($B$4/CommAndSportFishingValues!$I$18)*FishHarvestTimeTrends!AC100*((1+'OriginalBCACalculations$2012'!D$10)^MIN('OriginalBCACalculations$2012'!$A91,20))</f>
        <v>2.5719363450226922</v>
      </c>
      <c r="E91" s="23">
        <f>($B$5/CommAndSportFishingValues!$I$19)*FishHarvestTimeTrends!AD100*((1+'OriginalBCACalculations$2012'!E$10)^MIN('OriginalBCACalculations$2012'!$A91,20))</f>
        <v>0.36524148409287732</v>
      </c>
      <c r="F91" s="23">
        <f t="shared" si="27"/>
        <v>8.2559460105982065</v>
      </c>
      <c r="H91" s="22">
        <f t="shared" si="26"/>
        <v>3.9100000000000003E-2</v>
      </c>
      <c r="I91" s="22"/>
      <c r="J91" s="41"/>
      <c r="K91" s="41">
        <f t="shared" si="23"/>
        <v>8.4444059615573863</v>
      </c>
      <c r="L91" s="41">
        <f t="shared" si="23"/>
        <v>2.5719363450226922</v>
      </c>
      <c r="M91" s="41">
        <f t="shared" si="23"/>
        <v>0.36524148409287732</v>
      </c>
      <c r="N91" s="41">
        <f t="shared" si="23"/>
        <v>8.2559460105982065</v>
      </c>
      <c r="O91" s="67"/>
      <c r="P91" s="41">
        <f t="shared" si="25"/>
        <v>3.9100000000000003E-2</v>
      </c>
      <c r="R91" s="27">
        <f t="shared" si="24"/>
        <v>2.7878178781563889</v>
      </c>
      <c r="S91" s="27">
        <f t="shared" si="24"/>
        <v>1.2829131119092756</v>
      </c>
      <c r="T91" s="27">
        <f t="shared" si="24"/>
        <v>0.59490963328033886</v>
      </c>
      <c r="U91" s="27">
        <f t="shared" si="24"/>
        <v>0.27794628384264958</v>
      </c>
      <c r="V91" s="27">
        <f t="shared" si="24"/>
        <v>0.13081692416811699</v>
      </c>
      <c r="W91" s="27">
        <f t="shared" si="24"/>
        <v>6.2015331768141294E-2</v>
      </c>
      <c r="X91" s="27">
        <f t="shared" si="24"/>
        <v>2.9607852479083561E-2</v>
      </c>
      <c r="Y91" s="27">
        <f t="shared" si="24"/>
        <v>1.4234091047200933E-2</v>
      </c>
    </row>
    <row r="92" spans="1:25" x14ac:dyDescent="0.25">
      <c r="A92" s="21">
        <v>80</v>
      </c>
      <c r="C92" s="25">
        <f t="shared" si="19"/>
        <v>8.4444059615573863</v>
      </c>
      <c r="D92" s="23">
        <f>($B$4/CommAndSportFishingValues!$I$18)*FishHarvestTimeTrends!AC101*((1+'OriginalBCACalculations$2012'!D$10)^MIN('OriginalBCACalculations$2012'!$A92,20))</f>
        <v>2.571938183432402</v>
      </c>
      <c r="E92" s="23">
        <f>($B$5/CommAndSportFishingValues!$I$19)*FishHarvestTimeTrends!AD101*((1+'OriginalBCACalculations$2012'!E$10)^MIN('OriginalBCACalculations$2012'!$A92,20))</f>
        <v>0.36524167670303043</v>
      </c>
      <c r="F92" s="23">
        <f t="shared" si="27"/>
        <v>8.2600739836035046</v>
      </c>
      <c r="H92" s="22">
        <f t="shared" si="26"/>
        <v>3.9100000000000003E-2</v>
      </c>
      <c r="I92" s="22"/>
      <c r="J92" s="41"/>
      <c r="K92" s="41">
        <f t="shared" si="23"/>
        <v>8.4444059615573863</v>
      </c>
      <c r="L92" s="41">
        <f t="shared" si="23"/>
        <v>2.571938183432402</v>
      </c>
      <c r="M92" s="41">
        <f t="shared" si="23"/>
        <v>0.36524167670303043</v>
      </c>
      <c r="N92" s="41">
        <f t="shared" si="23"/>
        <v>8.2600739836035046</v>
      </c>
      <c r="O92" s="67"/>
      <c r="P92" s="41">
        <f t="shared" si="25"/>
        <v>3.9100000000000003E-2</v>
      </c>
      <c r="R92" s="27">
        <f t="shared" si="24"/>
        <v>2.7919478821815513</v>
      </c>
      <c r="S92" s="27">
        <f t="shared" si="24"/>
        <v>1.2720927519830585</v>
      </c>
      <c r="T92" s="27">
        <f t="shared" si="24"/>
        <v>0.5841087845931231</v>
      </c>
      <c r="U92" s="27">
        <f t="shared" si="24"/>
        <v>0.27025053057323639</v>
      </c>
      <c r="V92" s="27">
        <f t="shared" si="24"/>
        <v>0.12597184854699789</v>
      </c>
      <c r="W92" s="27">
        <f t="shared" si="24"/>
        <v>5.9149718272657047E-2</v>
      </c>
      <c r="X92" s="27">
        <f t="shared" si="24"/>
        <v>2.7973315980181927E-2</v>
      </c>
      <c r="Y92" s="27">
        <f t="shared" si="24"/>
        <v>1.3322596351965024E-2</v>
      </c>
    </row>
    <row r="93" spans="1:25" x14ac:dyDescent="0.25">
      <c r="A93" s="21">
        <v>81</v>
      </c>
      <c r="C93" s="25">
        <f t="shared" si="19"/>
        <v>8.4444059615573863</v>
      </c>
      <c r="D93" s="23">
        <f>($B$4/CommAndSportFishingValues!$I$18)*FishHarvestTimeTrends!AC102*((1+'OriginalBCACalculations$2012'!D$10)^MIN('OriginalBCACalculations$2012'!$A93,20))</f>
        <v>2.5719400218421118</v>
      </c>
      <c r="E93" s="23">
        <f>($B$5/CommAndSportFishingValues!$I$19)*FishHarvestTimeTrends!AD102*((1+'OriginalBCACalculations$2012'!E$10)^MIN('OriginalBCACalculations$2012'!$A93,20))</f>
        <v>0.36524186931318348</v>
      </c>
      <c r="F93" s="23">
        <f t="shared" si="27"/>
        <v>8.2642040205953062</v>
      </c>
      <c r="H93" s="22">
        <f t="shared" si="26"/>
        <v>3.9100000000000003E-2</v>
      </c>
      <c r="I93" s="22"/>
      <c r="J93" s="41"/>
      <c r="K93" s="41">
        <f t="shared" si="23"/>
        <v>8.4444059615573863</v>
      </c>
      <c r="L93" s="41">
        <f t="shared" si="23"/>
        <v>2.5719400218421118</v>
      </c>
      <c r="M93" s="41">
        <f t="shared" si="23"/>
        <v>0.36524186931318348</v>
      </c>
      <c r="N93" s="41">
        <f t="shared" si="23"/>
        <v>8.2642040205953062</v>
      </c>
      <c r="O93" s="67"/>
      <c r="P93" s="41">
        <f t="shared" si="25"/>
        <v>3.9100000000000003E-2</v>
      </c>
      <c r="R93" s="27">
        <f t="shared" si="24"/>
        <v>2.7960799501932154</v>
      </c>
      <c r="S93" s="27">
        <f t="shared" si="24"/>
        <v>1.2613618242456377</v>
      </c>
      <c r="T93" s="27">
        <f t="shared" si="24"/>
        <v>0.573503198516367</v>
      </c>
      <c r="U93" s="27">
        <f t="shared" si="24"/>
        <v>0.26276747565114023</v>
      </c>
      <c r="V93" s="27">
        <f t="shared" si="24"/>
        <v>0.12130604443523174</v>
      </c>
      <c r="W93" s="27">
        <f t="shared" si="24"/>
        <v>5.6416437658101996E-2</v>
      </c>
      <c r="X93" s="27">
        <f t="shared" si="24"/>
        <v>2.6428977678308044E-2</v>
      </c>
      <c r="Y93" s="27">
        <f t="shared" si="24"/>
        <v>1.2469452078211117E-2</v>
      </c>
    </row>
    <row r="94" spans="1:25" x14ac:dyDescent="0.25">
      <c r="A94" s="21">
        <v>82</v>
      </c>
      <c r="C94" s="25">
        <f t="shared" si="19"/>
        <v>8.4444059615573863</v>
      </c>
      <c r="D94" s="23">
        <f>($B$4/CommAndSportFishingValues!$I$18)*FishHarvestTimeTrends!AC103*((1+'OriginalBCACalculations$2012'!D$10)^MIN('OriginalBCACalculations$2012'!$A94,20))</f>
        <v>2.5719418602518211</v>
      </c>
      <c r="E94" s="23">
        <f>($B$5/CommAndSportFishingValues!$I$19)*FishHarvestTimeTrends!AD103*((1+'OriginalBCACalculations$2012'!E$10)^MIN('OriginalBCACalculations$2012'!$A94,20))</f>
        <v>0.36524206192333658</v>
      </c>
      <c r="F94" s="23">
        <f t="shared" si="27"/>
        <v>8.2683361226056036</v>
      </c>
      <c r="H94" s="22">
        <f t="shared" si="26"/>
        <v>3.9100000000000003E-2</v>
      </c>
      <c r="I94" s="22"/>
      <c r="J94" s="41"/>
      <c r="K94" s="41">
        <f t="shared" si="23"/>
        <v>8.4444059615573863</v>
      </c>
      <c r="L94" s="41">
        <f t="shared" si="23"/>
        <v>2.5719418602518211</v>
      </c>
      <c r="M94" s="41">
        <f t="shared" si="23"/>
        <v>0.36524206192333658</v>
      </c>
      <c r="N94" s="41">
        <f t="shared" si="23"/>
        <v>8.2683361226056036</v>
      </c>
      <c r="O94" s="67"/>
      <c r="P94" s="41">
        <f t="shared" si="25"/>
        <v>3.9100000000000003E-2</v>
      </c>
      <c r="R94" s="27">
        <f t="shared" ref="R94:Y109" si="28">(SUM($D94:$H94)-SUM($B94:$C94))/((1+R$10)^($A94-1))</f>
        <v>2.8002140832233753</v>
      </c>
      <c r="S94" s="27">
        <f t="shared" si="28"/>
        <v>1.2507196097203086</v>
      </c>
      <c r="T94" s="27">
        <f t="shared" si="28"/>
        <v>0.56308936217489014</v>
      </c>
      <c r="U94" s="27">
        <f t="shared" si="28"/>
        <v>0.25549125191298738</v>
      </c>
      <c r="V94" s="27">
        <f t="shared" si="28"/>
        <v>0.11681288558736823</v>
      </c>
      <c r="W94" s="27">
        <f t="shared" si="28"/>
        <v>5.3809382819480167E-2</v>
      </c>
      <c r="X94" s="27">
        <f t="shared" si="28"/>
        <v>2.496986239572432E-2</v>
      </c>
      <c r="Y94" s="27">
        <f t="shared" si="28"/>
        <v>1.1670924053844721E-2</v>
      </c>
    </row>
    <row r="95" spans="1:25" x14ac:dyDescent="0.25">
      <c r="A95" s="21">
        <v>83</v>
      </c>
      <c r="C95" s="25">
        <f t="shared" si="19"/>
        <v>8.4444059615573863</v>
      </c>
      <c r="D95" s="23">
        <f>($B$4/CommAndSportFishingValues!$I$18)*FishHarvestTimeTrends!AC104*((1+'OriginalBCACalculations$2012'!D$10)^MIN('OriginalBCACalculations$2012'!$A95,20))</f>
        <v>2.5719436986615305</v>
      </c>
      <c r="E95" s="23">
        <f>($B$5/CommAndSportFishingValues!$I$19)*FishHarvestTimeTrends!AD104*((1+'OriginalBCACalculations$2012'!E$10)^MIN('OriginalBCACalculations$2012'!$A95,20))</f>
        <v>0.36524225453348969</v>
      </c>
      <c r="F95" s="23">
        <f t="shared" si="27"/>
        <v>8.2724702906669059</v>
      </c>
      <c r="H95" s="22">
        <f t="shared" si="26"/>
        <v>3.9100000000000003E-2</v>
      </c>
      <c r="I95" s="22"/>
      <c r="J95" s="41"/>
      <c r="K95" s="41">
        <f t="shared" si="23"/>
        <v>8.4444059615573863</v>
      </c>
      <c r="L95" s="41">
        <f t="shared" si="23"/>
        <v>2.5719436986615305</v>
      </c>
      <c r="M95" s="41">
        <f t="shared" si="23"/>
        <v>0.36524225453348969</v>
      </c>
      <c r="N95" s="41">
        <f t="shared" si="23"/>
        <v>8.2724702906669059</v>
      </c>
      <c r="O95" s="67"/>
      <c r="P95" s="41">
        <f t="shared" si="25"/>
        <v>3.9100000000000003E-2</v>
      </c>
      <c r="R95" s="27">
        <f t="shared" si="28"/>
        <v>2.8043502823045383</v>
      </c>
      <c r="S95" s="27">
        <f t="shared" si="28"/>
        <v>1.2401653949828995</v>
      </c>
      <c r="T95" s="27">
        <f t="shared" si="28"/>
        <v>0.5528638255359174</v>
      </c>
      <c r="U95" s="27">
        <f t="shared" si="28"/>
        <v>0.24841615369128911</v>
      </c>
      <c r="V95" s="27">
        <f t="shared" si="28"/>
        <v>0.11248599040377651</v>
      </c>
      <c r="W95" s="27">
        <f t="shared" si="28"/>
        <v>5.1322728298836814E-2</v>
      </c>
      <c r="X95" s="27">
        <f t="shared" si="28"/>
        <v>2.3591269249963798E-2</v>
      </c>
      <c r="Y95" s="27">
        <f t="shared" si="28"/>
        <v>1.092351699783168E-2</v>
      </c>
    </row>
    <row r="96" spans="1:25" x14ac:dyDescent="0.25">
      <c r="A96" s="21">
        <v>84</v>
      </c>
      <c r="C96" s="25">
        <f t="shared" si="19"/>
        <v>8.4444059615573863</v>
      </c>
      <c r="D96" s="23">
        <f>($B$4/CommAndSportFishingValues!$I$18)*FishHarvestTimeTrends!AC105*((1+'OriginalBCACalculations$2012'!D$10)^MIN('OriginalBCACalculations$2012'!$A96,20))</f>
        <v>2.5719455370712399</v>
      </c>
      <c r="E96" s="23">
        <f>($B$5/CommAndSportFishingValues!$I$19)*FishHarvestTimeTrends!AD105*((1+'OriginalBCACalculations$2012'!E$10)^MIN('OriginalBCACalculations$2012'!$A96,20))</f>
        <v>0.36524244714364273</v>
      </c>
      <c r="F96" s="23">
        <f t="shared" si="27"/>
        <v>8.2766065258122392</v>
      </c>
      <c r="H96" s="22">
        <f t="shared" si="26"/>
        <v>3.9100000000000003E-2</v>
      </c>
      <c r="I96" s="22"/>
      <c r="J96" s="41"/>
      <c r="K96" s="41">
        <f t="shared" si="23"/>
        <v>8.4444059615573863</v>
      </c>
      <c r="L96" s="41">
        <f t="shared" si="23"/>
        <v>2.5719455370712399</v>
      </c>
      <c r="M96" s="41">
        <f t="shared" si="23"/>
        <v>0.36524244714364273</v>
      </c>
      <c r="N96" s="41">
        <f t="shared" si="23"/>
        <v>8.2766065258122392</v>
      </c>
      <c r="O96" s="67"/>
      <c r="P96" s="41">
        <f t="shared" si="25"/>
        <v>3.9100000000000003E-2</v>
      </c>
      <c r="R96" s="27">
        <f t="shared" si="28"/>
        <v>2.8084885484697342</v>
      </c>
      <c r="S96" s="27">
        <f t="shared" si="28"/>
        <v>1.229698472121534</v>
      </c>
      <c r="T96" s="27">
        <f t="shared" si="28"/>
        <v>0.54282320029230191</v>
      </c>
      <c r="U96" s="27">
        <f t="shared" si="28"/>
        <v>0.24153663237968506</v>
      </c>
      <c r="V96" s="27">
        <f t="shared" si="28"/>
        <v>0.10831921290896873</v>
      </c>
      <c r="W96" s="27">
        <f t="shared" si="28"/>
        <v>4.8950917305678111E-2</v>
      </c>
      <c r="X96" s="27">
        <f t="shared" si="28"/>
        <v>2.2288756538490689E-2</v>
      </c>
      <c r="Y96" s="27">
        <f t="shared" si="28"/>
        <v>1.0223959242597161E-2</v>
      </c>
    </row>
    <row r="97" spans="1:25" x14ac:dyDescent="0.25">
      <c r="A97" s="21">
        <v>85</v>
      </c>
      <c r="C97" s="25">
        <f t="shared" si="19"/>
        <v>8.4444059615573863</v>
      </c>
      <c r="D97" s="23">
        <f>($B$4/CommAndSportFishingValues!$I$18)*FishHarvestTimeTrends!AC106*((1+'OriginalBCACalculations$2012'!D$10)^MIN('OriginalBCACalculations$2012'!$A97,20))</f>
        <v>2.5719473754809492</v>
      </c>
      <c r="E97" s="23">
        <f>($B$5/CommAndSportFishingValues!$I$19)*FishHarvestTimeTrends!AD106*((1+'OriginalBCACalculations$2012'!E$10)^MIN('OriginalBCACalculations$2012'!$A97,20))</f>
        <v>0.36524263975379578</v>
      </c>
      <c r="F97" s="23">
        <f t="shared" si="27"/>
        <v>8.2807448290751449</v>
      </c>
      <c r="H97" s="22">
        <f t="shared" si="26"/>
        <v>3.9100000000000003E-2</v>
      </c>
      <c r="I97" s="22"/>
      <c r="J97" s="41"/>
      <c r="K97" s="41">
        <f t="shared" si="23"/>
        <v>8.4444059615573863</v>
      </c>
      <c r="L97" s="41">
        <f t="shared" si="23"/>
        <v>2.5719473754809492</v>
      </c>
      <c r="M97" s="41">
        <f t="shared" si="23"/>
        <v>0.36524263975379578</v>
      </c>
      <c r="N97" s="41">
        <f t="shared" si="23"/>
        <v>8.2807448290751449</v>
      </c>
      <c r="O97" s="67"/>
      <c r="P97" s="41">
        <f t="shared" si="25"/>
        <v>3.9100000000000003E-2</v>
      </c>
      <c r="R97" s="27">
        <f t="shared" si="28"/>
        <v>2.8126288827525041</v>
      </c>
      <c r="S97" s="27">
        <f t="shared" si="28"/>
        <v>1.2193181386966392</v>
      </c>
      <c r="T97" s="27">
        <f t="shared" si="28"/>
        <v>0.53296415876543346</v>
      </c>
      <c r="U97" s="27">
        <f t="shared" si="28"/>
        <v>0.23484729211964914</v>
      </c>
      <c r="V97" s="27">
        <f t="shared" si="28"/>
        <v>0.10430663406218187</v>
      </c>
      <c r="W97" s="27">
        <f t="shared" si="28"/>
        <v>4.6688649335091474E-2</v>
      </c>
      <c r="X97" s="27">
        <f t="shared" si="28"/>
        <v>2.105812745588647E-2</v>
      </c>
      <c r="Y97" s="27">
        <f t="shared" si="28"/>
        <v>9.5691884331090115E-3</v>
      </c>
    </row>
    <row r="98" spans="1:25" x14ac:dyDescent="0.25">
      <c r="A98" s="21">
        <v>86</v>
      </c>
      <c r="C98" s="25">
        <f t="shared" ref="C98:C112" si="29">C97</f>
        <v>8.4444059615573863</v>
      </c>
      <c r="D98" s="23">
        <f>($B$4/CommAndSportFishingValues!$I$18)*FishHarvestTimeTrends!AC107*((1+'OriginalBCACalculations$2012'!D$10)^MIN('OriginalBCACalculations$2012'!$A98,20))</f>
        <v>2.571949213890659</v>
      </c>
      <c r="E98" s="23">
        <f>($B$5/CommAndSportFishingValues!$I$19)*FishHarvestTimeTrends!AD107*((1+'OriginalBCACalculations$2012'!E$10)^MIN('OriginalBCACalculations$2012'!$A98,20))</f>
        <v>0.36524283236394894</v>
      </c>
      <c r="F98" s="23">
        <f t="shared" si="27"/>
        <v>8.2848852014896828</v>
      </c>
      <c r="H98" s="22">
        <f t="shared" si="26"/>
        <v>3.9100000000000003E-2</v>
      </c>
      <c r="I98" s="22"/>
      <c r="J98" s="41"/>
      <c r="K98" s="41">
        <f t="shared" si="23"/>
        <v>8.4444059615573863</v>
      </c>
      <c r="L98" s="41">
        <f t="shared" si="23"/>
        <v>2.571949213890659</v>
      </c>
      <c r="M98" s="41">
        <f t="shared" si="23"/>
        <v>0.36524283236394894</v>
      </c>
      <c r="N98" s="41">
        <f t="shared" si="23"/>
        <v>8.2848852014896828</v>
      </c>
      <c r="O98" s="67"/>
      <c r="P98" s="41">
        <f t="shared" si="25"/>
        <v>3.9100000000000003E-2</v>
      </c>
      <c r="R98" s="27">
        <f t="shared" si="28"/>
        <v>2.8167712861869045</v>
      </c>
      <c r="S98" s="27">
        <f t="shared" si="28"/>
        <v>1.2090236977012219</v>
      </c>
      <c r="T98" s="27">
        <f t="shared" si="28"/>
        <v>0.52328343282749823</v>
      </c>
      <c r="U98" s="27">
        <f t="shared" si="28"/>
        <v>0.2283428856053423</v>
      </c>
      <c r="V98" s="27">
        <f t="shared" si="28"/>
        <v>0.10044255338799986</v>
      </c>
      <c r="W98" s="27">
        <f t="shared" si="28"/>
        <v>4.4530868356065394E-2</v>
      </c>
      <c r="X98" s="27">
        <f t="shared" si="28"/>
        <v>1.9895416597732009E-2</v>
      </c>
      <c r="Y98" s="27">
        <f t="shared" si="28"/>
        <v>8.9563381402303181E-3</v>
      </c>
    </row>
    <row r="99" spans="1:25" x14ac:dyDescent="0.25">
      <c r="A99" s="21">
        <v>87</v>
      </c>
      <c r="C99" s="25">
        <f t="shared" si="29"/>
        <v>8.4444059615573863</v>
      </c>
      <c r="D99" s="23">
        <f>($B$4/CommAndSportFishingValues!$I$18)*FishHarvestTimeTrends!AC108*((1+'OriginalBCACalculations$2012'!D$10)^MIN('OriginalBCACalculations$2012'!$A99,20))</f>
        <v>2.5719510523003684</v>
      </c>
      <c r="E99" s="23">
        <f>($B$5/CommAndSportFishingValues!$I$19)*FishHarvestTimeTrends!AD108*((1+'OriginalBCACalculations$2012'!E$10)^MIN('OriginalBCACalculations$2012'!$A99,20))</f>
        <v>0.36524302497410199</v>
      </c>
      <c r="F99" s="23">
        <f t="shared" si="27"/>
        <v>8.289027644090428</v>
      </c>
      <c r="H99" s="22">
        <f t="shared" si="26"/>
        <v>3.9100000000000003E-2</v>
      </c>
      <c r="I99" s="22"/>
      <c r="J99" s="41"/>
      <c r="K99" s="41">
        <f t="shared" si="23"/>
        <v>8.4444059615573863</v>
      </c>
      <c r="L99" s="41">
        <f t="shared" si="23"/>
        <v>2.5719510523003684</v>
      </c>
      <c r="M99" s="41">
        <f t="shared" si="23"/>
        <v>0.36524302497410199</v>
      </c>
      <c r="N99" s="41">
        <f t="shared" si="23"/>
        <v>8.289027644090428</v>
      </c>
      <c r="O99" s="67"/>
      <c r="P99" s="41">
        <f t="shared" si="25"/>
        <v>3.9100000000000003E-2</v>
      </c>
      <c r="R99" s="27">
        <f t="shared" si="28"/>
        <v>2.8209157598075105</v>
      </c>
      <c r="S99" s="27">
        <f t="shared" si="28"/>
        <v>1.1988144575213988</v>
      </c>
      <c r="T99" s="27">
        <f t="shared" si="28"/>
        <v>0.51377781284274637</v>
      </c>
      <c r="U99" s="27">
        <f t="shared" si="28"/>
        <v>0.22201831000338421</v>
      </c>
      <c r="V99" s="27">
        <f t="shared" si="28"/>
        <v>9.6721480915244254E-2</v>
      </c>
      <c r="W99" s="27">
        <f t="shared" si="28"/>
        <v>4.2472751543771517E-2</v>
      </c>
      <c r="X99" s="27">
        <f t="shared" si="28"/>
        <v>1.8796877207877469E-2</v>
      </c>
      <c r="Y99" s="27">
        <f t="shared" si="28"/>
        <v>8.3827253299129569E-3</v>
      </c>
    </row>
    <row r="100" spans="1:25" x14ac:dyDescent="0.25">
      <c r="A100" s="21">
        <v>88</v>
      </c>
      <c r="C100" s="25">
        <f t="shared" si="29"/>
        <v>8.4444059615573863</v>
      </c>
      <c r="D100" s="23">
        <f>($B$4/CommAndSportFishingValues!$I$18)*FishHarvestTimeTrends!AC109*((1+'OriginalBCACalculations$2012'!D$10)^MIN('OriginalBCACalculations$2012'!$A100,20))</f>
        <v>2.5719528907100777</v>
      </c>
      <c r="E100" s="23">
        <f>($B$5/CommAndSportFishingValues!$I$19)*FishHarvestTimeTrends!AD109*((1+'OriginalBCACalculations$2012'!E$10)^MIN('OriginalBCACalculations$2012'!$A100,20))</f>
        <v>0.36524321758425521</v>
      </c>
      <c r="F100" s="23">
        <f t="shared" si="27"/>
        <v>8.2931721579124726</v>
      </c>
      <c r="H100" s="22">
        <f t="shared" si="26"/>
        <v>3.9100000000000003E-2</v>
      </c>
      <c r="I100" s="22"/>
      <c r="J100" s="41"/>
      <c r="K100" s="41">
        <f t="shared" si="23"/>
        <v>8.4444059615573863</v>
      </c>
      <c r="L100" s="41">
        <f t="shared" si="23"/>
        <v>2.5719528907100777</v>
      </c>
      <c r="M100" s="41">
        <f t="shared" si="23"/>
        <v>0.36524321758425521</v>
      </c>
      <c r="N100" s="41">
        <f t="shared" si="23"/>
        <v>8.2931721579124726</v>
      </c>
      <c r="O100" s="67"/>
      <c r="P100" s="41">
        <f t="shared" si="25"/>
        <v>3.9100000000000003E-2</v>
      </c>
      <c r="R100" s="27">
        <f t="shared" si="28"/>
        <v>2.8250623046494194</v>
      </c>
      <c r="S100" s="27">
        <f t="shared" si="28"/>
        <v>1.1886897318971894</v>
      </c>
      <c r="T100" s="27">
        <f t="shared" si="28"/>
        <v>0.50444414662743708</v>
      </c>
      <c r="U100" s="27">
        <f t="shared" si="28"/>
        <v>0.2158686029844053</v>
      </c>
      <c r="V100" s="27">
        <f t="shared" si="28"/>
        <v>9.3138129412794368E-2</v>
      </c>
      <c r="W100" s="27">
        <f t="shared" si="28"/>
        <v>4.050969853077812E-2</v>
      </c>
      <c r="X100" s="27">
        <f t="shared" si="28"/>
        <v>1.7758969128174436E-2</v>
      </c>
      <c r="Y100" s="27">
        <f t="shared" si="28"/>
        <v>7.8458386335364151E-3</v>
      </c>
    </row>
    <row r="101" spans="1:25" x14ac:dyDescent="0.25">
      <c r="A101" s="21">
        <v>89</v>
      </c>
      <c r="C101" s="25">
        <f t="shared" si="29"/>
        <v>8.4444059615573863</v>
      </c>
      <c r="D101" s="23">
        <f>($B$4/CommAndSportFishingValues!$I$18)*FishHarvestTimeTrends!AC110*((1+'OriginalBCACalculations$2012'!D$10)^MIN('OriginalBCACalculations$2012'!$A101,20))</f>
        <v>2.5719547291197866</v>
      </c>
      <c r="E101" s="23">
        <f>($B$5/CommAndSportFishingValues!$I$19)*FishHarvestTimeTrends!AD110*((1+'OriginalBCACalculations$2012'!E$10)^MIN('OriginalBCACalculations$2012'!$A101,20))</f>
        <v>0.3652434101944082</v>
      </c>
      <c r="F101" s="23">
        <f t="shared" si="27"/>
        <v>8.2973187439914291</v>
      </c>
      <c r="H101" s="22">
        <f t="shared" si="26"/>
        <v>3.9100000000000003E-2</v>
      </c>
      <c r="I101" s="22"/>
      <c r="J101" s="41"/>
      <c r="K101" s="41">
        <f t="shared" si="23"/>
        <v>8.4444059615573863</v>
      </c>
      <c r="L101" s="41">
        <f t="shared" si="23"/>
        <v>2.5719547291197866</v>
      </c>
      <c r="M101" s="41">
        <f t="shared" si="23"/>
        <v>0.3652434101944082</v>
      </c>
      <c r="N101" s="41">
        <f t="shared" si="23"/>
        <v>8.2973187439914291</v>
      </c>
      <c r="O101" s="67"/>
      <c r="P101" s="41">
        <f t="shared" si="25"/>
        <v>3.9100000000000003E-2</v>
      </c>
      <c r="R101" s="27">
        <f t="shared" si="28"/>
        <v>2.8292109217482366</v>
      </c>
      <c r="S101" s="27">
        <f t="shared" si="28"/>
        <v>1.1786488398835453</v>
      </c>
      <c r="T101" s="27">
        <f t="shared" si="28"/>
        <v>0.49527933842813027</v>
      </c>
      <c r="U101" s="27">
        <f t="shared" si="28"/>
        <v>0.20988893886332438</v>
      </c>
      <c r="V101" s="27">
        <f t="shared" si="28"/>
        <v>8.9687406911414483E-2</v>
      </c>
      <c r="W101" s="27">
        <f t="shared" si="28"/>
        <v>3.8637321153314648E-2</v>
      </c>
      <c r="X101" s="27">
        <f t="shared" si="28"/>
        <v>1.6778347411996776E-2</v>
      </c>
      <c r="Y101" s="27">
        <f t="shared" si="28"/>
        <v>7.3433273681904323E-3</v>
      </c>
    </row>
    <row r="102" spans="1:25" x14ac:dyDescent="0.25">
      <c r="A102" s="21">
        <v>90</v>
      </c>
      <c r="C102" s="25">
        <f t="shared" si="29"/>
        <v>8.4444059615573863</v>
      </c>
      <c r="D102" s="23">
        <f>($B$4/CommAndSportFishingValues!$I$18)*FishHarvestTimeTrends!AC111*((1+'OriginalBCACalculations$2012'!D$10)^MIN('OriginalBCACalculations$2012'!$A102,20))</f>
        <v>2.5719565675294964</v>
      </c>
      <c r="E102" s="23">
        <f>($B$5/CommAndSportFishingValues!$I$19)*FishHarvestTimeTrends!AD111*((1+'OriginalBCACalculations$2012'!E$10)^MIN('OriginalBCACalculations$2012'!$A102,20))</f>
        <v>0.36524360280456131</v>
      </c>
      <c r="F102" s="23">
        <f t="shared" si="27"/>
        <v>8.301467403363425</v>
      </c>
      <c r="H102" s="22">
        <f t="shared" si="26"/>
        <v>3.9100000000000003E-2</v>
      </c>
      <c r="I102" s="22"/>
      <c r="J102" s="41"/>
      <c r="K102" s="41">
        <f t="shared" si="23"/>
        <v>8.4444059615573863</v>
      </c>
      <c r="L102" s="41">
        <f t="shared" si="23"/>
        <v>2.5719565675294964</v>
      </c>
      <c r="M102" s="41">
        <f t="shared" si="23"/>
        <v>0.36524360280456131</v>
      </c>
      <c r="N102" s="41">
        <f t="shared" si="23"/>
        <v>8.301467403363425</v>
      </c>
      <c r="O102" s="67"/>
      <c r="P102" s="41">
        <f t="shared" si="25"/>
        <v>3.9100000000000003E-2</v>
      </c>
      <c r="R102" s="27">
        <f t="shared" si="28"/>
        <v>2.8333616121400969</v>
      </c>
      <c r="S102" s="27">
        <f t="shared" si="28"/>
        <v>1.1686911058116598</v>
      </c>
      <c r="T102" s="27">
        <f t="shared" si="28"/>
        <v>0.48628034791801628</v>
      </c>
      <c r="U102" s="27">
        <f t="shared" si="28"/>
        <v>0.20407462484538452</v>
      </c>
      <c r="V102" s="27">
        <f t="shared" si="28"/>
        <v>8.6364409501068357E-2</v>
      </c>
      <c r="W102" s="27">
        <f t="shared" si="28"/>
        <v>3.6851433669805866E-2</v>
      </c>
      <c r="X102" s="27">
        <f t="shared" si="28"/>
        <v>1.5851851565004713E-2</v>
      </c>
      <c r="Y102" s="27">
        <f t="shared" si="28"/>
        <v>6.8729912589711173E-3</v>
      </c>
    </row>
    <row r="103" spans="1:25" x14ac:dyDescent="0.25">
      <c r="A103" s="21">
        <v>91</v>
      </c>
      <c r="C103" s="25">
        <f t="shared" si="29"/>
        <v>8.4444059615573863</v>
      </c>
      <c r="D103" s="23">
        <f>($B$4/CommAndSportFishingValues!$I$18)*FishHarvestTimeTrends!AC112*((1+'OriginalBCACalculations$2012'!D$10)^MIN('OriginalBCACalculations$2012'!$A103,20))</f>
        <v>2.5719584059392062</v>
      </c>
      <c r="E103" s="23">
        <f>($B$5/CommAndSportFishingValues!$I$19)*FishHarvestTimeTrends!AD112*((1+'OriginalBCACalculations$2012'!E$10)^MIN('OriginalBCACalculations$2012'!$A103,20))</f>
        <v>0.36524379541471436</v>
      </c>
      <c r="F103" s="23">
        <f t="shared" si="27"/>
        <v>8.3056181370651068</v>
      </c>
      <c r="H103" s="22">
        <f t="shared" si="26"/>
        <v>3.9100000000000003E-2</v>
      </c>
      <c r="I103" s="22"/>
      <c r="J103" s="41"/>
      <c r="K103" s="41">
        <f t="shared" si="23"/>
        <v>8.4444059615573863</v>
      </c>
      <c r="L103" s="41">
        <f t="shared" si="23"/>
        <v>2.5719584059392062</v>
      </c>
      <c r="M103" s="41">
        <f t="shared" si="23"/>
        <v>0.36524379541471436</v>
      </c>
      <c r="N103" s="41">
        <f t="shared" si="23"/>
        <v>8.3056181370651068</v>
      </c>
      <c r="O103" s="67"/>
      <c r="P103" s="41">
        <f t="shared" si="25"/>
        <v>3.9100000000000003E-2</v>
      </c>
      <c r="R103" s="27">
        <f t="shared" si="28"/>
        <v>2.8375143768616411</v>
      </c>
      <c r="S103" s="27">
        <f t="shared" si="28"/>
        <v>1.1588158592505038</v>
      </c>
      <c r="T103" s="27">
        <f t="shared" si="28"/>
        <v>0.47744418921095</v>
      </c>
      <c r="U103" s="27">
        <f t="shared" si="28"/>
        <v>0.19842109737505348</v>
      </c>
      <c r="V103" s="27">
        <f t="shared" si="28"/>
        <v>8.316441439358388E-2</v>
      </c>
      <c r="W103" s="27">
        <f t="shared" si="28"/>
        <v>3.5148043429940379E-2</v>
      </c>
      <c r="X103" s="27">
        <f t="shared" si="28"/>
        <v>1.4976495378617194E-2</v>
      </c>
      <c r="Y103" s="27">
        <f t="shared" si="28"/>
        <v>6.4327708184220584E-3</v>
      </c>
    </row>
    <row r="104" spans="1:25" x14ac:dyDescent="0.25">
      <c r="A104" s="21">
        <v>92</v>
      </c>
      <c r="C104" s="25">
        <f t="shared" si="29"/>
        <v>8.4444059615573863</v>
      </c>
      <c r="D104" s="23">
        <f>($B$4/CommAndSportFishingValues!$I$18)*FishHarvestTimeTrends!AC113*((1+'OriginalBCACalculations$2012'!D$10)^MIN('OriginalBCACalculations$2012'!$A104,20))</f>
        <v>2.5719602443489156</v>
      </c>
      <c r="E104" s="23">
        <f>($B$5/CommAndSportFishingValues!$I$19)*FishHarvestTimeTrends!AD113*((1+'OriginalBCACalculations$2012'!E$10)^MIN('OriginalBCACalculations$2012'!$A104,20))</f>
        <v>0.36524398802486752</v>
      </c>
      <c r="F104" s="23">
        <f t="shared" si="27"/>
        <v>8.3097709461336393</v>
      </c>
      <c r="H104" s="22">
        <f t="shared" si="26"/>
        <v>3.9100000000000003E-2</v>
      </c>
      <c r="I104" s="22"/>
      <c r="J104" s="41"/>
      <c r="K104" s="41">
        <f t="shared" si="23"/>
        <v>8.4444059615573863</v>
      </c>
      <c r="L104" s="41">
        <f t="shared" si="23"/>
        <v>2.5719602443489156</v>
      </c>
      <c r="M104" s="41">
        <f t="shared" si="23"/>
        <v>0.36524398802486752</v>
      </c>
      <c r="N104" s="41">
        <f t="shared" si="23"/>
        <v>8.3097709461336393</v>
      </c>
      <c r="O104" s="67"/>
      <c r="P104" s="41">
        <f t="shared" si="25"/>
        <v>3.9100000000000003E-2</v>
      </c>
      <c r="R104" s="27">
        <f t="shared" si="28"/>
        <v>2.8416692169500362</v>
      </c>
      <c r="S104" s="27">
        <f t="shared" si="28"/>
        <v>1.149022434968632</v>
      </c>
      <c r="T104" s="27">
        <f t="shared" si="28"/>
        <v>0.46876792989289873</v>
      </c>
      <c r="U104" s="27">
        <f t="shared" si="28"/>
        <v>0.19292391858498298</v>
      </c>
      <c r="V104" s="27">
        <f t="shared" si="28"/>
        <v>8.0082873240908126E-2</v>
      </c>
      <c r="W104" s="27">
        <f t="shared" si="28"/>
        <v>3.3523341973538998E-2</v>
      </c>
      <c r="X104" s="27">
        <f t="shared" si="28"/>
        <v>1.4149457323558573E-2</v>
      </c>
      <c r="Y104" s="27">
        <f t="shared" si="28"/>
        <v>6.0207383411189572E-3</v>
      </c>
    </row>
    <row r="105" spans="1:25" x14ac:dyDescent="0.25">
      <c r="A105" s="21">
        <v>93</v>
      </c>
      <c r="C105" s="25">
        <f t="shared" si="29"/>
        <v>8.4444059615573863</v>
      </c>
      <c r="D105" s="23">
        <f>($B$4/CommAndSportFishingValues!$I$18)*FishHarvestTimeTrends!AC114*((1+'OriginalBCACalculations$2012'!D$10)^MIN('OriginalBCACalculations$2012'!$A105,20))</f>
        <v>2.5719620827586249</v>
      </c>
      <c r="E105" s="23">
        <f>($B$5/CommAndSportFishingValues!$I$19)*FishHarvestTimeTrends!AD114*((1+'OriginalBCACalculations$2012'!E$10)^MIN('OriginalBCACalculations$2012'!$A105,20))</f>
        <v>0.36524418063502051</v>
      </c>
      <c r="F105" s="23">
        <f t="shared" si="27"/>
        <v>8.3139258316067064</v>
      </c>
      <c r="H105" s="22">
        <f t="shared" si="26"/>
        <v>3.9100000000000003E-2</v>
      </c>
      <c r="I105" s="22"/>
      <c r="J105" s="41"/>
      <c r="K105" s="41">
        <f t="shared" si="23"/>
        <v>8.4444059615573863</v>
      </c>
      <c r="L105" s="41">
        <f t="shared" si="23"/>
        <v>2.5719620827586249</v>
      </c>
      <c r="M105" s="41">
        <f t="shared" si="23"/>
        <v>0.36524418063502051</v>
      </c>
      <c r="N105" s="41">
        <f t="shared" si="23"/>
        <v>8.3139258316067064</v>
      </c>
      <c r="O105" s="67"/>
      <c r="P105" s="41">
        <f t="shared" si="25"/>
        <v>3.9100000000000003E-2</v>
      </c>
      <c r="R105" s="27">
        <f t="shared" si="28"/>
        <v>2.845826133442964</v>
      </c>
      <c r="S105" s="27">
        <f t="shared" si="28"/>
        <v>1.139310172896226</v>
      </c>
      <c r="T105" s="27">
        <f t="shared" si="28"/>
        <v>0.46024869007048419</v>
      </c>
      <c r="U105" s="27">
        <f t="shared" si="28"/>
        <v>0.18757877284228741</v>
      </c>
      <c r="V105" s="27">
        <f t="shared" si="28"/>
        <v>7.7115405699546932E-2</v>
      </c>
      <c r="W105" s="27">
        <f t="shared" si="28"/>
        <v>3.1973696539440918E-2</v>
      </c>
      <c r="X105" s="27">
        <f t="shared" si="28"/>
        <v>1.3368071472640849E-2</v>
      </c>
      <c r="Y105" s="27">
        <f t="shared" si="28"/>
        <v>5.6350894740794756E-3</v>
      </c>
    </row>
    <row r="106" spans="1:25" x14ac:dyDescent="0.25">
      <c r="A106" s="21">
        <v>94</v>
      </c>
      <c r="C106" s="25">
        <f t="shared" si="29"/>
        <v>8.4444059615573863</v>
      </c>
      <c r="D106" s="23">
        <f>($B$4/CommAndSportFishingValues!$I$18)*FishHarvestTimeTrends!AC115*((1+'OriginalBCACalculations$2012'!D$10)^MIN('OriginalBCACalculations$2012'!$A106,20))</f>
        <v>2.5719639211683347</v>
      </c>
      <c r="E106" s="23">
        <f>($B$5/CommAndSportFishingValues!$I$19)*FishHarvestTimeTrends!AD115*((1+'OriginalBCACalculations$2012'!E$10)^MIN('OriginalBCACalculations$2012'!$A106,20))</f>
        <v>0.36524437324517367</v>
      </c>
      <c r="F106" s="23">
        <f t="shared" si="27"/>
        <v>8.3180827945225086</v>
      </c>
      <c r="H106" s="22">
        <f t="shared" si="26"/>
        <v>3.9100000000000003E-2</v>
      </c>
      <c r="I106" s="22"/>
      <c r="J106" s="41"/>
      <c r="K106" s="41">
        <f t="shared" si="23"/>
        <v>8.4444059615573863</v>
      </c>
      <c r="L106" s="41">
        <f t="shared" si="23"/>
        <v>2.5719639211683347</v>
      </c>
      <c r="M106" s="41">
        <f t="shared" si="23"/>
        <v>0.36524437324517367</v>
      </c>
      <c r="N106" s="41">
        <f t="shared" si="23"/>
        <v>8.3180827945225086</v>
      </c>
      <c r="O106" s="67"/>
      <c r="P106" s="41">
        <f t="shared" si="25"/>
        <v>3.9100000000000003E-2</v>
      </c>
      <c r="R106" s="27">
        <f t="shared" si="28"/>
        <v>2.8499851273786305</v>
      </c>
      <c r="S106" s="27">
        <f t="shared" si="28"/>
        <v>1.129678418087398</v>
      </c>
      <c r="T106" s="27">
        <f t="shared" si="28"/>
        <v>0.45188364143633053</v>
      </c>
      <c r="U106" s="27">
        <f t="shared" si="28"/>
        <v>0.18238146338948674</v>
      </c>
      <c r="V106" s="27">
        <f t="shared" si="28"/>
        <v>7.4257793232132177E-2</v>
      </c>
      <c r="W106" s="27">
        <f t="shared" si="28"/>
        <v>3.0495641965535926E-2</v>
      </c>
      <c r="X106" s="27">
        <f t="shared" si="28"/>
        <v>1.2629818923640309E-2</v>
      </c>
      <c r="Y106" s="27">
        <f t="shared" si="28"/>
        <v>5.2741353261923337E-3</v>
      </c>
    </row>
    <row r="107" spans="1:25" x14ac:dyDescent="0.25">
      <c r="A107" s="21">
        <v>95</v>
      </c>
      <c r="C107" s="25">
        <f t="shared" si="29"/>
        <v>8.4444059615573863</v>
      </c>
      <c r="D107" s="23">
        <f>($B$4/CommAndSportFishingValues!$I$18)*FishHarvestTimeTrends!AC116*((1+'OriginalBCACalculations$2012'!D$10)^MIN('OriginalBCACalculations$2012'!$A107,20))</f>
        <v>2.5719657595780441</v>
      </c>
      <c r="E107" s="23">
        <f>($B$5/CommAndSportFishingValues!$I$19)*FishHarvestTimeTrends!AD116*((1+'OriginalBCACalculations$2012'!E$10)^MIN('OriginalBCACalculations$2012'!$A107,20))</f>
        <v>0.36524456585532677</v>
      </c>
      <c r="F107" s="23">
        <f t="shared" si="27"/>
        <v>8.322241835919769</v>
      </c>
      <c r="H107" s="22">
        <f t="shared" si="26"/>
        <v>3.9100000000000003E-2</v>
      </c>
      <c r="I107" s="22"/>
      <c r="J107" s="41"/>
      <c r="K107" s="41">
        <f t="shared" si="23"/>
        <v>8.4444059615573863</v>
      </c>
      <c r="L107" s="41">
        <f t="shared" si="23"/>
        <v>2.5719657595780441</v>
      </c>
      <c r="M107" s="41">
        <f t="shared" si="23"/>
        <v>0.36524456585532677</v>
      </c>
      <c r="N107" s="41">
        <f t="shared" si="23"/>
        <v>8.322241835919769</v>
      </c>
      <c r="O107" s="67"/>
      <c r="P107" s="41">
        <f t="shared" si="25"/>
        <v>3.9100000000000003E-2</v>
      </c>
      <c r="R107" s="27">
        <f t="shared" si="28"/>
        <v>2.8541461997957533</v>
      </c>
      <c r="S107" s="27">
        <f t="shared" si="28"/>
        <v>1.1201265206827267</v>
      </c>
      <c r="T107" s="27">
        <f t="shared" si="28"/>
        <v>0.44367000635091414</v>
      </c>
      <c r="U107" s="27">
        <f t="shared" si="28"/>
        <v>0.17732790907752249</v>
      </c>
      <c r="V107" s="27">
        <f t="shared" si="28"/>
        <v>7.1505973137389878E-2</v>
      </c>
      <c r="W107" s="27">
        <f t="shared" si="28"/>
        <v>2.9085872961938462E-2</v>
      </c>
      <c r="X107" s="27">
        <f t="shared" si="28"/>
        <v>1.1932319694730796E-2</v>
      </c>
      <c r="Y107" s="27">
        <f t="shared" si="28"/>
        <v>4.93629508221133E-3</v>
      </c>
    </row>
    <row r="108" spans="1:25" x14ac:dyDescent="0.25">
      <c r="A108" s="21">
        <v>96</v>
      </c>
      <c r="C108" s="25">
        <f t="shared" si="29"/>
        <v>8.4444059615573863</v>
      </c>
      <c r="D108" s="23">
        <f>($B$4/CommAndSportFishingValues!$I$18)*FishHarvestTimeTrends!AC117*((1+'OriginalBCACalculations$2012'!D$10)^MIN('OriginalBCACalculations$2012'!$A108,20))</f>
        <v>2.571967597987753</v>
      </c>
      <c r="E108" s="23">
        <f>($B$5/CommAndSportFishingValues!$I$19)*FishHarvestTimeTrends!AD117*((1+'OriginalBCACalculations$2012'!E$10)^MIN('OriginalBCACalculations$2012'!$A108,20))</f>
        <v>0.36524475846547982</v>
      </c>
      <c r="F108" s="23">
        <f t="shared" si="27"/>
        <v>8.3264029568377289</v>
      </c>
      <c r="H108" s="22">
        <f t="shared" si="26"/>
        <v>3.9100000000000003E-2</v>
      </c>
      <c r="I108" s="22"/>
      <c r="J108" s="41"/>
      <c r="K108" s="41">
        <f t="shared" si="23"/>
        <v>8.4444059615573863</v>
      </c>
      <c r="L108" s="41">
        <f t="shared" si="23"/>
        <v>2.571967597987753</v>
      </c>
      <c r="M108" s="41">
        <f t="shared" si="23"/>
        <v>0.36524475846547982</v>
      </c>
      <c r="N108" s="41">
        <f t="shared" si="23"/>
        <v>8.3264029568377289</v>
      </c>
      <c r="O108" s="67"/>
      <c r="P108" s="41">
        <f t="shared" si="25"/>
        <v>3.9100000000000003E-2</v>
      </c>
      <c r="R108" s="27">
        <f t="shared" si="28"/>
        <v>2.8583093517335758</v>
      </c>
      <c r="S108" s="27">
        <f t="shared" si="28"/>
        <v>1.1106538358720555</v>
      </c>
      <c r="T108" s="27">
        <f t="shared" si="28"/>
        <v>0.43560505694063789</v>
      </c>
      <c r="U108" s="27">
        <f t="shared" si="28"/>
        <v>0.17241414118833395</v>
      </c>
      <c r="V108" s="27">
        <f t="shared" si="28"/>
        <v>6.8856032800105882E-2</v>
      </c>
      <c r="W108" s="27">
        <f t="shared" si="28"/>
        <v>2.7741236740127743E-2</v>
      </c>
      <c r="X108" s="27">
        <f t="shared" si="28"/>
        <v>1.1273325066451668E-2</v>
      </c>
      <c r="Y108" s="27">
        <f t="shared" si="28"/>
        <v>4.6200890890615021E-3</v>
      </c>
    </row>
    <row r="109" spans="1:25" x14ac:dyDescent="0.25">
      <c r="A109" s="21">
        <v>97</v>
      </c>
      <c r="C109" s="25">
        <f t="shared" si="29"/>
        <v>8.4444059615573863</v>
      </c>
      <c r="D109" s="23">
        <f>($B$4/CommAndSportFishingValues!$I$18)*FishHarvestTimeTrends!AC118*((1+'OriginalBCACalculations$2012'!D$10)^MIN('OriginalBCACalculations$2012'!$A109,20))</f>
        <v>2.5719694363974628</v>
      </c>
      <c r="E109" s="23">
        <f>($B$5/CommAndSportFishingValues!$I$19)*FishHarvestTimeTrends!AD118*((1+'OriginalBCACalculations$2012'!E$10)^MIN('OriginalBCACalculations$2012'!$A109,20))</f>
        <v>0.36524495107563293</v>
      </c>
      <c r="F109" s="23">
        <f t="shared" si="27"/>
        <v>8.330566158316147</v>
      </c>
      <c r="H109" s="22">
        <f t="shared" si="26"/>
        <v>3.9100000000000003E-2</v>
      </c>
      <c r="I109" s="22"/>
      <c r="J109" s="41"/>
      <c r="K109" s="41">
        <f t="shared" si="23"/>
        <v>8.4444059615573863</v>
      </c>
      <c r="L109" s="41">
        <f t="shared" si="23"/>
        <v>2.5719694363974628</v>
      </c>
      <c r="M109" s="41">
        <f t="shared" si="23"/>
        <v>0.36524495107563293</v>
      </c>
      <c r="N109" s="41">
        <f t="shared" si="23"/>
        <v>8.330566158316147</v>
      </c>
      <c r="O109" s="67"/>
      <c r="P109" s="41">
        <f t="shared" si="25"/>
        <v>3.9100000000000003E-2</v>
      </c>
      <c r="R109" s="27">
        <f t="shared" si="28"/>
        <v>2.8624745842318564</v>
      </c>
      <c r="S109" s="27">
        <f t="shared" si="28"/>
        <v>1.1012597238575192</v>
      </c>
      <c r="T109" s="27">
        <f t="shared" si="28"/>
        <v>0.4276861142118345</v>
      </c>
      <c r="U109" s="27">
        <f t="shared" si="28"/>
        <v>0.16763630034454247</v>
      </c>
      <c r="V109" s="27">
        <f t="shared" si="28"/>
        <v>6.6304204152991639E-2</v>
      </c>
      <c r="W109" s="27">
        <f t="shared" si="28"/>
        <v>2.6458725981667666E-2</v>
      </c>
      <c r="X109" s="27">
        <f t="shared" si="28"/>
        <v>1.0650710345620377E-2</v>
      </c>
      <c r="Y109" s="27">
        <f t="shared" si="28"/>
        <v>4.3241323842654264E-3</v>
      </c>
    </row>
    <row r="110" spans="1:25" x14ac:dyDescent="0.25">
      <c r="A110" s="21">
        <v>98</v>
      </c>
      <c r="C110" s="25">
        <f t="shared" si="29"/>
        <v>8.4444059615573863</v>
      </c>
      <c r="D110" s="23">
        <f>($B$4/CommAndSportFishingValues!$I$18)*FishHarvestTimeTrends!AC119*((1+'OriginalBCACalculations$2012'!D$10)^MIN('OriginalBCACalculations$2012'!$A110,20))</f>
        <v>2.5719712748071726</v>
      </c>
      <c r="E110" s="23">
        <f>($B$5/CommAndSportFishingValues!$I$19)*FishHarvestTimeTrends!AD119*((1+'OriginalBCACalculations$2012'!E$10)^MIN('OriginalBCACalculations$2012'!$A110,20))</f>
        <v>0.36524514368578598</v>
      </c>
      <c r="F110" s="23">
        <f t="shared" si="27"/>
        <v>8.334731441395304</v>
      </c>
      <c r="H110" s="22">
        <f t="shared" si="26"/>
        <v>3.9100000000000003E-2</v>
      </c>
      <c r="I110" s="22"/>
      <c r="J110" s="41"/>
      <c r="K110" s="41">
        <f t="shared" si="23"/>
        <v>8.4444059615573863</v>
      </c>
      <c r="L110" s="41">
        <f t="shared" si="23"/>
        <v>2.5719712748071726</v>
      </c>
      <c r="M110" s="41">
        <f t="shared" si="23"/>
        <v>0.36524514368578598</v>
      </c>
      <c r="N110" s="41">
        <f t="shared" si="23"/>
        <v>8.334731441395304</v>
      </c>
      <c r="O110" s="67"/>
      <c r="P110" s="41">
        <f t="shared" si="25"/>
        <v>3.9100000000000003E-2</v>
      </c>
      <c r="R110" s="27">
        <f t="shared" ref="R110:Y112" si="30">(SUM($D110:$H110)-SUM($B110:$C110))/((1+R$10)^($A110-1))</f>
        <v>2.8666418983308759</v>
      </c>
      <c r="S110" s="27">
        <f t="shared" si="30"/>
        <v>1.0919435498168304</v>
      </c>
      <c r="T110" s="27">
        <f t="shared" si="30"/>
        <v>0.41991054718042958</v>
      </c>
      <c r="U110" s="27">
        <f t="shared" si="30"/>
        <v>0.16299063350386545</v>
      </c>
      <c r="V110" s="27">
        <f t="shared" si="30"/>
        <v>6.3846858342652399E-2</v>
      </c>
      <c r="W110" s="27">
        <f t="shared" si="30"/>
        <v>2.5235472130874067E-2</v>
      </c>
      <c r="X110" s="27">
        <f t="shared" si="30"/>
        <v>1.0062468027953238E-2</v>
      </c>
      <c r="Y110" s="27">
        <f t="shared" si="30"/>
        <v>4.047128638227023E-3</v>
      </c>
    </row>
    <row r="111" spans="1:25" x14ac:dyDescent="0.25">
      <c r="A111" s="21">
        <v>99</v>
      </c>
      <c r="C111" s="25">
        <f t="shared" si="29"/>
        <v>8.4444059615573863</v>
      </c>
      <c r="D111" s="23">
        <f>($B$4/CommAndSportFishingValues!$I$18)*FishHarvestTimeTrends!AC120*((1+'OriginalBCACalculations$2012'!D$10)^MIN('OriginalBCACalculations$2012'!$A111,20))</f>
        <v>2.5719731132168815</v>
      </c>
      <c r="E111" s="23">
        <f>($B$5/CommAndSportFishingValues!$I$19)*FishHarvestTimeTrends!AD120*((1+'OriginalBCACalculations$2012'!E$10)^MIN('OriginalBCACalculations$2012'!$A111,20))</f>
        <v>0.36524533629593914</v>
      </c>
      <c r="F111" s="23">
        <f t="shared" si="27"/>
        <v>8.3388988071160011</v>
      </c>
      <c r="H111" s="22">
        <f t="shared" si="26"/>
        <v>3.9100000000000003E-2</v>
      </c>
      <c r="I111" s="22"/>
      <c r="J111" s="41"/>
      <c r="K111" s="41">
        <f t="shared" si="23"/>
        <v>8.4444059615573863</v>
      </c>
      <c r="L111" s="41">
        <f t="shared" si="23"/>
        <v>2.5719731132168815</v>
      </c>
      <c r="M111" s="41">
        <f t="shared" si="23"/>
        <v>0.36524533629593914</v>
      </c>
      <c r="N111" s="41">
        <f t="shared" si="23"/>
        <v>8.3388988071160011</v>
      </c>
      <c r="O111" s="67"/>
      <c r="P111" s="41">
        <f t="shared" si="25"/>
        <v>3.9100000000000003E-2</v>
      </c>
      <c r="R111" s="27">
        <f t="shared" si="30"/>
        <v>2.8708112950714355</v>
      </c>
      <c r="S111" s="27">
        <f t="shared" si="30"/>
        <v>1.0827046838667949</v>
      </c>
      <c r="T111" s="27">
        <f t="shared" si="30"/>
        <v>0.41227577201698334</v>
      </c>
      <c r="U111" s="27">
        <f t="shared" si="30"/>
        <v>0.15847349103594205</v>
      </c>
      <c r="V111" s="27">
        <f t="shared" si="30"/>
        <v>6.1480500592145451E-2</v>
      </c>
      <c r="W111" s="27">
        <f t="shared" si="30"/>
        <v>2.4068738996516181E-2</v>
      </c>
      <c r="X111" s="27">
        <f t="shared" si="30"/>
        <v>9.5067013374367897E-3</v>
      </c>
      <c r="Y111" s="27">
        <f t="shared" si="30"/>
        <v>3.7878644839162067E-3</v>
      </c>
    </row>
    <row r="112" spans="1:25" x14ac:dyDescent="0.25">
      <c r="A112" s="21">
        <v>100</v>
      </c>
      <c r="C112" s="25">
        <f t="shared" si="29"/>
        <v>8.4444059615573863</v>
      </c>
      <c r="D112" s="23">
        <f>($B$4/CommAndSportFishingValues!$I$18)*FishHarvestTimeTrends!AC121*((1+'OriginalBCACalculations$2012'!D$10)^MIN('OriginalBCACalculations$2012'!$A112,20))</f>
        <v>2.5719749516265913</v>
      </c>
      <c r="E112" s="23">
        <f>($B$5/CommAndSportFishingValues!$I$19)*FishHarvestTimeTrends!AD121*((1+'OriginalBCACalculations$2012'!E$10)^MIN('OriginalBCACalculations$2012'!$A112,20))</f>
        <v>0.36524552890609219</v>
      </c>
      <c r="F112" s="23">
        <f t="shared" si="27"/>
        <v>8.3430682565195582</v>
      </c>
      <c r="H112" s="22">
        <f t="shared" si="26"/>
        <v>3.9100000000000003E-2</v>
      </c>
      <c r="I112" s="22"/>
      <c r="J112" s="41"/>
      <c r="K112" s="41">
        <f t="shared" si="23"/>
        <v>8.4444059615573863</v>
      </c>
      <c r="L112" s="41">
        <f t="shared" si="23"/>
        <v>2.5719749516265913</v>
      </c>
      <c r="M112" s="41">
        <f t="shared" si="23"/>
        <v>0.36524552890609219</v>
      </c>
      <c r="N112" s="41">
        <f t="shared" si="23"/>
        <v>8.3430682565195582</v>
      </c>
      <c r="O112" s="67"/>
      <c r="P112" s="41">
        <f t="shared" si="25"/>
        <v>3.9100000000000003E-2</v>
      </c>
      <c r="R112" s="27">
        <f t="shared" si="30"/>
        <v>2.8749827754948551</v>
      </c>
      <c r="S112" s="27">
        <f t="shared" si="30"/>
        <v>1.0735425010270734</v>
      </c>
      <c r="T112" s="27">
        <f t="shared" si="30"/>
        <v>0.4047792512068446</v>
      </c>
      <c r="U112" s="27">
        <f t="shared" si="30"/>
        <v>0.15408132387931672</v>
      </c>
      <c r="V112" s="27">
        <f t="shared" si="30"/>
        <v>5.9201765252892877E-2</v>
      </c>
      <c r="W112" s="27">
        <f t="shared" si="30"/>
        <v>2.2955916648324675E-2</v>
      </c>
      <c r="X112" s="27">
        <f t="shared" si="30"/>
        <v>8.9816181217007695E-3</v>
      </c>
      <c r="Y112" s="27">
        <f t="shared" si="30"/>
        <v>3.5452042091883504E-3</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12"/>
  <sheetViews>
    <sheetView topLeftCell="B1" workbookViewId="0">
      <selection activeCell="O9" sqref="O9:P9"/>
    </sheetView>
  </sheetViews>
  <sheetFormatPr defaultRowHeight="15" x14ac:dyDescent="0.25"/>
  <cols>
    <col min="1" max="1" width="36.42578125" style="21" customWidth="1"/>
    <col min="2" max="2" width="14.28515625" style="21" customWidth="1"/>
    <col min="3" max="3" width="11.85546875" style="21" customWidth="1"/>
    <col min="4" max="4" width="13.140625" style="21" customWidth="1"/>
    <col min="5" max="5" width="13.28515625" style="21" customWidth="1"/>
    <col min="6" max="6" width="14.28515625" style="21" customWidth="1"/>
    <col min="7" max="7" width="13.42578125" style="21" customWidth="1"/>
    <col min="8" max="9" width="11.5703125" style="21" customWidth="1"/>
    <col min="10" max="10" width="12.42578125" style="21" customWidth="1"/>
    <col min="11" max="16" width="11.5703125" style="21" customWidth="1"/>
    <col min="17" max="17" width="9.140625" style="21"/>
    <col min="18" max="25" width="12.5703125" style="21" bestFit="1" customWidth="1"/>
    <col min="26" max="16384" width="9.140625" style="21"/>
  </cols>
  <sheetData>
    <row r="1" spans="1:25" x14ac:dyDescent="0.25">
      <c r="B1" s="28" t="s">
        <v>110</v>
      </c>
      <c r="E1" s="74" t="s">
        <v>111</v>
      </c>
      <c r="R1" s="28" t="s">
        <v>51</v>
      </c>
    </row>
    <row r="2" spans="1:25" x14ac:dyDescent="0.25">
      <c r="A2" s="29" t="s">
        <v>1</v>
      </c>
      <c r="B2" s="68">
        <v>70</v>
      </c>
      <c r="C2" s="70" t="s">
        <v>112</v>
      </c>
      <c r="F2" s="28" t="s">
        <v>108</v>
      </c>
      <c r="G2" s="78">
        <v>37.9</v>
      </c>
      <c r="R2" s="28">
        <v>0</v>
      </c>
      <c r="S2" s="28">
        <v>0.01</v>
      </c>
      <c r="T2" s="28">
        <v>0.02</v>
      </c>
      <c r="U2" s="28">
        <v>0.03</v>
      </c>
      <c r="V2" s="28">
        <v>0.04</v>
      </c>
      <c r="W2" s="28">
        <v>0.05</v>
      </c>
      <c r="X2" s="28">
        <v>0.06</v>
      </c>
      <c r="Y2" s="28">
        <v>7.0000000000000007E-2</v>
      </c>
    </row>
    <row r="3" spans="1:25" x14ac:dyDescent="0.25">
      <c r="A3" s="60" t="s">
        <v>99</v>
      </c>
      <c r="B3" s="69">
        <v>5.7965</v>
      </c>
      <c r="C3" s="71">
        <f>B3/0.172</f>
        <v>33.700581395348841</v>
      </c>
      <c r="D3" s="28" t="s">
        <v>109</v>
      </c>
      <c r="Q3" s="28" t="s">
        <v>54</v>
      </c>
      <c r="R3" s="42">
        <f>SUM(R13:R42)-$G$2</f>
        <v>48419.687135649372</v>
      </c>
      <c r="S3" s="42">
        <f t="shared" ref="S3:Y3" si="0">SUM(S13:S42)-$G$2</f>
        <v>46309.968267210577</v>
      </c>
      <c r="T3" s="42">
        <f t="shared" si="0"/>
        <v>44348.075928280741</v>
      </c>
      <c r="U3" s="42">
        <f t="shared" si="0"/>
        <v>42521.335353302871</v>
      </c>
      <c r="V3" s="42">
        <f t="shared" si="0"/>
        <v>40818.338729177143</v>
      </c>
      <c r="W3" s="42">
        <f t="shared" si="0"/>
        <v>39228.799136997019</v>
      </c>
      <c r="X3" s="42">
        <f t="shared" si="0"/>
        <v>37743.424090769186</v>
      </c>
      <c r="Y3" s="42">
        <f t="shared" si="0"/>
        <v>36353.805563615824</v>
      </c>
    </row>
    <row r="4" spans="1:25" x14ac:dyDescent="0.25">
      <c r="A4" s="31" t="s">
        <v>27</v>
      </c>
      <c r="B4" s="69">
        <v>3.16</v>
      </c>
      <c r="Q4" s="28" t="s">
        <v>55</v>
      </c>
      <c r="R4" s="42">
        <f>SUM(R13:R52)-$G$2</f>
        <v>48445.607064234435</v>
      </c>
      <c r="S4" s="42">
        <f t="shared" ref="S4:Y4" si="1">SUM(S13:S52)-$G$2</f>
        <v>46328.359778019585</v>
      </c>
      <c r="T4" s="42">
        <f t="shared" si="1"/>
        <v>44361.180371487302</v>
      </c>
      <c r="U4" s="42">
        <f t="shared" si="1"/>
        <v>42530.710931027199</v>
      </c>
      <c r="V4" s="42">
        <f t="shared" si="1"/>
        <v>40825.073416466439</v>
      </c>
      <c r="W4" s="42">
        <f t="shared" si="1"/>
        <v>39233.655814563121</v>
      </c>
      <c r="X4" s="42">
        <f t="shared" si="1"/>
        <v>37746.93991310829</v>
      </c>
      <c r="Y4" s="42">
        <f t="shared" si="1"/>
        <v>36356.3602912524</v>
      </c>
    </row>
    <row r="5" spans="1:25" x14ac:dyDescent="0.25">
      <c r="A5" s="31" t="s">
        <v>45</v>
      </c>
      <c r="B5" s="73">
        <v>0.5</v>
      </c>
      <c r="Q5" s="28" t="s">
        <v>56</v>
      </c>
      <c r="R5" s="42">
        <f>SUM(R13:R62)-$G$2</f>
        <v>48472.106683764745</v>
      </c>
      <c r="S5" s="42">
        <f t="shared" ref="S5:Y5" si="2">SUM(S13:S62)-$G$2</f>
        <v>46345.383682086074</v>
      </c>
      <c r="T5" s="42">
        <f t="shared" si="2"/>
        <v>44372.173504594655</v>
      </c>
      <c r="U5" s="42">
        <f t="shared" si="2"/>
        <v>42537.845685015956</v>
      </c>
      <c r="V5" s="42">
        <f t="shared" si="2"/>
        <v>40829.72697566689</v>
      </c>
      <c r="W5" s="42">
        <f t="shared" si="2"/>
        <v>39236.705779523312</v>
      </c>
      <c r="X5" s="42">
        <f t="shared" si="2"/>
        <v>37748.948374810432</v>
      </c>
      <c r="Y5" s="42">
        <f t="shared" si="2"/>
        <v>36357.68905618092</v>
      </c>
    </row>
    <row r="6" spans="1:25" x14ac:dyDescent="0.25">
      <c r="A6" s="31" t="s">
        <v>46</v>
      </c>
      <c r="B6" s="69">
        <v>8</v>
      </c>
      <c r="Q6" s="28" t="s">
        <v>57</v>
      </c>
      <c r="R6" s="42">
        <f>R11-$G$2</f>
        <v>48572.886360487173</v>
      </c>
      <c r="S6" s="42">
        <f t="shared" ref="S6:Y6" si="3">S11-$G$2</f>
        <v>46374.042391624782</v>
      </c>
      <c r="T6" s="42">
        <f t="shared" si="3"/>
        <v>44367.103022632073</v>
      </c>
      <c r="U6" s="42">
        <f t="shared" si="3"/>
        <v>42516.564674535592</v>
      </c>
      <c r="V6" s="42">
        <f t="shared" si="3"/>
        <v>40800.446858475319</v>
      </c>
      <c r="W6" s="42">
        <f t="shared" si="3"/>
        <v>39203.378219780752</v>
      </c>
      <c r="X6" s="42">
        <f t="shared" si="3"/>
        <v>37713.524127622062</v>
      </c>
      <c r="Y6" s="42">
        <f t="shared" si="3"/>
        <v>36321.15475412814</v>
      </c>
    </row>
    <row r="7" spans="1:25" x14ac:dyDescent="0.25">
      <c r="A7" s="31" t="s">
        <v>48</v>
      </c>
      <c r="B7" s="76">
        <v>4845.2</v>
      </c>
      <c r="C7" s="25"/>
    </row>
    <row r="8" spans="1:25" x14ac:dyDescent="0.25">
      <c r="A8" s="35" t="s">
        <v>50</v>
      </c>
      <c r="B8" s="75">
        <v>3.9100000000000003E-2</v>
      </c>
      <c r="L8" s="47"/>
      <c r="M8" s="48"/>
    </row>
    <row r="9" spans="1:25" x14ac:dyDescent="0.25">
      <c r="B9" s="28" t="s">
        <v>58</v>
      </c>
      <c r="J9" s="47" t="s">
        <v>52</v>
      </c>
      <c r="L9" s="39" t="s">
        <v>53</v>
      </c>
      <c r="M9" s="40">
        <v>7.0000000000000007E-2</v>
      </c>
      <c r="O9" s="39" t="s">
        <v>113</v>
      </c>
      <c r="P9" s="77">
        <f>(L11+M11+N11+O11+P11)/(J11+K11+G2)</f>
        <v>184.48431083144945</v>
      </c>
      <c r="R9" s="28" t="s">
        <v>51</v>
      </c>
    </row>
    <row r="10" spans="1:25" x14ac:dyDescent="0.25">
      <c r="A10" s="21" t="s">
        <v>3</v>
      </c>
      <c r="C10" s="21">
        <v>0.02</v>
      </c>
      <c r="D10" s="21">
        <v>8.0000000000000004E-4</v>
      </c>
      <c r="E10" s="38">
        <v>5.0000000000000001E-4</v>
      </c>
      <c r="F10" s="21">
        <v>5.0000000000000001E-4</v>
      </c>
      <c r="G10" s="38">
        <v>5.0000000000000001E-4</v>
      </c>
      <c r="J10" s="28"/>
      <c r="K10" s="28"/>
      <c r="L10" s="28"/>
      <c r="M10" s="28"/>
      <c r="N10" s="28"/>
      <c r="O10" s="28"/>
      <c r="R10" s="28">
        <v>0</v>
      </c>
      <c r="S10" s="28">
        <v>0.01</v>
      </c>
      <c r="T10" s="28">
        <v>0.02</v>
      </c>
      <c r="U10" s="28">
        <v>0.03</v>
      </c>
      <c r="V10" s="28">
        <v>0.04</v>
      </c>
      <c r="W10" s="28">
        <v>0.05</v>
      </c>
      <c r="X10" s="28">
        <v>0.06</v>
      </c>
      <c r="Y10" s="28">
        <v>7.0000000000000007E-2</v>
      </c>
    </row>
    <row r="11" spans="1:25" x14ac:dyDescent="0.25">
      <c r="B11" s="22"/>
      <c r="C11" s="22"/>
      <c r="D11" s="22"/>
      <c r="J11" s="72">
        <f>SUM(J13:J112)</f>
        <v>50.638997107387858</v>
      </c>
      <c r="K11" s="72">
        <f t="shared" ref="K11:P11" si="4">SUM(K13:K112)</f>
        <v>109.61980015139048</v>
      </c>
      <c r="L11" s="72">
        <f t="shared" si="4"/>
        <v>10.261088456059731</v>
      </c>
      <c r="M11" s="72">
        <f t="shared" si="4"/>
        <v>0.94490820492834759</v>
      </c>
      <c r="N11" s="72">
        <f t="shared" si="4"/>
        <v>60.87490599608001</v>
      </c>
      <c r="O11" s="72">
        <f>SUM(O13:O112)</f>
        <v>36484.736733876351</v>
      </c>
      <c r="P11" s="72">
        <f t="shared" si="4"/>
        <v>0.371510941215969</v>
      </c>
      <c r="R11" s="27">
        <f>SUM(R13:R112)-$G$2</f>
        <v>48610.786360487175</v>
      </c>
      <c r="S11" s="27">
        <f t="shared" ref="S11:Y11" si="5">SUM(S13:S112)-$G$2</f>
        <v>46411.942391624783</v>
      </c>
      <c r="T11" s="27">
        <f t="shared" si="5"/>
        <v>44405.003022632074</v>
      </c>
      <c r="U11" s="27">
        <f t="shared" si="5"/>
        <v>42554.464674535593</v>
      </c>
      <c r="V11" s="27">
        <f t="shared" si="5"/>
        <v>40838.346858475321</v>
      </c>
      <c r="W11" s="27">
        <f t="shared" si="5"/>
        <v>39241.278219780754</v>
      </c>
      <c r="X11" s="27">
        <f t="shared" si="5"/>
        <v>37751.424127622064</v>
      </c>
      <c r="Y11" s="27">
        <f t="shared" si="5"/>
        <v>36359.054754128141</v>
      </c>
    </row>
    <row r="12" spans="1:25" ht="60" x14ac:dyDescent="0.25">
      <c r="A12" s="21" t="s">
        <v>0</v>
      </c>
      <c r="B12" s="24" t="s">
        <v>4</v>
      </c>
      <c r="C12" s="24" t="s">
        <v>5</v>
      </c>
      <c r="D12" s="24" t="s">
        <v>6</v>
      </c>
      <c r="E12" s="24" t="s">
        <v>44</v>
      </c>
      <c r="F12" s="24" t="s">
        <v>7</v>
      </c>
      <c r="G12" s="26" t="s">
        <v>47</v>
      </c>
      <c r="H12" s="26" t="s">
        <v>49</v>
      </c>
      <c r="I12" s="26"/>
      <c r="J12" s="24" t="s">
        <v>4</v>
      </c>
      <c r="K12" s="24" t="s">
        <v>5</v>
      </c>
      <c r="L12" s="24" t="s">
        <v>6</v>
      </c>
      <c r="M12" s="24" t="s">
        <v>44</v>
      </c>
      <c r="N12" s="24" t="s">
        <v>7</v>
      </c>
      <c r="O12" s="26" t="s">
        <v>47</v>
      </c>
      <c r="P12" s="26" t="s">
        <v>49</v>
      </c>
      <c r="R12" s="27"/>
      <c r="S12" s="27"/>
      <c r="T12" s="27"/>
      <c r="U12" s="27"/>
      <c r="V12" s="27"/>
      <c r="W12" s="27"/>
      <c r="X12" s="27"/>
      <c r="Y12" s="27"/>
    </row>
    <row r="13" spans="1:25" x14ac:dyDescent="0.25">
      <c r="A13" s="21">
        <v>1</v>
      </c>
      <c r="B13" s="22">
        <f>B$2*'Cost Distribution By Year'!C20</f>
        <v>1.7457420924574207</v>
      </c>
      <c r="C13" s="25">
        <f>B3</f>
        <v>5.7965</v>
      </c>
      <c r="D13" s="23">
        <f>($B$4/CommAndSportFishingValues!$I$18)*FishHarvestTimeTrends!AC22*((1+'OriginalBCACalculations$2012'!D$10)^MIN('OriginalBCACalculations$2012'!$A13,20))</f>
        <v>-0.62933605921813196</v>
      </c>
      <c r="E13" s="23">
        <f>($B$5/CommAndSportFishingValues!$I$19)*FishHarvestTimeTrends!AD22*((1+'OriginalBCACalculations$2012'!E$10)^MIN('OriginalBCACalculations$2012'!$A13,20))</f>
        <v>-0.13845701501135921</v>
      </c>
      <c r="G13" s="27">
        <f>B7</f>
        <v>4845.2</v>
      </c>
      <c r="J13" s="41">
        <f>B13/((1+$M$9)^($A13-1))</f>
        <v>1.7457420924574207</v>
      </c>
      <c r="K13" s="41">
        <f t="shared" ref="K13:N76" si="6">C13/((1+$M$9)^($A13-1))</f>
        <v>5.7965</v>
      </c>
      <c r="L13" s="41">
        <f t="shared" si="6"/>
        <v>-0.62933605921813196</v>
      </c>
      <c r="M13" s="41">
        <f t="shared" si="6"/>
        <v>-0.13845701501135921</v>
      </c>
      <c r="N13" s="41"/>
      <c r="O13" s="41">
        <f>B7</f>
        <v>4845.2</v>
      </c>
      <c r="P13" s="41"/>
      <c r="R13" s="27">
        <f>(SUM($D13:$H13)-SUM($B13:$C13))/((1+R$10)^($A13-1))</f>
        <v>4836.8899648333127</v>
      </c>
      <c r="S13" s="27">
        <f t="shared" ref="S13:Y28" si="7">(SUM($D13:$H13)-SUM($B13:$C13))/((1+S$10)^($A13-1))</f>
        <v>4836.8899648333127</v>
      </c>
      <c r="T13" s="27">
        <f t="shared" si="7"/>
        <v>4836.8899648333127</v>
      </c>
      <c r="U13" s="27">
        <f t="shared" si="7"/>
        <v>4836.8899648333127</v>
      </c>
      <c r="V13" s="27">
        <f t="shared" si="7"/>
        <v>4836.8899648333127</v>
      </c>
      <c r="W13" s="27">
        <f t="shared" si="7"/>
        <v>4836.8899648333127</v>
      </c>
      <c r="X13" s="27">
        <f t="shared" si="7"/>
        <v>4836.8899648333127</v>
      </c>
      <c r="Y13" s="27">
        <f t="shared" si="7"/>
        <v>4836.8899648333127</v>
      </c>
    </row>
    <row r="14" spans="1:25" x14ac:dyDescent="0.25">
      <c r="A14" s="21">
        <v>2</v>
      </c>
      <c r="B14" s="22">
        <f>B$2*'Cost Distribution By Year'!C21</f>
        <v>1.937347931873479</v>
      </c>
      <c r="C14" s="25">
        <f>C13*(1+C$10)</f>
        <v>5.9124300000000005</v>
      </c>
      <c r="D14" s="23">
        <f>($B$4/CommAndSportFishingValues!$I$18)*FishHarvestTimeTrends!AC23*((1+'OriginalBCACalculations$2012'!D$10)^MIN('OriginalBCACalculations$2012'!$A14,20))</f>
        <v>-0.62983952806550647</v>
      </c>
      <c r="E14" s="23">
        <f>($B$5/CommAndSportFishingValues!$I$19)*FishHarvestTimeTrends!AD23*((1+'OriginalBCACalculations$2012'!E$10)^MIN('OriginalBCACalculations$2012'!$A14,20))</f>
        <v>-0.13852624351886486</v>
      </c>
      <c r="G14" s="27">
        <f t="shared" ref="G14:G22" si="8">G13*(1+G$10)</f>
        <v>4847.6225999999997</v>
      </c>
      <c r="J14" s="41">
        <f t="shared" ref="J14:J31" si="9">B14/((1+$M$9)^($A14-1))</f>
        <v>1.8106055438069897</v>
      </c>
      <c r="K14" s="41">
        <f t="shared" si="6"/>
        <v>5.5256355140186919</v>
      </c>
      <c r="L14" s="41">
        <f t="shared" si="6"/>
        <v>-0.58863507295841722</v>
      </c>
      <c r="M14" s="41">
        <f t="shared" si="6"/>
        <v>-0.12946377898959333</v>
      </c>
      <c r="N14" s="41"/>
      <c r="O14" s="41">
        <f t="shared" ref="O14:O19" si="10">G14/((1+$M$9)^($A14-1))</f>
        <v>4530.488411214953</v>
      </c>
      <c r="P14" s="41"/>
      <c r="R14" s="27">
        <f t="shared" ref="R14:Y29" si="11">(SUM($D14:$H14)-SUM($B14:$C14))/((1+R$10)^($A14-1))</f>
        <v>4839.0044562965422</v>
      </c>
      <c r="S14" s="27">
        <f t="shared" si="7"/>
        <v>4791.0935210856851</v>
      </c>
      <c r="T14" s="27">
        <f t="shared" si="7"/>
        <v>4744.1220159770019</v>
      </c>
      <c r="U14" s="27">
        <f t="shared" si="7"/>
        <v>4698.0625789286814</v>
      </c>
      <c r="V14" s="27">
        <f t="shared" si="7"/>
        <v>4652.8889002851365</v>
      </c>
      <c r="W14" s="27">
        <f t="shared" si="7"/>
        <v>4608.5756726633736</v>
      </c>
      <c r="X14" s="27">
        <f t="shared" si="7"/>
        <v>4565.0985436759829</v>
      </c>
      <c r="Y14" s="27">
        <f t="shared" si="7"/>
        <v>4522.4340713051797</v>
      </c>
    </row>
    <row r="15" spans="1:25" x14ac:dyDescent="0.25">
      <c r="A15" s="21">
        <v>3</v>
      </c>
      <c r="B15" s="22">
        <f>B$2*'Cost Distribution By Year'!C22</f>
        <v>3.5926094890510938</v>
      </c>
      <c r="C15" s="25">
        <f t="shared" ref="C15:C32" si="12">C14*(1+C$10)</f>
        <v>6.0306786000000008</v>
      </c>
      <c r="D15" s="23">
        <f>($B$4/CommAndSportFishingValues!$I$18)*FishHarvestTimeTrends!AC24*((1+'OriginalBCACalculations$2012'!D$10)^MIN('OriginalBCACalculations$2012'!$A15,20))</f>
        <v>-0.57071830533216983</v>
      </c>
      <c r="E15" s="23">
        <f>($B$5/CommAndSportFishingValues!$I$19)*FishHarvestTimeTrends!AD24*((1+'OriginalBCACalculations$2012'!E$10)^MIN('OriginalBCACalculations$2012'!$A15,20))</f>
        <v>-0.13859550664062431</v>
      </c>
      <c r="G15" s="27">
        <f t="shared" si="8"/>
        <v>4850.0464112999998</v>
      </c>
      <c r="J15" s="41">
        <f t="shared" si="9"/>
        <v>3.1379242632990598</v>
      </c>
      <c r="K15" s="41">
        <f t="shared" si="6"/>
        <v>5.267428247008473</v>
      </c>
      <c r="L15" s="41">
        <f t="shared" si="6"/>
        <v>-0.49848747081157291</v>
      </c>
      <c r="M15" s="41">
        <f t="shared" si="6"/>
        <v>-0.12105468306456835</v>
      </c>
      <c r="N15" s="41"/>
      <c r="O15" s="41">
        <f t="shared" si="10"/>
        <v>4236.2183695519261</v>
      </c>
      <c r="P15" s="41"/>
      <c r="R15" s="27">
        <f t="shared" si="11"/>
        <v>4839.7138093989761</v>
      </c>
      <c r="S15" s="27">
        <f t="shared" si="7"/>
        <v>4744.3523276139358</v>
      </c>
      <c r="T15" s="27">
        <f t="shared" si="7"/>
        <v>4651.7818237206611</v>
      </c>
      <c r="U15" s="27">
        <f t="shared" si="7"/>
        <v>4561.8944381176134</v>
      </c>
      <c r="V15" s="27">
        <f t="shared" si="7"/>
        <v>4474.5874717076331</v>
      </c>
      <c r="W15" s="27">
        <f t="shared" si="7"/>
        <v>4389.7630924253754</v>
      </c>
      <c r="X15" s="27">
        <f t="shared" si="7"/>
        <v>4307.3280610528436</v>
      </c>
      <c r="Y15" s="27">
        <f t="shared" si="7"/>
        <v>4227.193474887742</v>
      </c>
    </row>
    <row r="16" spans="1:25" x14ac:dyDescent="0.25">
      <c r="A16" s="21">
        <v>4</v>
      </c>
      <c r="B16" s="22">
        <f>B$2*'Cost Distribution By Year'!C23</f>
        <v>5.897201946472018</v>
      </c>
      <c r="C16" s="25">
        <f t="shared" si="12"/>
        <v>6.1512921720000007</v>
      </c>
      <c r="D16" s="23">
        <f>($B$4/CommAndSportFishingValues!$I$18)*FishHarvestTimeTrends!AC25*((1+'OriginalBCACalculations$2012'!D$10)^MIN('OriginalBCACalculations$2012'!$A16,20))</f>
        <v>-0.56376433765347322</v>
      </c>
      <c r="E16" s="23">
        <f>($B$5/CommAndSportFishingValues!$I$19)*FishHarvestTimeTrends!AD25*((1+'OriginalBCACalculations$2012'!E$10)^MIN('OriginalBCACalculations$2012'!$A16,20))</f>
        <v>-0.13866480439394463</v>
      </c>
      <c r="G16" s="27">
        <f t="shared" si="8"/>
        <v>4852.47143450565</v>
      </c>
      <c r="J16" s="41">
        <f t="shared" si="9"/>
        <v>4.813873428501708</v>
      </c>
      <c r="K16" s="41">
        <f t="shared" si="6"/>
        <v>5.0212867401389181</v>
      </c>
      <c r="L16" s="41">
        <f t="shared" si="6"/>
        <v>-0.46019963189330754</v>
      </c>
      <c r="M16" s="41">
        <f t="shared" si="6"/>
        <v>-0.11319178542626228</v>
      </c>
      <c r="N16" s="41"/>
      <c r="O16" s="41">
        <f t="shared" si="10"/>
        <v>3961.0621296604686</v>
      </c>
      <c r="P16" s="41"/>
      <c r="R16" s="27">
        <f t="shared" si="11"/>
        <v>4839.7205112451302</v>
      </c>
      <c r="S16" s="27">
        <f t="shared" si="7"/>
        <v>4697.3850469378667</v>
      </c>
      <c r="T16" s="27">
        <f t="shared" si="7"/>
        <v>4560.5767307117267</v>
      </c>
      <c r="U16" s="27">
        <f t="shared" si="7"/>
        <v>4429.02985946639</v>
      </c>
      <c r="V16" s="27">
        <f t="shared" si="7"/>
        <v>4302.493911481859</v>
      </c>
      <c r="W16" s="27">
        <f t="shared" si="7"/>
        <v>4180.7325439975202</v>
      </c>
      <c r="X16" s="27">
        <f t="shared" si="7"/>
        <v>4063.5226657283606</v>
      </c>
      <c r="Y16" s="27">
        <f t="shared" si="7"/>
        <v>3950.653578074508</v>
      </c>
    </row>
    <row r="17" spans="1:25" x14ac:dyDescent="0.25">
      <c r="A17" s="21">
        <v>5</v>
      </c>
      <c r="B17" s="22">
        <f>B$2*'Cost Distribution By Year'!C24</f>
        <v>18.085462287104619</v>
      </c>
      <c r="C17" s="25">
        <f t="shared" si="12"/>
        <v>6.2743180154400005</v>
      </c>
      <c r="D17" s="23">
        <f>($B$4/CommAndSportFishingValues!$I$18)*FishHarvestTimeTrends!AC26*((1+'OriginalBCACalculations$2012'!D$10)^MIN('OriginalBCACalculations$2012'!$A17,20))</f>
        <v>-0.55176040913478319</v>
      </c>
      <c r="E17" s="23">
        <f>($B$5/CommAndSportFishingValues!$I$19)*FishHarvestTimeTrends!AD26*((1+'OriginalBCACalculations$2012'!E$10)^MIN('OriginalBCACalculations$2012'!$A17,20))</f>
        <v>-0.13806537109650474</v>
      </c>
      <c r="G17" s="27">
        <f t="shared" si="8"/>
        <v>4854.8976702229029</v>
      </c>
      <c r="J17" s="41">
        <f t="shared" si="9"/>
        <v>13.797312586498199</v>
      </c>
      <c r="K17" s="41">
        <f t="shared" si="6"/>
        <v>4.7866471728427067</v>
      </c>
      <c r="L17" s="41">
        <f t="shared" si="6"/>
        <v>-0.42093537432630967</v>
      </c>
      <c r="M17" s="41">
        <f t="shared" si="6"/>
        <v>-0.10532941055908825</v>
      </c>
      <c r="N17" s="41"/>
      <c r="O17" s="41">
        <f t="shared" si="10"/>
        <v>3703.7781875937376</v>
      </c>
      <c r="P17" s="41"/>
      <c r="R17" s="27">
        <f t="shared" si="11"/>
        <v>4829.8480641401266</v>
      </c>
      <c r="S17" s="27">
        <f t="shared" si="7"/>
        <v>4641.3890564770418</v>
      </c>
      <c r="T17" s="27">
        <f t="shared" si="7"/>
        <v>4462.0330424588701</v>
      </c>
      <c r="U17" s="27">
        <f t="shared" si="7"/>
        <v>4291.2574483891658</v>
      </c>
      <c r="V17" s="27">
        <f t="shared" si="7"/>
        <v>4128.5743672637873</v>
      </c>
      <c r="W17" s="27">
        <f t="shared" si="7"/>
        <v>3973.5279552368625</v>
      </c>
      <c r="X17" s="27">
        <f t="shared" si="7"/>
        <v>3825.692046007814</v>
      </c>
      <c r="Y17" s="27">
        <f t="shared" si="7"/>
        <v>3684.6679630495109</v>
      </c>
    </row>
    <row r="18" spans="1:25" x14ac:dyDescent="0.25">
      <c r="A18" s="21">
        <v>6</v>
      </c>
      <c r="B18" s="22">
        <f>B$2*'Cost Distribution By Year'!C25</f>
        <v>12.113746958637465</v>
      </c>
      <c r="C18" s="25">
        <f t="shared" si="12"/>
        <v>6.3998043757488006</v>
      </c>
      <c r="D18" s="23">
        <f>($B$4/CommAndSportFishingValues!$I$18)*FishHarvestTimeTrends!AC27*((1+'OriginalBCACalculations$2012'!D$10)^MIN('OriginalBCACalculations$2012'!$A18,20))</f>
        <v>-0.51188909536971294</v>
      </c>
      <c r="E18" s="23">
        <f>($B$5/CommAndSportFishingValues!$I$19)*FishHarvestTimeTrends!AD27*((1+'OriginalBCACalculations$2012'!E$10)^MIN('OriginalBCACalculations$2012'!$A18,20))</f>
        <v>-0.12916474082473378</v>
      </c>
      <c r="G18" s="27">
        <f t="shared" si="8"/>
        <v>4857.325119058014</v>
      </c>
      <c r="J18" s="41">
        <f t="shared" si="9"/>
        <v>8.6369341632708334</v>
      </c>
      <c r="K18" s="41">
        <f t="shared" si="6"/>
        <v>4.5629720713080006</v>
      </c>
      <c r="L18" s="41">
        <f t="shared" si="6"/>
        <v>-0.36496985042700281</v>
      </c>
      <c r="M18" s="41">
        <f t="shared" si="6"/>
        <v>-9.2092675084625139E-2</v>
      </c>
      <c r="N18" s="41"/>
      <c r="O18" s="41">
        <f t="shared" si="10"/>
        <v>3463.2056791472278</v>
      </c>
      <c r="P18" s="41"/>
      <c r="R18" s="27">
        <f t="shared" si="11"/>
        <v>4838.1705138874331</v>
      </c>
      <c r="S18" s="27">
        <f t="shared" si="7"/>
        <v>4603.3532347546043</v>
      </c>
      <c r="T18" s="27">
        <f t="shared" si="7"/>
        <v>4382.0800976384853</v>
      </c>
      <c r="U18" s="27">
        <f t="shared" si="7"/>
        <v>4173.4483856277457</v>
      </c>
      <c r="V18" s="27">
        <f t="shared" si="7"/>
        <v>3976.6234924879031</v>
      </c>
      <c r="W18" s="27">
        <f t="shared" si="7"/>
        <v>3790.8331954669543</v>
      </c>
      <c r="X18" s="27">
        <f t="shared" si="7"/>
        <v>3615.362458221955</v>
      </c>
      <c r="Y18" s="27">
        <f t="shared" si="7"/>
        <v>3449.5487103871374</v>
      </c>
    </row>
    <row r="19" spans="1:25" x14ac:dyDescent="0.25">
      <c r="A19" s="21">
        <v>7</v>
      </c>
      <c r="B19" s="22">
        <f>B$2*'Cost Distribution By Year'!C26</f>
        <v>11.650699513381992</v>
      </c>
      <c r="C19" s="25">
        <f t="shared" si="12"/>
        <v>6.5278004632637767</v>
      </c>
      <c r="D19" s="23">
        <f>($B$4/CommAndSportFishingValues!$I$18)*FishHarvestTimeTrends!AC28*((1+'OriginalBCACalculations$2012'!D$10)^MIN('OriginalBCACalculations$2012'!$A19,20))</f>
        <v>-0.43099456588841162</v>
      </c>
      <c r="E19" s="23">
        <f>($B$5/CommAndSportFishingValues!$I$19)*FishHarvestTimeTrends!AD28*((1+'OriginalBCACalculations$2012'!E$10)^MIN('OriginalBCACalculations$2012'!$A19,20))</f>
        <v>-0.11665961191579305</v>
      </c>
      <c r="F19" s="23">
        <f>B6/10</f>
        <v>0.8</v>
      </c>
      <c r="G19" s="27">
        <f t="shared" si="8"/>
        <v>4859.7537816175427</v>
      </c>
      <c r="J19" s="41">
        <f t="shared" si="9"/>
        <v>7.7633530227649175</v>
      </c>
      <c r="K19" s="41">
        <f t="shared" si="6"/>
        <v>4.3497490773216461</v>
      </c>
      <c r="L19" s="41">
        <f t="shared" si="6"/>
        <v>-0.28718987748691666</v>
      </c>
      <c r="M19" s="41">
        <f t="shared" si="6"/>
        <v>-7.7735225233540858E-2</v>
      </c>
      <c r="N19" s="41"/>
      <c r="O19" s="41">
        <f t="shared" si="10"/>
        <v>3238.2591420437398</v>
      </c>
      <c r="P19" s="41"/>
      <c r="R19" s="27">
        <f t="shared" si="11"/>
        <v>4841.8276274630925</v>
      </c>
      <c r="S19" s="27">
        <f t="shared" si="7"/>
        <v>4561.2206463737857</v>
      </c>
      <c r="T19" s="27">
        <f t="shared" si="7"/>
        <v>4299.404370665693</v>
      </c>
      <c r="U19" s="27">
        <f t="shared" si="7"/>
        <v>4054.9544115763101</v>
      </c>
      <c r="V19" s="27">
        <f t="shared" si="7"/>
        <v>3826.5667050656107</v>
      </c>
      <c r="W19" s="27">
        <f t="shared" si="7"/>
        <v>3613.0463234735535</v>
      </c>
      <c r="X19" s="27">
        <f t="shared" si="7"/>
        <v>3413.2974209721374</v>
      </c>
      <c r="Y19" s="27">
        <f t="shared" si="7"/>
        <v>3226.314188619986</v>
      </c>
    </row>
    <row r="20" spans="1:25" x14ac:dyDescent="0.25">
      <c r="A20" s="21">
        <v>8</v>
      </c>
      <c r="B20" s="22">
        <f>B$2*'Cost Distribution By Year'!C27</f>
        <v>11.66134428223844</v>
      </c>
      <c r="C20" s="25">
        <f t="shared" si="12"/>
        <v>6.6583564725290527</v>
      </c>
      <c r="D20" s="23">
        <f>($B$4/CommAndSportFishingValues!$I$18)*FishHarvestTimeTrends!AC29*((1+'OriginalBCACalculations$2012'!D$10)^MIN('OriginalBCACalculations$2012'!$A20,20))</f>
        <v>-0.44399817631708827</v>
      </c>
      <c r="E20" s="23">
        <f>($B$5/CommAndSportFishingValues!$I$19)*FishHarvestTimeTrends!AD29*((1+'OriginalBCACalculations$2012'!E$10)^MIN('OriginalBCACalculations$2012'!$A20,20))</f>
        <v>-0.11853580918350226</v>
      </c>
      <c r="F20" s="23">
        <f>2*(B6/10)</f>
        <v>1.6</v>
      </c>
      <c r="G20" s="27">
        <f t="shared" si="8"/>
        <v>4862.1836585083511</v>
      </c>
      <c r="H20" s="22">
        <f>B$8</f>
        <v>3.9100000000000003E-2</v>
      </c>
      <c r="I20" s="22"/>
      <c r="J20" s="41">
        <f t="shared" si="9"/>
        <v>7.2620991417913414</v>
      </c>
      <c r="K20" s="41">
        <f t="shared" si="6"/>
        <v>4.1464897746430642</v>
      </c>
      <c r="L20" s="41">
        <f t="shared" si="6"/>
        <v>-0.2764997496986959</v>
      </c>
      <c r="M20" s="41">
        <f t="shared" si="6"/>
        <v>-7.3818144573107175E-2</v>
      </c>
      <c r="N20" s="41">
        <f t="shared" si="6"/>
        <v>0.99639958701534581</v>
      </c>
      <c r="O20" s="41">
        <f>(G20/((1+$M$9)^($A20-1)))</f>
        <v>3027.9236183315525</v>
      </c>
      <c r="P20" s="41">
        <f t="shared" ref="P20:P83" si="13">H20/((1+$M$9)^($A20-1))</f>
        <v>2.4349514907687515E-2</v>
      </c>
      <c r="R20" s="27">
        <f t="shared" si="11"/>
        <v>4844.940523768083</v>
      </c>
      <c r="S20" s="27">
        <f t="shared" si="7"/>
        <v>4518.9635005007367</v>
      </c>
      <c r="T20" s="27">
        <f t="shared" si="7"/>
        <v>4217.8122877453325</v>
      </c>
      <c r="U20" s="27">
        <f t="shared" si="7"/>
        <v>3939.3800128392504</v>
      </c>
      <c r="V20" s="27">
        <f t="shared" si="7"/>
        <v>3681.7566079159005</v>
      </c>
      <c r="W20" s="27">
        <f t="shared" si="7"/>
        <v>3443.2087758328285</v>
      </c>
      <c r="X20" s="27">
        <f t="shared" si="7"/>
        <v>3222.1621604090901</v>
      </c>
      <c r="Y20" s="27">
        <f t="shared" si="7"/>
        <v>3017.1854606227694</v>
      </c>
    </row>
    <row r="21" spans="1:25" x14ac:dyDescent="0.25">
      <c r="A21" s="21">
        <v>9</v>
      </c>
      <c r="B21" s="22">
        <f>B$2*'Cost Distribution By Year'!C28</f>
        <v>0.89416058394160558</v>
      </c>
      <c r="C21" s="25">
        <f t="shared" si="12"/>
        <v>6.7915236019796339</v>
      </c>
      <c r="D21" s="23">
        <f>($B$4/CommAndSportFishingValues!$I$18)*FishHarvestTimeTrends!AC30*((1+'OriginalBCACalculations$2012'!D$10)^MIN('OriginalBCACalculations$2012'!$A21,20))</f>
        <v>-0.34108747979230947</v>
      </c>
      <c r="E21" s="23">
        <f>($B$5/CommAndSportFishingValues!$I$19)*FishHarvestTimeTrends!AD30*((1+'OriginalBCACalculations$2012'!E$10)^MIN('OriginalBCACalculations$2012'!$A21,20))</f>
        <v>-0.10012611694182239</v>
      </c>
      <c r="F21" s="23">
        <f>3*(B6/10)</f>
        <v>2.4000000000000004</v>
      </c>
      <c r="G21" s="27">
        <f t="shared" si="8"/>
        <v>4864.6147503376051</v>
      </c>
      <c r="H21" s="22">
        <f t="shared" ref="H21:H84" si="14">B$8</f>
        <v>3.9100000000000003E-2</v>
      </c>
      <c r="I21" s="22"/>
      <c r="J21" s="41">
        <f t="shared" si="9"/>
        <v>0.52040960079720577</v>
      </c>
      <c r="K21" s="41">
        <f t="shared" si="6"/>
        <v>3.9527285702204913</v>
      </c>
      <c r="L21" s="41">
        <f t="shared" si="6"/>
        <v>-0.19851601869226768</v>
      </c>
      <c r="M21" s="41">
        <f t="shared" si="6"/>
        <v>-5.8274311664884372E-2</v>
      </c>
      <c r="N21" s="41">
        <f t="shared" si="6"/>
        <v>1.3968218509560923</v>
      </c>
      <c r="O21" s="41">
        <f>G21/((1+$M$9)^($A21-1))</f>
        <v>2831.2500748978678</v>
      </c>
      <c r="P21" s="41">
        <f t="shared" si="13"/>
        <v>2.2756555988493004E-2</v>
      </c>
      <c r="R21" s="27">
        <f t="shared" si="11"/>
        <v>4858.9269525549489</v>
      </c>
      <c r="S21" s="27">
        <f t="shared" si="7"/>
        <v>4487.1375199516051</v>
      </c>
      <c r="T21" s="27">
        <f t="shared" si="7"/>
        <v>4147.0473683217615</v>
      </c>
      <c r="U21" s="27">
        <f t="shared" si="7"/>
        <v>3835.6818052037474</v>
      </c>
      <c r="V21" s="27">
        <f t="shared" si="7"/>
        <v>3550.37033105204</v>
      </c>
      <c r="W21" s="27">
        <f t="shared" si="7"/>
        <v>3288.7130187112848</v>
      </c>
      <c r="X21" s="27">
        <f t="shared" si="7"/>
        <v>3048.5508814792151</v>
      </c>
      <c r="Y21" s="27">
        <f t="shared" si="7"/>
        <v>2827.939724803437</v>
      </c>
    </row>
    <row r="22" spans="1:25" x14ac:dyDescent="0.25">
      <c r="A22" s="21">
        <v>10</v>
      </c>
      <c r="B22" s="22">
        <f>B$2*'Cost Distribution By Year'!C29</f>
        <v>0.89416058394160558</v>
      </c>
      <c r="C22" s="25">
        <f t="shared" si="12"/>
        <v>6.9273540740192265</v>
      </c>
      <c r="D22" s="23">
        <f>($B$4/CommAndSportFishingValues!$I$18)*FishHarvestTimeTrends!AC31*((1+'OriginalBCACalculations$2012'!D$10)^MIN('OriginalBCACalculations$2012'!$A22,20))</f>
        <v>-0.27165023488605505</v>
      </c>
      <c r="E22" s="23">
        <f>($B$5/CommAndSportFishingValues!$I$19)*FishHarvestTimeTrends!AD31*((1+'OriginalBCACalculations$2012'!E$10)^MIN('OriginalBCACalculations$2012'!$A22,20))</f>
        <v>-9.2496156022187789E-2</v>
      </c>
      <c r="F22" s="23">
        <f>4*(B6/10)</f>
        <v>3.2</v>
      </c>
      <c r="G22" s="27">
        <f t="shared" si="8"/>
        <v>4867.0470577127735</v>
      </c>
      <c r="H22" s="22">
        <f t="shared" si="14"/>
        <v>3.9100000000000003E-2</v>
      </c>
      <c r="I22" s="22"/>
      <c r="J22" s="41">
        <f t="shared" si="9"/>
        <v>0.48636411289458475</v>
      </c>
      <c r="K22" s="41">
        <f t="shared" si="6"/>
        <v>3.768021627686823</v>
      </c>
      <c r="L22" s="41">
        <f t="shared" si="6"/>
        <v>-0.14775972893543482</v>
      </c>
      <c r="M22" s="41">
        <f t="shared" si="6"/>
        <v>-5.0311780319795885E-2</v>
      </c>
      <c r="N22" s="41">
        <f t="shared" si="6"/>
        <v>1.7405879762692738</v>
      </c>
      <c r="O22" s="41">
        <f>G22/((1+$M$9)^($A22-1))</f>
        <v>2647.3511214348746</v>
      </c>
      <c r="P22" s="41">
        <f t="shared" si="13"/>
        <v>2.1267809335040189E-2</v>
      </c>
      <c r="R22" s="27">
        <f t="shared" si="11"/>
        <v>4862.1004966639048</v>
      </c>
      <c r="S22" s="27">
        <f t="shared" si="7"/>
        <v>4445.6121135564681</v>
      </c>
      <c r="T22" s="27">
        <f t="shared" si="7"/>
        <v>4068.3881937855904</v>
      </c>
      <c r="U22" s="27">
        <f t="shared" si="7"/>
        <v>3726.3951749794755</v>
      </c>
      <c r="V22" s="27">
        <f t="shared" si="7"/>
        <v>3416.0473160073034</v>
      </c>
      <c r="W22" s="27">
        <f t="shared" si="7"/>
        <v>3134.1533316965333</v>
      </c>
      <c r="X22" s="27">
        <f t="shared" si="7"/>
        <v>2877.8698135039367</v>
      </c>
      <c r="Y22" s="27">
        <f t="shared" si="7"/>
        <v>2644.6605199706428</v>
      </c>
    </row>
    <row r="23" spans="1:25" x14ac:dyDescent="0.25">
      <c r="A23" s="21">
        <v>11</v>
      </c>
      <c r="B23" s="22">
        <f>B$2*'Cost Distribution By Year'!C30</f>
        <v>0.35127737226277367</v>
      </c>
      <c r="C23" s="25">
        <f t="shared" si="12"/>
        <v>7.0659011554996116</v>
      </c>
      <c r="D23" s="23">
        <f>($B$4/CommAndSportFishingValues!$I$18)*FishHarvestTimeTrends!AC32*((1+'OriginalBCACalculations$2012'!D$10)^MIN('OriginalBCACalculations$2012'!$A23,20))</f>
        <v>1.2048230694968432E-2</v>
      </c>
      <c r="E23" s="23">
        <f>($B$5/CommAndSportFishingValues!$I$19)*FishHarvestTimeTrends!AD32*((1+'OriginalBCACalculations$2012'!E$10)^MIN('OriginalBCACalculations$2012'!$A23,20))</f>
        <v>-4.6284121385927211E-2</v>
      </c>
      <c r="F23" s="23">
        <f>5*(B6/10)</f>
        <v>4</v>
      </c>
      <c r="H23" s="22">
        <f t="shared" si="14"/>
        <v>3.9100000000000003E-2</v>
      </c>
      <c r="I23" s="22"/>
      <c r="J23" s="41">
        <f t="shared" si="9"/>
        <v>0.17857160353272475</v>
      </c>
      <c r="K23" s="41">
        <f t="shared" si="6"/>
        <v>3.5919458506921123</v>
      </c>
      <c r="L23" s="41">
        <f t="shared" si="6"/>
        <v>6.1247095452629814E-3</v>
      </c>
      <c r="M23" s="41">
        <f t="shared" si="6"/>
        <v>-2.3528500343613451E-2</v>
      </c>
      <c r="N23" s="41">
        <f t="shared" si="6"/>
        <v>2.0333971685388712</v>
      </c>
      <c r="O23" s="67"/>
      <c r="P23" s="41">
        <f t="shared" si="13"/>
        <v>1.9876457322467466E-2</v>
      </c>
      <c r="R23" s="27">
        <f t="shared" si="11"/>
        <v>-3.4123144184533443</v>
      </c>
      <c r="S23" s="27">
        <f t="shared" si="7"/>
        <v>-3.0891237283365856</v>
      </c>
      <c r="T23" s="27">
        <f t="shared" si="7"/>
        <v>-2.7992863318176804</v>
      </c>
      <c r="U23" s="27">
        <f t="shared" si="7"/>
        <v>-2.539082394485491</v>
      </c>
      <c r="V23" s="27">
        <f t="shared" si="7"/>
        <v>-2.3052373538747215</v>
      </c>
      <c r="W23" s="27">
        <f t="shared" si="7"/>
        <v>-2.0948650467367367</v>
      </c>
      <c r="X23" s="27">
        <f t="shared" si="7"/>
        <v>-1.9054185484564954</v>
      </c>
      <c r="Y23" s="27">
        <f t="shared" si="7"/>
        <v>-1.7346476191618487</v>
      </c>
    </row>
    <row r="24" spans="1:25" x14ac:dyDescent="0.25">
      <c r="A24" s="21">
        <v>12</v>
      </c>
      <c r="B24" s="22">
        <f>B$2*'Cost Distribution By Year'!C31</f>
        <v>0.34595498783454975</v>
      </c>
      <c r="C24" s="25">
        <f t="shared" si="12"/>
        <v>7.2072191786096038</v>
      </c>
      <c r="D24" s="23">
        <f>($B$4/CommAndSportFishingValues!$I$18)*FishHarvestTimeTrends!AC33*((1+'OriginalBCACalculations$2012'!D$10)^MIN('OriginalBCACalculations$2012'!$A24,20))</f>
        <v>0.29620078767707175</v>
      </c>
      <c r="E24" s="23">
        <f>($B$5/CommAndSportFishingValues!$I$19)*FishHarvestTimeTrends!AD33*((1+'OriginalBCACalculations$2012'!E$10)^MIN('OriginalBCACalculations$2012'!$A24,20))</f>
        <v>-2.58515909913833E-5</v>
      </c>
      <c r="F24" s="23">
        <f>6*(B6/10)</f>
        <v>4.8000000000000007</v>
      </c>
      <c r="H24" s="22">
        <f t="shared" si="14"/>
        <v>3.9100000000000003E-2</v>
      </c>
      <c r="I24" s="22"/>
      <c r="J24" s="41">
        <f t="shared" si="9"/>
        <v>0.16436072259454976</v>
      </c>
      <c r="K24" s="41">
        <f t="shared" si="6"/>
        <v>3.4240979137438821</v>
      </c>
      <c r="L24" s="41">
        <f t="shared" si="6"/>
        <v>0.14072286050970584</v>
      </c>
      <c r="M24" s="41">
        <f t="shared" si="6"/>
        <v>-1.2281904655164436E-5</v>
      </c>
      <c r="N24" s="41">
        <f t="shared" si="6"/>
        <v>2.2804454226604163</v>
      </c>
      <c r="O24" s="67"/>
      <c r="P24" s="41">
        <f t="shared" si="13"/>
        <v>1.857612833875464E-2</v>
      </c>
      <c r="R24" s="27">
        <f t="shared" si="11"/>
        <v>-2.4178992303580724</v>
      </c>
      <c r="S24" s="27">
        <f t="shared" si="7"/>
        <v>-2.1672204267379875</v>
      </c>
      <c r="T24" s="27">
        <f t="shared" si="7"/>
        <v>-1.9446269832291094</v>
      </c>
      <c r="U24" s="27">
        <f t="shared" si="7"/>
        <v>-1.7467418486824435</v>
      </c>
      <c r="V24" s="27">
        <f t="shared" si="7"/>
        <v>-1.5706212344821051</v>
      </c>
      <c r="W24" s="27">
        <f t="shared" si="7"/>
        <v>-1.4136956030884018</v>
      </c>
      <c r="X24" s="27">
        <f t="shared" si="7"/>
        <v>-1.2737191522066329</v>
      </c>
      <c r="Y24" s="27">
        <f t="shared" si="7"/>
        <v>-1.1487265067342103</v>
      </c>
    </row>
    <row r="25" spans="1:25" x14ac:dyDescent="0.25">
      <c r="A25" s="21">
        <v>13</v>
      </c>
      <c r="B25" s="22">
        <f>B$2*'Cost Distribution By Year'!C32</f>
        <v>0.19160583941605838</v>
      </c>
      <c r="C25" s="25">
        <f t="shared" si="12"/>
        <v>7.3513635621817963</v>
      </c>
      <c r="D25" s="23">
        <f>($B$4/CommAndSportFishingValues!$I$18)*FishHarvestTimeTrends!AC34*((1+'OriginalBCACalculations$2012'!D$10)^MIN('OriginalBCACalculations$2012'!$A25,20))</f>
        <v>0.58080798103947862</v>
      </c>
      <c r="E25" s="23">
        <f>($B$5/CommAndSportFishingValues!$I$19)*FishHarvestTimeTrends!AD34*((1+'OriginalBCACalculations$2012'!E$10)^MIN('OriginalBCACalculations$2012'!$A25,20))</f>
        <v>4.6278688044769707E-2</v>
      </c>
      <c r="F25" s="23">
        <f>7*(B6/10)</f>
        <v>5.6000000000000005</v>
      </c>
      <c r="H25" s="22">
        <f t="shared" si="14"/>
        <v>3.9100000000000003E-2</v>
      </c>
      <c r="I25" s="22"/>
      <c r="J25" s="41">
        <f t="shared" si="9"/>
        <v>8.5075284161089781E-2</v>
      </c>
      <c r="K25" s="41">
        <f t="shared" si="6"/>
        <v>3.2640933383352904</v>
      </c>
      <c r="L25" s="41">
        <f t="shared" si="6"/>
        <v>0.25788568960399472</v>
      </c>
      <c r="M25" s="41">
        <f t="shared" si="6"/>
        <v>2.0548290949848991E-2</v>
      </c>
      <c r="N25" s="41">
        <f t="shared" si="6"/>
        <v>2.486466971748118</v>
      </c>
      <c r="O25" s="67"/>
      <c r="P25" s="41">
        <f t="shared" si="13"/>
        <v>1.7360867606312752E-2</v>
      </c>
      <c r="R25" s="27">
        <f t="shared" si="11"/>
        <v>-1.2767827325136052</v>
      </c>
      <c r="S25" s="27">
        <f t="shared" si="7"/>
        <v>-1.1330798468011249</v>
      </c>
      <c r="T25" s="27">
        <f t="shared" si="7"/>
        <v>-1.0067344712874771</v>
      </c>
      <c r="U25" s="27">
        <f t="shared" si="7"/>
        <v>-0.89550971996284934</v>
      </c>
      <c r="V25" s="27">
        <f t="shared" si="7"/>
        <v>-0.79747472768277128</v>
      </c>
      <c r="W25" s="27">
        <f t="shared" si="7"/>
        <v>-0.71096040034656549</v>
      </c>
      <c r="X25" s="27">
        <f t="shared" si="7"/>
        <v>-0.63452190200338998</v>
      </c>
      <c r="Y25" s="27">
        <f t="shared" si="7"/>
        <v>-0.56690680258810544</v>
      </c>
    </row>
    <row r="26" spans="1:25" x14ac:dyDescent="0.25">
      <c r="A26" s="21">
        <v>14</v>
      </c>
      <c r="B26" s="22">
        <f>B$2*'Cost Distribution By Year'!C33</f>
        <v>0.17563868613138686</v>
      </c>
      <c r="C26" s="25">
        <f t="shared" si="12"/>
        <v>7.4983908334254323</v>
      </c>
      <c r="D26" s="23">
        <f>($B$4/CommAndSportFishingValues!$I$18)*FishHarvestTimeTrends!AC35*((1+'OriginalBCACalculations$2012'!D$10)^MIN('OriginalBCACalculations$2012'!$A26,20))</f>
        <v>0.86587035634276188</v>
      </c>
      <c r="E26" s="23">
        <f>($B$5/CommAndSportFishingValues!$I$19)*FishHarvestTimeTrends!AD35*((1+'OriginalBCACalculations$2012'!E$10)^MIN('OriginalBCACalculations$2012'!$A26,20))</f>
        <v>9.2629532226629466E-2</v>
      </c>
      <c r="F26" s="23">
        <f>8*(B6/10)</f>
        <v>6.4</v>
      </c>
      <c r="H26" s="22">
        <f t="shared" si="14"/>
        <v>3.9100000000000003E-2</v>
      </c>
      <c r="I26" s="22"/>
      <c r="J26" s="41">
        <f t="shared" si="9"/>
        <v>7.2883810418379102E-2</v>
      </c>
      <c r="K26" s="41">
        <f t="shared" si="6"/>
        <v>3.1115656122448558</v>
      </c>
      <c r="L26" s="41">
        <f t="shared" si="6"/>
        <v>0.35930541436282548</v>
      </c>
      <c r="M26" s="41">
        <f t="shared" si="6"/>
        <v>3.8437962698596798E-2</v>
      </c>
      <c r="N26" s="41">
        <f t="shared" si="6"/>
        <v>2.6557724664866407</v>
      </c>
      <c r="O26" s="67"/>
      <c r="P26" s="41">
        <f t="shared" si="13"/>
        <v>1.6225109912441821E-2</v>
      </c>
      <c r="R26" s="27">
        <f t="shared" si="11"/>
        <v>-0.27642963098742701</v>
      </c>
      <c r="S26" s="27">
        <f t="shared" si="7"/>
        <v>-0.24288837807933109</v>
      </c>
      <c r="T26" s="27">
        <f t="shared" si="7"/>
        <v>-0.21368909564915861</v>
      </c>
      <c r="U26" s="27">
        <f t="shared" si="7"/>
        <v>-0.18823512763470812</v>
      </c>
      <c r="V26" s="27">
        <f t="shared" si="7"/>
        <v>-0.16601647301082023</v>
      </c>
      <c r="W26" s="27">
        <f t="shared" si="7"/>
        <v>-0.1465965352636327</v>
      </c>
      <c r="X26" s="27">
        <f t="shared" si="7"/>
        <v>-0.12960099791098745</v>
      </c>
      <c r="Y26" s="27">
        <f t="shared" si="7"/>
        <v>-0.11470846920272984</v>
      </c>
    </row>
    <row r="27" spans="1:25" x14ac:dyDescent="0.25">
      <c r="A27" s="21">
        <v>15</v>
      </c>
      <c r="B27" s="22">
        <f>B$2*'Cost Distribution By Year'!C34</f>
        <v>0.14370437956204377</v>
      </c>
      <c r="C27" s="25">
        <f t="shared" si="12"/>
        <v>7.6483586500939413</v>
      </c>
      <c r="D27" s="23">
        <f>($B$4/CommAndSportFishingValues!$I$18)*FishHarvestTimeTrends!AC36*((1+'OriginalBCACalculations$2012'!D$10)^MIN('OriginalBCACalculations$2012'!$A27,20))</f>
        <v>1.1513884597294215</v>
      </c>
      <c r="E27" s="23">
        <f>($B$5/CommAndSportFishingValues!$I$19)*FishHarvestTimeTrends!AD36*((1+'OriginalBCACalculations$2012'!E$10)^MIN('OriginalBCACalculations$2012'!$A27,20))</f>
        <v>0.13902671568299907</v>
      </c>
      <c r="F27" s="23">
        <f>9*(B6/10)</f>
        <v>7.2</v>
      </c>
      <c r="H27" s="22">
        <f t="shared" si="14"/>
        <v>3.9100000000000003E-2</v>
      </c>
      <c r="I27" s="22"/>
      <c r="J27" s="41">
        <f t="shared" si="9"/>
        <v>5.5731036003858266E-2</v>
      </c>
      <c r="K27" s="41">
        <f t="shared" si="6"/>
        <v>2.9661653499904239</v>
      </c>
      <c r="L27" s="41">
        <f t="shared" si="6"/>
        <v>0.44652829579145153</v>
      </c>
      <c r="M27" s="41">
        <f t="shared" si="6"/>
        <v>5.3916957303880755E-2</v>
      </c>
      <c r="N27" s="41">
        <f t="shared" si="6"/>
        <v>2.7922841353247394</v>
      </c>
      <c r="O27" s="67"/>
      <c r="P27" s="41">
        <f t="shared" si="13"/>
        <v>1.5163654123777405E-2</v>
      </c>
      <c r="R27" s="27">
        <f t="shared" si="11"/>
        <v>0.73745214575643558</v>
      </c>
      <c r="S27" s="27">
        <f t="shared" si="7"/>
        <v>0.64155605864295051</v>
      </c>
      <c r="T27" s="27">
        <f t="shared" si="7"/>
        <v>0.55889656309784541</v>
      </c>
      <c r="U27" s="27">
        <f t="shared" si="7"/>
        <v>0.48754274449872725</v>
      </c>
      <c r="V27" s="27">
        <f t="shared" si="7"/>
        <v>0.42586023894781605</v>
      </c>
      <c r="W27" s="27">
        <f t="shared" si="7"/>
        <v>0.37246344568935591</v>
      </c>
      <c r="X27" s="27">
        <f t="shared" si="7"/>
        <v>0.32617579525193058</v>
      </c>
      <c r="Y27" s="27">
        <f t="shared" si="7"/>
        <v>0.28599665654956696</v>
      </c>
    </row>
    <row r="28" spans="1:25" x14ac:dyDescent="0.25">
      <c r="A28" s="21">
        <v>16</v>
      </c>
      <c r="B28" s="22">
        <f>B$2*'Cost Distribution By Year'!C35</f>
        <v>0.13838199513381991</v>
      </c>
      <c r="C28" s="25">
        <f t="shared" si="12"/>
        <v>7.8013258230958202</v>
      </c>
      <c r="D28" s="23">
        <f>($B$4/CommAndSportFishingValues!$I$18)*FishHarvestTimeTrends!AC37*((1+'OriginalBCACalculations$2012'!D$10)^MIN('OriginalBCACalculations$2012'!$A28,20))</f>
        <v>1.3497232513777457</v>
      </c>
      <c r="E28" s="23">
        <f>($B$5/CommAndSportFishingValues!$I$19)*FishHarvestTimeTrends!AD37*((1+'OriginalBCACalculations$2012'!E$10)^MIN('OriginalBCACalculations$2012'!$A28,20))</f>
        <v>0.17100057258204029</v>
      </c>
      <c r="F28" s="23">
        <f>10*(B6/10)</f>
        <v>8</v>
      </c>
      <c r="H28" s="22">
        <f t="shared" si="14"/>
        <v>3.9100000000000003E-2</v>
      </c>
      <c r="I28" s="22"/>
      <c r="J28" s="41">
        <f t="shared" si="9"/>
        <v>5.0156003326421408E-2</v>
      </c>
      <c r="K28" s="41">
        <f t="shared" si="6"/>
        <v>2.8275594925142356</v>
      </c>
      <c r="L28" s="41">
        <f t="shared" si="6"/>
        <v>0.48920182008060797</v>
      </c>
      <c r="M28" s="41">
        <f t="shared" si="6"/>
        <v>6.1978476888924924E-2</v>
      </c>
      <c r="N28" s="41">
        <f t="shared" si="6"/>
        <v>2.8995681571388774</v>
      </c>
      <c r="O28" s="67"/>
      <c r="P28" s="41">
        <f t="shared" si="13"/>
        <v>1.4171639368016265E-2</v>
      </c>
      <c r="R28" s="27">
        <f t="shared" si="11"/>
        <v>1.6201160057301456</v>
      </c>
      <c r="S28" s="27">
        <f t="shared" si="7"/>
        <v>1.395486070696712</v>
      </c>
      <c r="T28" s="27">
        <f t="shared" si="7"/>
        <v>1.2037700565476626</v>
      </c>
      <c r="U28" s="27">
        <f t="shared" si="7"/>
        <v>1.0398908144465431</v>
      </c>
      <c r="V28" s="27">
        <f t="shared" si="7"/>
        <v>0.89959290825956639</v>
      </c>
      <c r="W28" s="27">
        <f t="shared" si="7"/>
        <v>0.77930349964704826</v>
      </c>
      <c r="X28" s="27">
        <f t="shared" si="7"/>
        <v>0.67601780352961027</v>
      </c>
      <c r="Y28" s="27">
        <f t="shared" si="7"/>
        <v>0.5872045976357696</v>
      </c>
    </row>
    <row r="29" spans="1:25" x14ac:dyDescent="0.25">
      <c r="A29" s="21">
        <v>17</v>
      </c>
      <c r="B29" s="22">
        <f>B$2*'Cost Distribution By Year'!C36</f>
        <v>6.3868613138686109E-2</v>
      </c>
      <c r="C29" s="25">
        <f t="shared" si="12"/>
        <v>7.9573523395577368</v>
      </c>
      <c r="D29" s="23">
        <f>($B$4/CommAndSportFishingValues!$I$18)*FishHarvestTimeTrends!AC38*((1+'OriginalBCACalculations$2012'!D$10)^MIN('OriginalBCACalculations$2012'!$A29,20))</f>
        <v>1.5483746418040925</v>
      </c>
      <c r="E29" s="23">
        <f>($B$5/CommAndSportFishingValues!$I$19)*FishHarvestTimeTrends!AD38*((1+'OriginalBCACalculations$2012'!E$10)^MIN('OriginalBCACalculations$2012'!$A29,20))</f>
        <v>0.20300636858130156</v>
      </c>
      <c r="F29" s="23">
        <f t="shared" ref="F29:F85" si="15">F28*(1+F$10)</f>
        <v>8.0039999999999996</v>
      </c>
      <c r="H29" s="22">
        <f t="shared" si="14"/>
        <v>3.9100000000000003E-2</v>
      </c>
      <c r="I29" s="22"/>
      <c r="J29" s="41">
        <f t="shared" si="9"/>
        <v>2.1634508983359346E-2</v>
      </c>
      <c r="K29" s="41">
        <f t="shared" si="6"/>
        <v>2.695430544265907</v>
      </c>
      <c r="L29" s="41">
        <f t="shared" si="6"/>
        <v>0.52448806152996053</v>
      </c>
      <c r="M29" s="41">
        <f t="shared" si="6"/>
        <v>6.8765280611535085E-2</v>
      </c>
      <c r="N29" s="41">
        <f t="shared" si="6"/>
        <v>2.7112317207639691</v>
      </c>
      <c r="O29" s="67"/>
      <c r="P29" s="41">
        <f t="shared" si="13"/>
        <v>1.3244522773846978E-2</v>
      </c>
      <c r="R29" s="27">
        <f t="shared" si="11"/>
        <v>1.7732600576889705</v>
      </c>
      <c r="S29" s="27">
        <f t="shared" si="11"/>
        <v>1.512273880618352</v>
      </c>
      <c r="T29" s="27">
        <f t="shared" si="11"/>
        <v>1.2917238656501926</v>
      </c>
      <c r="U29" s="27">
        <f t="shared" si="11"/>
        <v>1.1050370425913192</v>
      </c>
      <c r="V29" s="27">
        <f t="shared" si="11"/>
        <v>0.94675804241728756</v>
      </c>
      <c r="W29" s="27">
        <f t="shared" si="11"/>
        <v>0.81235086391445244</v>
      </c>
      <c r="X29" s="27">
        <f t="shared" si="11"/>
        <v>0.69803723176556254</v>
      </c>
      <c r="Y29" s="27">
        <f t="shared" si="11"/>
        <v>0.60066453243004536</v>
      </c>
    </row>
    <row r="30" spans="1:25" x14ac:dyDescent="0.25">
      <c r="A30" s="21">
        <v>18</v>
      </c>
      <c r="B30" s="22">
        <f>B$2*'Cost Distribution By Year'!C37</f>
        <v>6.3868613138686109E-2</v>
      </c>
      <c r="C30" s="25">
        <f t="shared" si="12"/>
        <v>8.1164993863488917</v>
      </c>
      <c r="D30" s="23">
        <f>($B$4/CommAndSportFishingValues!$I$18)*FishHarvestTimeTrends!AC39*((1+'OriginalBCACalculations$2012'!D$10)^MIN('OriginalBCACalculations$2012'!$A30,20))</f>
        <v>1.747343010632241</v>
      </c>
      <c r="E30" s="23">
        <f>($B$5/CommAndSportFishingValues!$I$19)*FishHarvestTimeTrends!AD39*((1+'OriginalBCACalculations$2012'!E$10)^MIN('OriginalBCACalculations$2012'!$A30,20))</f>
        <v>0.23504412762641899</v>
      </c>
      <c r="F30" s="23">
        <f t="shared" si="15"/>
        <v>8.0080019999999994</v>
      </c>
      <c r="H30" s="22">
        <f t="shared" si="14"/>
        <v>3.9100000000000003E-2</v>
      </c>
      <c r="I30" s="22"/>
      <c r="J30" s="41">
        <f t="shared" si="9"/>
        <v>2.0219167274167612E-2</v>
      </c>
      <c r="K30" s="41">
        <f t="shared" si="6"/>
        <v>2.5694758459357243</v>
      </c>
      <c r="L30" s="41">
        <f t="shared" si="6"/>
        <v>0.5531640485226248</v>
      </c>
      <c r="M30" s="41">
        <f t="shared" si="6"/>
        <v>7.4408951435502108E-2</v>
      </c>
      <c r="N30" s="41">
        <f t="shared" si="6"/>
        <v>2.5351283519853749</v>
      </c>
      <c r="O30" s="67"/>
      <c r="P30" s="41">
        <f t="shared" si="13"/>
        <v>1.2378058667146708E-2</v>
      </c>
      <c r="R30" s="27">
        <f t="shared" ref="R30:Y45" si="16">(SUM($D30:$H30)-SUM($B30:$C30))/((1+R$10)^($A30-1))</f>
        <v>1.849121138771082</v>
      </c>
      <c r="S30" s="27">
        <f t="shared" si="16"/>
        <v>1.5613562609298355</v>
      </c>
      <c r="T30" s="27">
        <f t="shared" si="16"/>
        <v>1.3205730907728359</v>
      </c>
      <c r="U30" s="27">
        <f t="shared" si="16"/>
        <v>1.1187486993157161</v>
      </c>
      <c r="V30" s="27">
        <f t="shared" si="16"/>
        <v>0.94928932098403207</v>
      </c>
      <c r="W30" s="27">
        <f t="shared" si="16"/>
        <v>0.80676542783703942</v>
      </c>
      <c r="X30" s="27">
        <f t="shared" si="16"/>
        <v>0.68669779661506514</v>
      </c>
      <c r="Y30" s="27">
        <f t="shared" si="16"/>
        <v>0.58538439740075654</v>
      </c>
    </row>
    <row r="31" spans="1:25" x14ac:dyDescent="0.25">
      <c r="A31" s="21">
        <v>19</v>
      </c>
      <c r="B31" s="22">
        <f>B$2*'Cost Distribution By Year'!C38</f>
        <v>5.3223844282238433E-2</v>
      </c>
      <c r="C31" s="25">
        <f t="shared" si="12"/>
        <v>8.2788293740758689</v>
      </c>
      <c r="D31" s="23">
        <f>($B$4/CommAndSportFishingValues!$I$18)*FishHarvestTimeTrends!AC40*((1+'OriginalBCACalculations$2012'!D$10)^MIN('OriginalBCACalculations$2012'!$A31,20))</f>
        <v>1.9466287378907439</v>
      </c>
      <c r="E31" s="23">
        <f>($B$5/CommAndSportFishingValues!$I$19)*FishHarvestTimeTrends!AD40*((1+'OriginalBCACalculations$2012'!E$10)^MIN('OriginalBCACalculations$2012'!$A31,20))</f>
        <v>0.26711387367898942</v>
      </c>
      <c r="F31" s="23">
        <f t="shared" si="15"/>
        <v>8.0120060009999996</v>
      </c>
      <c r="H31" s="22">
        <f t="shared" si="14"/>
        <v>3.9100000000000003E-2</v>
      </c>
      <c r="I31" s="22"/>
      <c r="J31" s="41">
        <f t="shared" si="9"/>
        <v>1.5747015011033969E-2</v>
      </c>
      <c r="K31" s="41">
        <f t="shared" si="6"/>
        <v>2.4494068811723726</v>
      </c>
      <c r="L31" s="41">
        <f t="shared" si="6"/>
        <v>0.57593720201652554</v>
      </c>
      <c r="M31" s="41">
        <f t="shared" si="6"/>
        <v>7.9029356770498493E-2</v>
      </c>
      <c r="N31" s="41">
        <f t="shared" si="6"/>
        <v>2.370463473048007</v>
      </c>
      <c r="O31" s="67"/>
      <c r="P31" s="41">
        <f t="shared" si="13"/>
        <v>1.1568279128174493E-2</v>
      </c>
      <c r="R31" s="27">
        <f t="shared" si="16"/>
        <v>1.9327953942116256</v>
      </c>
      <c r="S31" s="27">
        <f t="shared" si="16"/>
        <v>1.6158504143496832</v>
      </c>
      <c r="T31" s="27">
        <f t="shared" si="16"/>
        <v>1.3532648151476474</v>
      </c>
      <c r="U31" s="27">
        <f t="shared" si="16"/>
        <v>1.1353135921854964</v>
      </c>
      <c r="V31" s="27">
        <f t="shared" si="16"/>
        <v>0.95408215874401336</v>
      </c>
      <c r="W31" s="27">
        <f t="shared" si="16"/>
        <v>0.80311640792766992</v>
      </c>
      <c r="X31" s="27">
        <f t="shared" si="16"/>
        <v>0.67714286588516592</v>
      </c>
      <c r="Y31" s="27">
        <f t="shared" si="16"/>
        <v>0.57184441477979897</v>
      </c>
    </row>
    <row r="32" spans="1:25" x14ac:dyDescent="0.25">
      <c r="A32" s="21">
        <v>20</v>
      </c>
      <c r="C32" s="25">
        <f t="shared" si="12"/>
        <v>8.4444059615573863</v>
      </c>
      <c r="D32" s="23">
        <f>($B$4/CommAndSportFishingValues!$I$18)*FishHarvestTimeTrends!AC41*((1+'OriginalBCACalculations$2012'!D$10)^MIN('OriginalBCACalculations$2012'!$A32,20))</f>
        <v>2.1462322040133328</v>
      </c>
      <c r="E32" s="23">
        <f>($B$5/CommAndSportFishingValues!$I$19)*FishHarvestTimeTrends!AD41*((1+'OriginalBCACalculations$2012'!E$10)^MIN('OriginalBCACalculations$2012'!$A32,20))</f>
        <v>0.29921563071658053</v>
      </c>
      <c r="F32" s="23">
        <f t="shared" si="15"/>
        <v>8.0160120040004994</v>
      </c>
      <c r="H32" s="22">
        <f t="shared" si="14"/>
        <v>3.9100000000000003E-2</v>
      </c>
      <c r="I32" s="22"/>
      <c r="J32" s="41"/>
      <c r="K32" s="41">
        <f t="shared" si="6"/>
        <v>2.3349486156970278</v>
      </c>
      <c r="L32" s="41">
        <f>D44/((1+$M$9)^($A32-1))</f>
        <v>0.70360513774376221</v>
      </c>
      <c r="M32" s="41">
        <f>E44/((1+$M$9)^($A32-1))</f>
        <v>9.9927390474374808E-2</v>
      </c>
      <c r="N32" s="41">
        <f t="shared" si="6"/>
        <v>2.2164941166210568</v>
      </c>
      <c r="O32" s="67"/>
      <c r="P32" s="41">
        <f t="shared" si="13"/>
        <v>1.0811475820723825E-2</v>
      </c>
      <c r="R32" s="27">
        <f t="shared" ref="R32:Y43" si="17">(SUM($D32:$H32)-SUM($B32:$C32))/((1+R$10)^($A32-1))</f>
        <v>2.0561538771730259</v>
      </c>
      <c r="S32" s="27">
        <f t="shared" si="17"/>
        <v>1.7019606356017416</v>
      </c>
      <c r="T32" s="27">
        <f t="shared" si="17"/>
        <v>1.4114072681123617</v>
      </c>
      <c r="U32" s="27">
        <f t="shared" si="17"/>
        <v>1.1725958251269397</v>
      </c>
      <c r="V32" s="27">
        <f t="shared" si="17"/>
        <v>0.97593786047986164</v>
      </c>
      <c r="W32" s="27">
        <f t="shared" si="17"/>
        <v>0.81368991004880975</v>
      </c>
      <c r="X32" s="27">
        <f t="shared" si="17"/>
        <v>0.67958560799416046</v>
      </c>
      <c r="Y32" s="27">
        <f t="shared" si="17"/>
        <v>0.56854368099088781</v>
      </c>
    </row>
    <row r="33" spans="1:25" x14ac:dyDescent="0.25">
      <c r="A33" s="21">
        <v>21</v>
      </c>
      <c r="C33" s="25">
        <f>C32</f>
        <v>8.4444059615573863</v>
      </c>
      <c r="D33" s="23">
        <f>($B$4/CommAndSportFishingValues!$I$18)*FishHarvestTimeTrends!AC42*((1+'OriginalBCACalculations$2012'!D$10)^MIN('OriginalBCACalculations$2012'!$A33,20))</f>
        <v>2.2053654640881928</v>
      </c>
      <c r="E33" s="23">
        <f>($B$5/CommAndSportFishingValues!$I$19)*FishHarvestTimeTrends!AD42*((1+'OriginalBCACalculations$2012'!E$10)^MIN('OriginalBCACalculations$2012'!$A33,20))</f>
        <v>0.30876042625561451</v>
      </c>
      <c r="F33" s="23">
        <f t="shared" si="15"/>
        <v>8.020020010002499</v>
      </c>
      <c r="H33" s="22">
        <f t="shared" si="14"/>
        <v>3.9100000000000003E-2</v>
      </c>
      <c r="I33" s="22"/>
      <c r="J33" s="41"/>
      <c r="K33" s="41">
        <f t="shared" si="6"/>
        <v>2.1821949679411476</v>
      </c>
      <c r="L33" s="41">
        <f t="shared" ref="L33:M43" si="18">D45/((1+$M$9)^($A33-1))</f>
        <v>0.65840964413946879</v>
      </c>
      <c r="M33" s="41">
        <f t="shared" si="18"/>
        <v>9.3510095922689718E-2</v>
      </c>
      <c r="N33" s="41">
        <f t="shared" si="6"/>
        <v>2.0725255735321189</v>
      </c>
      <c r="O33" s="67"/>
      <c r="P33" s="41">
        <f t="shared" si="13"/>
        <v>1.0104183010022267E-2</v>
      </c>
      <c r="R33" s="27">
        <f t="shared" si="17"/>
        <v>2.1288399387889196</v>
      </c>
      <c r="S33" s="27">
        <f t="shared" si="17"/>
        <v>1.7446790000676455</v>
      </c>
      <c r="T33" s="27">
        <f t="shared" si="17"/>
        <v>1.4326482515804553</v>
      </c>
      <c r="U33" s="27">
        <f t="shared" si="17"/>
        <v>1.1786870586509461</v>
      </c>
      <c r="V33" s="27">
        <f t="shared" si="17"/>
        <v>0.97157475861522058</v>
      </c>
      <c r="W33" s="27">
        <f t="shared" si="17"/>
        <v>0.80233738364954621</v>
      </c>
      <c r="X33" s="27">
        <f t="shared" si="17"/>
        <v>0.66378235569826749</v>
      </c>
      <c r="Y33" s="27">
        <f t="shared" si="17"/>
        <v>0.55013269413216992</v>
      </c>
    </row>
    <row r="34" spans="1:25" x14ac:dyDescent="0.25">
      <c r="A34" s="21">
        <v>22</v>
      </c>
      <c r="C34" s="25">
        <f t="shared" ref="C34:C97" si="19">C33</f>
        <v>8.4444059615573863</v>
      </c>
      <c r="D34" s="23">
        <f>($B$4/CommAndSportFishingValues!$I$18)*FishHarvestTimeTrends!AC43*((1+'OriginalBCACalculations$2012'!D$10)^MIN('OriginalBCACalculations$2012'!$A34,20))</f>
        <v>2.2644987241630532</v>
      </c>
      <c r="E34" s="23">
        <f>($B$5/CommAndSportFishingValues!$I$19)*FishHarvestTimeTrends!AD43*((1+'OriginalBCACalculations$2012'!E$10)^MIN('OriginalBCACalculations$2012'!$A34,20))</f>
        <v>0.31830522179464865</v>
      </c>
      <c r="F34" s="23">
        <f t="shared" si="15"/>
        <v>8.0240300200074994</v>
      </c>
      <c r="H34" s="22">
        <f t="shared" si="14"/>
        <v>3.9100000000000003E-2</v>
      </c>
      <c r="I34" s="22"/>
      <c r="J34" s="41"/>
      <c r="K34" s="41">
        <f t="shared" si="6"/>
        <v>2.0394345494777082</v>
      </c>
      <c r="L34" s="41">
        <f t="shared" si="18"/>
        <v>0.61611625531898073</v>
      </c>
      <c r="M34" s="41">
        <f t="shared" si="18"/>
        <v>8.7504773168120539E-2</v>
      </c>
      <c r="N34" s="41">
        <f t="shared" si="6"/>
        <v>1.9379082582419485</v>
      </c>
      <c r="O34" s="67"/>
      <c r="P34" s="41">
        <f t="shared" si="13"/>
        <v>9.4431616916095945E-3</v>
      </c>
      <c r="R34" s="27">
        <f t="shared" si="17"/>
        <v>2.2015280044078143</v>
      </c>
      <c r="S34" s="27">
        <f t="shared" si="17"/>
        <v>1.7863862399060646</v>
      </c>
      <c r="T34" s="27">
        <f t="shared" si="17"/>
        <v>1.4525149372559303</v>
      </c>
      <c r="U34" s="27">
        <f t="shared" si="17"/>
        <v>1.1834297846629453</v>
      </c>
      <c r="V34" s="27">
        <f t="shared" si="17"/>
        <v>0.96610446433491037</v>
      </c>
      <c r="W34" s="27">
        <f t="shared" si="17"/>
        <v>0.79022166772541913</v>
      </c>
      <c r="X34" s="27">
        <f t="shared" si="17"/>
        <v>0.6475913567419288</v>
      </c>
      <c r="Y34" s="27">
        <f t="shared" si="17"/>
        <v>0.53169782389333986</v>
      </c>
    </row>
    <row r="35" spans="1:25" x14ac:dyDescent="0.25">
      <c r="A35" s="21">
        <v>23</v>
      </c>
      <c r="C35" s="25">
        <f t="shared" si="19"/>
        <v>8.4444059615573863</v>
      </c>
      <c r="D35" s="23">
        <f>($B$4/CommAndSportFishingValues!$I$18)*FishHarvestTimeTrends!AC44*((1+'OriginalBCACalculations$2012'!D$10)^MIN('OriginalBCACalculations$2012'!$A35,20))</f>
        <v>2.3236319842379132</v>
      </c>
      <c r="E35" s="23">
        <f>($B$5/CommAndSportFishingValues!$I$19)*FishHarvestTimeTrends!AD44*((1+'OriginalBCACalculations$2012'!E$10)^MIN('OriginalBCACalculations$2012'!$A35,20))</f>
        <v>0.32785001733368269</v>
      </c>
      <c r="F35" s="23">
        <f t="shared" si="15"/>
        <v>8.0280420350175028</v>
      </c>
      <c r="H35" s="22">
        <f t="shared" si="14"/>
        <v>3.9100000000000003E-2</v>
      </c>
      <c r="I35" s="22"/>
      <c r="J35" s="41"/>
      <c r="K35" s="41">
        <f t="shared" si="6"/>
        <v>1.9060135976427179</v>
      </c>
      <c r="L35" s="41">
        <f t="shared" si="18"/>
        <v>0.5765386865605292</v>
      </c>
      <c r="M35" s="41">
        <f t="shared" si="18"/>
        <v>8.188498441530985E-2</v>
      </c>
      <c r="N35" s="41">
        <f t="shared" si="6"/>
        <v>1.8120347779168873</v>
      </c>
      <c r="O35" s="67"/>
      <c r="P35" s="41">
        <f t="shared" si="13"/>
        <v>8.8253847585136394E-3</v>
      </c>
      <c r="R35" s="27">
        <f t="shared" si="17"/>
        <v>2.2742180750317118</v>
      </c>
      <c r="S35" s="27">
        <f t="shared" si="17"/>
        <v>1.8270981744273773</v>
      </c>
      <c r="T35" s="27">
        <f t="shared" si="17"/>
        <v>1.471053027424579</v>
      </c>
      <c r="U35" s="27">
        <f t="shared" si="17"/>
        <v>1.1868973587306797</v>
      </c>
      <c r="V35" s="27">
        <f t="shared" si="17"/>
        <v>0.95961856717779559</v>
      </c>
      <c r="W35" s="27">
        <f t="shared" si="17"/>
        <v>0.77744115577245609</v>
      </c>
      <c r="X35" s="27">
        <f t="shared" si="17"/>
        <v>0.63110710730211739</v>
      </c>
      <c r="Y35" s="27">
        <f t="shared" si="17"/>
        <v>0.51332096002355754</v>
      </c>
    </row>
    <row r="36" spans="1:25" x14ac:dyDescent="0.25">
      <c r="A36" s="21">
        <v>24</v>
      </c>
      <c r="C36" s="25">
        <f t="shared" si="19"/>
        <v>8.4444059615573863</v>
      </c>
      <c r="D36" s="23">
        <f>($B$4/CommAndSportFishingValues!$I$18)*FishHarvestTimeTrends!AC45*((1+'OriginalBCACalculations$2012'!D$10)^MIN('OriginalBCACalculations$2012'!$A36,20))</f>
        <v>2.3827652443127736</v>
      </c>
      <c r="E36" s="23">
        <f>($B$5/CommAndSportFishingValues!$I$19)*FishHarvestTimeTrends!AD45*((1+'OriginalBCACalculations$2012'!E$10)^MIN('OriginalBCACalculations$2012'!$A36,20))</f>
        <v>0.33739481287271672</v>
      </c>
      <c r="F36" s="23">
        <f t="shared" si="15"/>
        <v>8.0320560560350103</v>
      </c>
      <c r="H36" s="22">
        <f t="shared" si="14"/>
        <v>3.9100000000000003E-2</v>
      </c>
      <c r="I36" s="22"/>
      <c r="J36" s="41"/>
      <c r="K36" s="41">
        <f t="shared" si="6"/>
        <v>1.7813211192922598</v>
      </c>
      <c r="L36" s="41">
        <f t="shared" si="18"/>
        <v>0.53950260627177193</v>
      </c>
      <c r="M36" s="41">
        <f t="shared" si="18"/>
        <v>7.6625987842294102E-2</v>
      </c>
      <c r="N36" s="41">
        <f t="shared" si="6"/>
        <v>1.6943371918746217</v>
      </c>
      <c r="O36" s="67"/>
      <c r="P36" s="41">
        <f t="shared" si="13"/>
        <v>8.2480231387977946E-3</v>
      </c>
      <c r="R36" s="27">
        <f t="shared" si="17"/>
        <v>2.3469101516631135</v>
      </c>
      <c r="S36" s="27">
        <f t="shared" si="17"/>
        <v>1.8668304089523042</v>
      </c>
      <c r="T36" s="27">
        <f t="shared" si="17"/>
        <v>1.4883069609817865</v>
      </c>
      <c r="U36" s="27">
        <f t="shared" si="17"/>
        <v>1.1891600081535829</v>
      </c>
      <c r="V36" s="27">
        <f t="shared" si="17"/>
        <v>0.9522032504608019</v>
      </c>
      <c r="W36" s="27">
        <f t="shared" si="17"/>
        <v>0.76408660266468509</v>
      </c>
      <c r="X36" s="27">
        <f t="shared" si="17"/>
        <v>0.61441465006808926</v>
      </c>
      <c r="Y36" s="27">
        <f t="shared" si="17"/>
        <v>0.49507338198457285</v>
      </c>
    </row>
    <row r="37" spans="1:25" x14ac:dyDescent="0.25">
      <c r="A37" s="21">
        <v>25</v>
      </c>
      <c r="C37" s="25">
        <f t="shared" si="19"/>
        <v>8.4444059615573863</v>
      </c>
      <c r="D37" s="23">
        <f>($B$4/CommAndSportFishingValues!$I$18)*FishHarvestTimeTrends!AC46*((1+'OriginalBCACalculations$2012'!D$10)^MIN('OriginalBCACalculations$2012'!$A37,20))</f>
        <v>2.4418985043876336</v>
      </c>
      <c r="E37" s="23">
        <f>($B$5/CommAndSportFishingValues!$I$19)*FishHarvestTimeTrends!AD46*((1+'OriginalBCACalculations$2012'!E$10)^MIN('OriginalBCACalculations$2012'!$A37,20))</f>
        <v>0.34693960841175081</v>
      </c>
      <c r="F37" s="23">
        <f t="shared" si="15"/>
        <v>8.0360720840630275</v>
      </c>
      <c r="H37" s="22">
        <f t="shared" si="14"/>
        <v>3.9100000000000003E-2</v>
      </c>
      <c r="I37" s="22"/>
      <c r="J37" s="41"/>
      <c r="K37" s="41">
        <f t="shared" si="6"/>
        <v>1.6647860927965044</v>
      </c>
      <c r="L37" s="41">
        <f t="shared" si="18"/>
        <v>0.50484486929955719</v>
      </c>
      <c r="M37" s="41">
        <f t="shared" si="18"/>
        <v>7.170462884723515E-2</v>
      </c>
      <c r="N37" s="41">
        <f t="shared" si="6"/>
        <v>1.5842844490379056</v>
      </c>
      <c r="O37" s="67"/>
      <c r="P37" s="41">
        <f t="shared" si="13"/>
        <v>7.7084328399979378E-3</v>
      </c>
      <c r="R37" s="27">
        <f t="shared" si="17"/>
        <v>2.4196042353050249</v>
      </c>
      <c r="S37" s="27">
        <f t="shared" si="17"/>
        <v>1.9055983374972127</v>
      </c>
      <c r="T37" s="27">
        <f t="shared" si="17"/>
        <v>1.5043199453969711</v>
      </c>
      <c r="U37" s="27">
        <f t="shared" si="17"/>
        <v>1.1902849519365024</v>
      </c>
      <c r="V37" s="27">
        <f t="shared" si="17"/>
        <v>0.94393957160647912</v>
      </c>
      <c r="W37" s="27">
        <f t="shared" si="17"/>
        <v>0.75024162895207891</v>
      </c>
      <c r="X37" s="27">
        <f t="shared" si="17"/>
        <v>0.59759034157874524</v>
      </c>
      <c r="Y37" s="27">
        <f t="shared" si="17"/>
        <v>0.47701679660417778</v>
      </c>
    </row>
    <row r="38" spans="1:25" x14ac:dyDescent="0.25">
      <c r="A38" s="21">
        <v>26</v>
      </c>
      <c r="C38" s="25">
        <f t="shared" si="19"/>
        <v>8.4444059615573863</v>
      </c>
      <c r="D38" s="23">
        <f>($B$4/CommAndSportFishingValues!$I$18)*FishHarvestTimeTrends!AC47*((1+'OriginalBCACalculations$2012'!D$10)^MIN('OriginalBCACalculations$2012'!$A38,20))</f>
        <v>2.4611481882240289</v>
      </c>
      <c r="E38" s="23">
        <f>($B$5/CommAndSportFishingValues!$I$19)*FishHarvestTimeTrends!AD47*((1+'OriginalBCACalculations$2012'!E$10)^MIN('OriginalBCACalculations$2012'!$A38,20))</f>
        <v>0.34964395611114202</v>
      </c>
      <c r="F38" s="23">
        <f t="shared" si="15"/>
        <v>8.0400901201050594</v>
      </c>
      <c r="H38" s="22">
        <f t="shared" si="14"/>
        <v>3.9100000000000003E-2</v>
      </c>
      <c r="I38" s="22"/>
      <c r="J38" s="41"/>
      <c r="K38" s="41">
        <f t="shared" si="6"/>
        <v>1.5558748530808451</v>
      </c>
      <c r="L38" s="41">
        <f t="shared" si="18"/>
        <v>0.47241279939669856</v>
      </c>
      <c r="M38" s="41">
        <f t="shared" si="18"/>
        <v>6.7099238266039946E-2</v>
      </c>
      <c r="N38" s="41">
        <f t="shared" si="6"/>
        <v>1.4813799918340416</v>
      </c>
      <c r="O38" s="67"/>
      <c r="P38" s="41">
        <f t="shared" si="13"/>
        <v>7.2041428411195683E-3</v>
      </c>
      <c r="R38" s="27">
        <f t="shared" si="17"/>
        <v>2.4455763028828432</v>
      </c>
      <c r="S38" s="27">
        <f t="shared" si="17"/>
        <v>1.9069832259214476</v>
      </c>
      <c r="T38" s="27">
        <f t="shared" si="17"/>
        <v>1.4906542528395104</v>
      </c>
      <c r="U38" s="27">
        <f t="shared" si="17"/>
        <v>1.1680208623111854</v>
      </c>
      <c r="V38" s="27">
        <f t="shared" si="17"/>
        <v>0.91737676240548327</v>
      </c>
      <c r="W38" s="27">
        <f t="shared" si="17"/>
        <v>0.72218546063966937</v>
      </c>
      <c r="X38" s="27">
        <f t="shared" si="17"/>
        <v>0.56981592936448178</v>
      </c>
      <c r="Y38" s="27">
        <f t="shared" si="17"/>
        <v>0.45059542237404332</v>
      </c>
    </row>
    <row r="39" spans="1:25" x14ac:dyDescent="0.25">
      <c r="A39" s="21">
        <v>27</v>
      </c>
      <c r="C39" s="25">
        <f t="shared" si="19"/>
        <v>8.4444059615573863</v>
      </c>
      <c r="D39" s="23">
        <f>($B$4/CommAndSportFishingValues!$I$18)*FishHarvestTimeTrends!AC48*((1+'OriginalBCACalculations$2012'!D$10)^MIN('OriginalBCACalculations$2012'!$A39,20))</f>
        <v>2.4803978720604234</v>
      </c>
      <c r="E39" s="23">
        <f>($B$5/CommAndSportFishingValues!$I$19)*FishHarvestTimeTrends!AD48*((1+'OriginalBCACalculations$2012'!E$10)^MIN('OriginalBCACalculations$2012'!$A39,20))</f>
        <v>0.35234830381053317</v>
      </c>
      <c r="F39" s="23">
        <f t="shared" si="15"/>
        <v>8.0441101651651117</v>
      </c>
      <c r="H39" s="22">
        <f t="shared" si="14"/>
        <v>3.9100000000000003E-2</v>
      </c>
      <c r="I39" s="22"/>
      <c r="J39" s="41"/>
      <c r="K39" s="41">
        <f t="shared" si="6"/>
        <v>1.4540886477391077</v>
      </c>
      <c r="L39" s="41">
        <f t="shared" si="18"/>
        <v>0.4420635176953252</v>
      </c>
      <c r="M39" s="41">
        <f t="shared" si="18"/>
        <v>6.2789537114237334E-2</v>
      </c>
      <c r="N39" s="41">
        <f t="shared" si="6"/>
        <v>1.3851595157289334</v>
      </c>
      <c r="O39" s="67"/>
      <c r="P39" s="41">
        <f t="shared" si="13"/>
        <v>6.7328437767472608E-3</v>
      </c>
      <c r="R39" s="27">
        <f t="shared" si="17"/>
        <v>2.4715503794786819</v>
      </c>
      <c r="S39" s="27">
        <f t="shared" si="17"/>
        <v>1.9081554368186</v>
      </c>
      <c r="T39" s="27">
        <f t="shared" si="17"/>
        <v>1.4769473081942548</v>
      </c>
      <c r="U39" s="27">
        <f t="shared" si="17"/>
        <v>1.1460448795628997</v>
      </c>
      <c r="V39" s="27">
        <f t="shared" si="17"/>
        <v>0.89146161053809037</v>
      </c>
      <c r="W39" s="27">
        <f t="shared" si="17"/>
        <v>0.69510064519115289</v>
      </c>
      <c r="X39" s="27">
        <f t="shared" si="17"/>
        <v>0.54327156003765609</v>
      </c>
      <c r="Y39" s="27">
        <f t="shared" si="17"/>
        <v>0.42558983609694045</v>
      </c>
    </row>
    <row r="40" spans="1:25" x14ac:dyDescent="0.25">
      <c r="A40" s="21">
        <v>28</v>
      </c>
      <c r="C40" s="25">
        <f t="shared" si="19"/>
        <v>8.4444059615573863</v>
      </c>
      <c r="D40" s="23">
        <f>($B$4/CommAndSportFishingValues!$I$18)*FishHarvestTimeTrends!AC49*((1+'OriginalBCACalculations$2012'!D$10)^MIN('OriginalBCACalculations$2012'!$A40,20))</f>
        <v>2.4996475558968188</v>
      </c>
      <c r="E40" s="23">
        <f>($B$5/CommAndSportFishingValues!$I$19)*FishHarvestTimeTrends!AD49*((1+'OriginalBCACalculations$2012'!E$10)^MIN('OriginalBCACalculations$2012'!$A40,20))</f>
        <v>0.35505265150992432</v>
      </c>
      <c r="F40" s="23">
        <f t="shared" si="15"/>
        <v>8.0481322202476946</v>
      </c>
      <c r="H40" s="22">
        <f t="shared" si="14"/>
        <v>3.9100000000000003E-2</v>
      </c>
      <c r="I40" s="22"/>
      <c r="J40" s="41"/>
      <c r="K40" s="41">
        <f t="shared" si="6"/>
        <v>1.3589613530272031</v>
      </c>
      <c r="L40" s="41">
        <f t="shared" si="18"/>
        <v>0.41366331423818448</v>
      </c>
      <c r="M40" s="41">
        <f t="shared" si="18"/>
        <v>5.8756547435084246E-2</v>
      </c>
      <c r="N40" s="41">
        <f t="shared" si="6"/>
        <v>1.2951888742867268</v>
      </c>
      <c r="O40" s="67"/>
      <c r="P40" s="41">
        <f t="shared" si="13"/>
        <v>6.2923773614460363E-3</v>
      </c>
      <c r="R40" s="27">
        <f t="shared" si="17"/>
        <v>2.4975264660970513</v>
      </c>
      <c r="S40" s="27">
        <f t="shared" si="17"/>
        <v>1.9091190312756243</v>
      </c>
      <c r="T40" s="27">
        <f t="shared" si="17"/>
        <v>1.4632059602533187</v>
      </c>
      <c r="U40" s="27">
        <f t="shared" si="17"/>
        <v>1.1243590815216733</v>
      </c>
      <c r="V40" s="27">
        <f t="shared" si="17"/>
        <v>0.8661835627838097</v>
      </c>
      <c r="W40" s="27">
        <f t="shared" si="17"/>
        <v>0.66895826560269933</v>
      </c>
      <c r="X40" s="27">
        <f t="shared" si="17"/>
        <v>0.51790694753279276</v>
      </c>
      <c r="Y40" s="27">
        <f t="shared" si="17"/>
        <v>0.4019278515314938</v>
      </c>
    </row>
    <row r="41" spans="1:25" x14ac:dyDescent="0.25">
      <c r="A41" s="21">
        <v>29</v>
      </c>
      <c r="C41" s="25">
        <f t="shared" si="19"/>
        <v>8.4444059615573863</v>
      </c>
      <c r="D41" s="23">
        <f>($B$4/CommAndSportFishingValues!$I$18)*FishHarvestTimeTrends!AC50*((1+'OriginalBCACalculations$2012'!D$10)^MIN('OriginalBCACalculations$2012'!$A41,20))</f>
        <v>2.5188972397332146</v>
      </c>
      <c r="E41" s="23">
        <f>($B$5/CommAndSportFishingValues!$I$19)*FishHarvestTimeTrends!AD50*((1+'OriginalBCACalculations$2012'!E$10)^MIN('OriginalBCACalculations$2012'!$A41,20))</f>
        <v>0.35775699920931553</v>
      </c>
      <c r="F41" s="23">
        <f t="shared" si="15"/>
        <v>8.0521562863578175</v>
      </c>
      <c r="H41" s="22">
        <f t="shared" si="14"/>
        <v>3.9100000000000003E-2</v>
      </c>
      <c r="I41" s="22"/>
      <c r="J41" s="41"/>
      <c r="K41" s="41">
        <f t="shared" si="6"/>
        <v>1.2700573392777601</v>
      </c>
      <c r="L41" s="41">
        <f t="shared" si="18"/>
        <v>0.38662279523354148</v>
      </c>
      <c r="M41" s="41">
        <f t="shared" si="18"/>
        <v>5.4914623756664865E-2</v>
      </c>
      <c r="N41" s="41">
        <f t="shared" si="6"/>
        <v>1.2110621203026823</v>
      </c>
      <c r="O41" s="67"/>
      <c r="P41" s="41">
        <f t="shared" si="13"/>
        <v>5.8807265060243346E-3</v>
      </c>
      <c r="R41" s="27">
        <f t="shared" si="17"/>
        <v>2.5235045637429607</v>
      </c>
      <c r="S41" s="27">
        <f t="shared" si="17"/>
        <v>1.9098780109478253</v>
      </c>
      <c r="T41" s="27">
        <f t="shared" si="17"/>
        <v>1.449436805527599</v>
      </c>
      <c r="U41" s="27">
        <f t="shared" si="17"/>
        <v>1.1029651813315247</v>
      </c>
      <c r="V41" s="27">
        <f t="shared" si="17"/>
        <v>0.84153192068067173</v>
      </c>
      <c r="W41" s="27">
        <f t="shared" si="17"/>
        <v>0.64372995751236217</v>
      </c>
      <c r="X41" s="27">
        <f t="shared" si="17"/>
        <v>0.4936735588963031</v>
      </c>
      <c r="Y41" s="27">
        <f t="shared" si="17"/>
        <v>0.37954066946487475</v>
      </c>
    </row>
    <row r="42" spans="1:25" x14ac:dyDescent="0.25">
      <c r="A42" s="21">
        <v>30</v>
      </c>
      <c r="C42" s="25">
        <f t="shared" si="19"/>
        <v>8.4444059615573863</v>
      </c>
      <c r="D42" s="23">
        <f>($B$4/CommAndSportFishingValues!$I$18)*FishHarvestTimeTrends!AC51*((1+'OriginalBCACalculations$2012'!D$10)^MIN('OriginalBCACalculations$2012'!$A42,20))</f>
        <v>2.5381469235696095</v>
      </c>
      <c r="E42" s="23">
        <f>($B$5/CommAndSportFishingValues!$I$19)*FishHarvestTimeTrends!AD51*((1+'OriginalBCACalculations$2012'!E$10)^MIN('OriginalBCACalculations$2012'!$A42,20))</f>
        <v>0.36046134690870668</v>
      </c>
      <c r="F42" s="23">
        <f t="shared" si="15"/>
        <v>8.0561823645009962</v>
      </c>
      <c r="H42" s="22">
        <f t="shared" si="14"/>
        <v>3.9100000000000003E-2</v>
      </c>
      <c r="I42" s="22"/>
      <c r="J42" s="41"/>
      <c r="K42" s="41">
        <f t="shared" si="6"/>
        <v>1.1869694759605236</v>
      </c>
      <c r="L42" s="41">
        <f t="shared" si="18"/>
        <v>0.36134987122158618</v>
      </c>
      <c r="M42" s="41">
        <f t="shared" si="18"/>
        <v>5.1323912485089156E-2</v>
      </c>
      <c r="N42" s="41">
        <f t="shared" si="6"/>
        <v>1.1323996741708726</v>
      </c>
      <c r="O42" s="67"/>
      <c r="P42" s="41">
        <f t="shared" si="13"/>
        <v>5.4960060803965743E-3</v>
      </c>
      <c r="R42" s="27">
        <f t="shared" si="17"/>
        <v>2.5494846734219259</v>
      </c>
      <c r="S42" s="27">
        <f t="shared" si="17"/>
        <v>1.9104363188363358</v>
      </c>
      <c r="T42" s="27">
        <f t="shared" si="17"/>
        <v>1.4356461954986375</v>
      </c>
      <c r="U42" s="27">
        <f t="shared" si="17"/>
        <v>1.0818645469097266</v>
      </c>
      <c r="V42" s="27">
        <f t="shared" si="17"/>
        <v>0.81749586726922252</v>
      </c>
      <c r="W42" s="27">
        <f t="shared" si="17"/>
        <v>0.61938792207975768</v>
      </c>
      <c r="X42" s="27">
        <f t="shared" si="17"/>
        <v>0.47052457685879601</v>
      </c>
      <c r="Y42" s="27">
        <f t="shared" si="17"/>
        <v>0.35836274340165669</v>
      </c>
    </row>
    <row r="43" spans="1:25" x14ac:dyDescent="0.25">
      <c r="A43" s="21">
        <v>31</v>
      </c>
      <c r="C43" s="25">
        <f t="shared" si="19"/>
        <v>8.4444059615573863</v>
      </c>
      <c r="D43" s="23">
        <f>($B$4/CommAndSportFishingValues!$I$18)*FishHarvestTimeTrends!AC52*((1+'OriginalBCACalculations$2012'!D$10)^MIN('OriginalBCACalculations$2012'!$A43,20))</f>
        <v>2.5413771390055926</v>
      </c>
      <c r="E43" s="23">
        <f>($B$5/CommAndSportFishingValues!$I$19)*FishHarvestTimeTrends!AD52*((1+'OriginalBCACalculations$2012'!E$10)^MIN('OriginalBCACalculations$2012'!$A43,20))</f>
        <v>0.36092575303167934</v>
      </c>
      <c r="F43" s="23">
        <f t="shared" si="15"/>
        <v>8.0602104556832455</v>
      </c>
      <c r="H43" s="22">
        <f t="shared" si="14"/>
        <v>3.9100000000000003E-2</v>
      </c>
      <c r="I43" s="22"/>
      <c r="J43" s="41"/>
      <c r="K43" s="41">
        <f t="shared" si="6"/>
        <v>1.1093172672528258</v>
      </c>
      <c r="L43" s="41">
        <f t="shared" si="18"/>
        <v>0.33772899745012946</v>
      </c>
      <c r="M43" s="41">
        <f t="shared" si="18"/>
        <v>4.7967987563477969E-2</v>
      </c>
      <c r="N43" s="41">
        <f t="shared" si="6"/>
        <v>1.0588466112223907</v>
      </c>
      <c r="O43" s="67"/>
      <c r="P43" s="41">
        <f t="shared" si="13"/>
        <v>5.1364542807444619E-3</v>
      </c>
      <c r="R43" s="27">
        <f t="shared" si="17"/>
        <v>2.5572073861631299</v>
      </c>
      <c r="S43" s="27">
        <f t="shared" si="17"/>
        <v>1.8972507653289339</v>
      </c>
      <c r="T43" s="27">
        <f t="shared" si="17"/>
        <v>1.4117597549850762</v>
      </c>
      <c r="U43" s="27">
        <f t="shared" si="17"/>
        <v>1.0535355844354903</v>
      </c>
      <c r="V43" s="27">
        <f t="shared" si="17"/>
        <v>0.78843477503360804</v>
      </c>
      <c r="W43" s="27">
        <f t="shared" si="17"/>
        <v>0.59168012069434084</v>
      </c>
      <c r="X43" s="27">
        <f t="shared" si="17"/>
        <v>0.44523571277050344</v>
      </c>
      <c r="Y43" s="27">
        <f t="shared" si="17"/>
        <v>0.33593296228667424</v>
      </c>
    </row>
    <row r="44" spans="1:25" x14ac:dyDescent="0.25">
      <c r="A44" s="21">
        <v>32</v>
      </c>
      <c r="C44" s="25">
        <f t="shared" si="19"/>
        <v>8.4444059615573863</v>
      </c>
      <c r="D44" s="23">
        <f>($B$4/CommAndSportFishingValues!$I$18)*FishHarvestTimeTrends!AC53*((1+'OriginalBCACalculations$2012'!D$10)^MIN('OriginalBCACalculations$2012'!$A44,20))</f>
        <v>2.5446073544415748</v>
      </c>
      <c r="E44" s="23">
        <f>($B$5/CommAndSportFishingValues!$I$19)*FishHarvestTimeTrends!AD53*((1+'OriginalBCACalculations$2012'!E$10)^MIN('OriginalBCACalculations$2012'!$A44,20))</f>
        <v>0.36139015915465206</v>
      </c>
      <c r="F44" s="23">
        <f t="shared" si="15"/>
        <v>8.0642405609110863</v>
      </c>
      <c r="H44" s="22">
        <f t="shared" si="14"/>
        <v>3.9100000000000003E-2</v>
      </c>
      <c r="I44" s="22"/>
      <c r="J44" s="41"/>
      <c r="K44" s="41">
        <f t="shared" si="6"/>
        <v>1.0367451095820799</v>
      </c>
      <c r="L44" s="41">
        <f t="shared" si="6"/>
        <v>0.31240909574145526</v>
      </c>
      <c r="M44" s="41">
        <f t="shared" si="6"/>
        <v>4.4368956426341144E-2</v>
      </c>
      <c r="N44" s="41">
        <f t="shared" si="6"/>
        <v>0.99007106030654346</v>
      </c>
      <c r="O44" s="67"/>
      <c r="P44" s="41">
        <f t="shared" si="13"/>
        <v>4.8004245614434215E-3</v>
      </c>
      <c r="R44" s="27">
        <f t="shared" si="16"/>
        <v>2.5649321129499274</v>
      </c>
      <c r="S44" s="27">
        <f t="shared" si="16"/>
        <v>1.8841405120452512</v>
      </c>
      <c r="T44" s="27">
        <f t="shared" si="16"/>
        <v>1.3882591684013637</v>
      </c>
      <c r="U44" s="27">
        <f t="shared" si="16"/>
        <v>1.0259398733908045</v>
      </c>
      <c r="V44" s="27">
        <f t="shared" si="16"/>
        <v>0.76040043510285771</v>
      </c>
      <c r="W44" s="27">
        <f t="shared" si="16"/>
        <v>0.56520709359031751</v>
      </c>
      <c r="X44" s="27">
        <f t="shared" si="16"/>
        <v>0.42130251505905802</v>
      </c>
      <c r="Y44" s="27">
        <f t="shared" si="16"/>
        <v>0.31490442745370339</v>
      </c>
    </row>
    <row r="45" spans="1:25" x14ac:dyDescent="0.25">
      <c r="A45" s="21">
        <v>33</v>
      </c>
      <c r="C45" s="25">
        <f t="shared" si="19"/>
        <v>8.4444059615573863</v>
      </c>
      <c r="D45" s="23">
        <f>($B$4/CommAndSportFishingValues!$I$18)*FishHarvestTimeTrends!AC54*((1+'OriginalBCACalculations$2012'!D$10)^MIN('OriginalBCACalculations$2012'!$A45,20))</f>
        <v>2.5478375698775571</v>
      </c>
      <c r="E45" s="23">
        <f>($B$5/CommAndSportFishingValues!$I$19)*FishHarvestTimeTrends!AD54*((1+'OriginalBCACalculations$2012'!E$10)^MIN('OriginalBCACalculations$2012'!$A45,20))</f>
        <v>0.36185456527762466</v>
      </c>
      <c r="F45" s="23">
        <f t="shared" si="15"/>
        <v>8.0682726811915408</v>
      </c>
      <c r="H45" s="22">
        <f t="shared" si="14"/>
        <v>3.9100000000000003E-2</v>
      </c>
      <c r="I45" s="22"/>
      <c r="J45" s="41"/>
      <c r="K45" s="41">
        <f t="shared" si="6"/>
        <v>0.96892066316082248</v>
      </c>
      <c r="L45" s="41">
        <f t="shared" si="6"/>
        <v>0.29234175607736085</v>
      </c>
      <c r="M45" s="41">
        <f t="shared" si="6"/>
        <v>4.1519600899422554E-2</v>
      </c>
      <c r="N45" s="41">
        <f t="shared" si="6"/>
        <v>0.92576270638943614</v>
      </c>
      <c r="O45" s="67"/>
      <c r="P45" s="41">
        <f t="shared" si="13"/>
        <v>4.4863780948069367E-3</v>
      </c>
      <c r="R45" s="27">
        <f t="shared" si="16"/>
        <v>2.5726588547893368</v>
      </c>
      <c r="S45" s="27">
        <f t="shared" si="16"/>
        <v>1.8711053465505203</v>
      </c>
      <c r="T45" s="27">
        <f t="shared" si="16"/>
        <v>1.3651384669411684</v>
      </c>
      <c r="U45" s="27">
        <f t="shared" si="16"/>
        <v>0.99905870951509379</v>
      </c>
      <c r="V45" s="27">
        <f t="shared" si="16"/>
        <v>0.73335683363412829</v>
      </c>
      <c r="W45" s="27">
        <f t="shared" si="16"/>
        <v>0.5399140517760167</v>
      </c>
      <c r="X45" s="27">
        <f t="shared" si="16"/>
        <v>0.39865251868616397</v>
      </c>
      <c r="Y45" s="27">
        <f t="shared" si="16"/>
        <v>0.29518977830020404</v>
      </c>
    </row>
    <row r="46" spans="1:25" x14ac:dyDescent="0.25">
      <c r="A46" s="21">
        <v>34</v>
      </c>
      <c r="C46" s="25">
        <f t="shared" si="19"/>
        <v>8.4444059615573863</v>
      </c>
      <c r="D46" s="23">
        <f>($B$4/CommAndSportFishingValues!$I$18)*FishHarvestTimeTrends!AC55*((1+'OriginalBCACalculations$2012'!D$10)^MIN('OriginalBCACalculations$2012'!$A46,20))</f>
        <v>2.5510677853135397</v>
      </c>
      <c r="E46" s="23">
        <f>($B$5/CommAndSportFishingValues!$I$19)*FishHarvestTimeTrends!AD55*((1+'OriginalBCACalculations$2012'!E$10)^MIN('OriginalBCACalculations$2012'!$A46,20))</f>
        <v>0.36231897140059738</v>
      </c>
      <c r="F46" s="23">
        <f t="shared" si="15"/>
        <v>8.0723068175321355</v>
      </c>
      <c r="H46" s="22">
        <f t="shared" si="14"/>
        <v>3.9100000000000003E-2</v>
      </c>
      <c r="I46" s="22"/>
      <c r="J46" s="41"/>
      <c r="K46" s="41">
        <f t="shared" si="6"/>
        <v>0.90553333005684344</v>
      </c>
      <c r="L46" s="41">
        <f t="shared" si="6"/>
        <v>0.27356298564424569</v>
      </c>
      <c r="M46" s="41">
        <f t="shared" si="6"/>
        <v>3.8853165777293322E-2</v>
      </c>
      <c r="N46" s="41">
        <f t="shared" si="6"/>
        <v>0.86563139041367354</v>
      </c>
      <c r="O46" s="67"/>
      <c r="P46" s="41">
        <f t="shared" si="13"/>
        <v>4.1928767241186321E-3</v>
      </c>
      <c r="R46" s="27">
        <f t="shared" ref="R46:Y61" si="20">(SUM($D46:$H46)-SUM($B46:$C46))/((1+R$10)^($A46-1))</f>
        <v>2.5803876126888863</v>
      </c>
      <c r="S46" s="27">
        <f t="shared" si="20"/>
        <v>1.858145053365851</v>
      </c>
      <c r="T46" s="27">
        <f t="shared" si="20"/>
        <v>1.3423917679191131</v>
      </c>
      <c r="U46" s="27">
        <f t="shared" si="20"/>
        <v>0.97287385673336646</v>
      </c>
      <c r="V46" s="27">
        <f t="shared" si="20"/>
        <v>0.70726920907714297</v>
      </c>
      <c r="W46" s="27">
        <f t="shared" si="20"/>
        <v>0.51574862530364751</v>
      </c>
      <c r="X46" s="27">
        <f t="shared" si="20"/>
        <v>0.37721711970741034</v>
      </c>
      <c r="Y46" s="27">
        <f t="shared" si="20"/>
        <v>0.27670708850248782</v>
      </c>
    </row>
    <row r="47" spans="1:25" x14ac:dyDescent="0.25">
      <c r="A47" s="21">
        <v>35</v>
      </c>
      <c r="C47" s="25">
        <f t="shared" si="19"/>
        <v>8.4444059615573863</v>
      </c>
      <c r="D47" s="23">
        <f>($B$4/CommAndSportFishingValues!$I$18)*FishHarvestTimeTrends!AC56*((1+'OriginalBCACalculations$2012'!D$10)^MIN('OriginalBCACalculations$2012'!$A47,20))</f>
        <v>2.554298000749522</v>
      </c>
      <c r="E47" s="23">
        <f>($B$5/CommAndSportFishingValues!$I$19)*FishHarvestTimeTrends!AD56*((1+'OriginalBCACalculations$2012'!E$10)^MIN('OriginalBCACalculations$2012'!$A47,20))</f>
        <v>0.36278337752357009</v>
      </c>
      <c r="F47" s="23">
        <f t="shared" si="15"/>
        <v>8.0763429709409014</v>
      </c>
      <c r="H47" s="22">
        <f t="shared" si="14"/>
        <v>3.9100000000000003E-2</v>
      </c>
      <c r="I47" s="22"/>
      <c r="J47" s="41"/>
      <c r="K47" s="41">
        <f t="shared" si="6"/>
        <v>0.84629283182882564</v>
      </c>
      <c r="L47" s="41">
        <f t="shared" si="6"/>
        <v>0.25599007179782074</v>
      </c>
      <c r="M47" s="41">
        <f t="shared" si="6"/>
        <v>3.63579123626388E-2</v>
      </c>
      <c r="N47" s="41">
        <f t="shared" si="6"/>
        <v>0.80940580010175744</v>
      </c>
      <c r="O47" s="67"/>
      <c r="P47" s="41">
        <f t="shared" si="13"/>
        <v>3.9185763776809646E-3</v>
      </c>
      <c r="R47" s="27">
        <f t="shared" si="20"/>
        <v>2.588118387656607</v>
      </c>
      <c r="S47" s="27">
        <f t="shared" si="20"/>
        <v>1.8452594140480938</v>
      </c>
      <c r="T47" s="27">
        <f t="shared" si="20"/>
        <v>1.3200132736806707</v>
      </c>
      <c r="U47" s="27">
        <f t="shared" si="20"/>
        <v>0.94736753573184329</v>
      </c>
      <c r="V47" s="27">
        <f t="shared" si="20"/>
        <v>0.6821040090861934</v>
      </c>
      <c r="W47" s="27">
        <f t="shared" si="20"/>
        <v>0.49266075707574414</v>
      </c>
      <c r="X47" s="27">
        <f t="shared" si="20"/>
        <v>0.35693137028584782</v>
      </c>
      <c r="Y47" s="27">
        <f t="shared" si="20"/>
        <v>0.25937952881107224</v>
      </c>
    </row>
    <row r="48" spans="1:25" x14ac:dyDescent="0.25">
      <c r="A48" s="21">
        <v>36</v>
      </c>
      <c r="C48" s="25">
        <f t="shared" si="19"/>
        <v>8.4444059615573863</v>
      </c>
      <c r="D48" s="23">
        <f>($B$4/CommAndSportFishingValues!$I$18)*FishHarvestTimeTrends!AC57*((1+'OriginalBCACalculations$2012'!D$10)^MIN('OriginalBCACalculations$2012'!$A48,20))</f>
        <v>2.5575282161855042</v>
      </c>
      <c r="E48" s="23">
        <f>($B$5/CommAndSportFishingValues!$I$19)*FishHarvestTimeTrends!AD57*((1+'OriginalBCACalculations$2012'!E$10)^MIN('OriginalBCACalculations$2012'!$A48,20))</f>
        <v>0.36324778364654275</v>
      </c>
      <c r="F48" s="23">
        <f t="shared" si="15"/>
        <v>8.0803811424263721</v>
      </c>
      <c r="H48" s="22">
        <f t="shared" si="14"/>
        <v>3.9100000000000003E-2</v>
      </c>
      <c r="I48" s="22"/>
      <c r="J48" s="41"/>
      <c r="K48" s="41">
        <f t="shared" si="6"/>
        <v>0.79092788021385574</v>
      </c>
      <c r="L48" s="41">
        <f t="shared" si="6"/>
        <v>0.23954560922621246</v>
      </c>
      <c r="M48" s="41">
        <f t="shared" si="6"/>
        <v>3.4022854990613763E-2</v>
      </c>
      <c r="N48" s="41">
        <f t="shared" si="6"/>
        <v>0.75683224579608255</v>
      </c>
      <c r="O48" s="67"/>
      <c r="P48" s="41">
        <f t="shared" si="13"/>
        <v>3.6622209137205275E-3</v>
      </c>
      <c r="R48" s="27">
        <f t="shared" si="20"/>
        <v>2.5958511807010325</v>
      </c>
      <c r="S48" s="27">
        <f t="shared" si="20"/>
        <v>1.8324482072684427</v>
      </c>
      <c r="T48" s="27">
        <f t="shared" si="20"/>
        <v>1.2979972705218514</v>
      </c>
      <c r="U48" s="27">
        <f t="shared" si="20"/>
        <v>0.92252241280244707</v>
      </c>
      <c r="V48" s="27">
        <f t="shared" si="20"/>
        <v>0.65782884889534499</v>
      </c>
      <c r="W48" s="27">
        <f t="shared" si="20"/>
        <v>0.47060260128211451</v>
      </c>
      <c r="X48" s="27">
        <f t="shared" si="20"/>
        <v>0.33773378454396474</v>
      </c>
      <c r="Y48" s="27">
        <f t="shared" si="20"/>
        <v>0.24313505071277353</v>
      </c>
    </row>
    <row r="49" spans="1:25" x14ac:dyDescent="0.25">
      <c r="A49" s="21">
        <v>37</v>
      </c>
      <c r="C49" s="25">
        <f t="shared" si="19"/>
        <v>8.4444059615573863</v>
      </c>
      <c r="D49" s="23">
        <f>($B$4/CommAndSportFishingValues!$I$18)*FishHarvestTimeTrends!AC58*((1+'OriginalBCACalculations$2012'!D$10)^MIN('OriginalBCACalculations$2012'!$A49,20))</f>
        <v>2.5607584316214873</v>
      </c>
      <c r="E49" s="23">
        <f>($B$5/CommAndSportFishingValues!$I$19)*FishHarvestTimeTrends!AD58*((1+'OriginalBCACalculations$2012'!E$10)^MIN('OriginalBCACalculations$2012'!$A49,20))</f>
        <v>0.36371218976951536</v>
      </c>
      <c r="F49" s="23">
        <f t="shared" si="15"/>
        <v>8.084421332997584</v>
      </c>
      <c r="H49" s="22">
        <f t="shared" si="14"/>
        <v>3.9100000000000003E-2</v>
      </c>
      <c r="I49" s="22"/>
      <c r="J49" s="41"/>
      <c r="K49" s="41">
        <f t="shared" si="6"/>
        <v>0.73918493477930447</v>
      </c>
      <c r="L49" s="41">
        <f t="shared" si="6"/>
        <v>0.22415715953032933</v>
      </c>
      <c r="M49" s="41">
        <f t="shared" si="6"/>
        <v>3.1837712741090624E-2</v>
      </c>
      <c r="N49" s="41">
        <f t="shared" si="6"/>
        <v>0.70767351581213123</v>
      </c>
      <c r="O49" s="67"/>
      <c r="P49" s="41">
        <f t="shared" si="13"/>
        <v>3.4226363679631098E-3</v>
      </c>
      <c r="R49" s="27">
        <f t="shared" si="20"/>
        <v>2.6035859928311993</v>
      </c>
      <c r="S49" s="27">
        <f t="shared" si="20"/>
        <v>1.8197112088897824</v>
      </c>
      <c r="T49" s="27">
        <f t="shared" si="20"/>
        <v>1.2763381276187071</v>
      </c>
      <c r="U49" s="27">
        <f t="shared" si="20"/>
        <v>0.89832158895017022</v>
      </c>
      <c r="V49" s="27">
        <f t="shared" si="20"/>
        <v>0.63441247110797927</v>
      </c>
      <c r="W49" s="27">
        <f t="shared" si="20"/>
        <v>0.44952842626699152</v>
      </c>
      <c r="X49" s="27">
        <f t="shared" si="20"/>
        <v>0.31956615468366334</v>
      </c>
      <c r="Y49" s="27">
        <f t="shared" si="20"/>
        <v>0.22790608967220979</v>
      </c>
    </row>
    <row r="50" spans="1:25" x14ac:dyDescent="0.25">
      <c r="A50" s="21">
        <v>38</v>
      </c>
      <c r="C50" s="25">
        <f t="shared" si="19"/>
        <v>8.4444059615573863</v>
      </c>
      <c r="D50" s="23">
        <f>($B$4/CommAndSportFishingValues!$I$18)*FishHarvestTimeTrends!AC59*((1+'OriginalBCACalculations$2012'!D$10)^MIN('OriginalBCACalculations$2012'!$A50,20))</f>
        <v>2.5639886470574695</v>
      </c>
      <c r="E50" s="23">
        <f>($B$5/CommAndSportFishingValues!$I$19)*FishHarvestTimeTrends!AD59*((1+'OriginalBCACalculations$2012'!E$10)^MIN('OriginalBCACalculations$2012'!$A50,20))</f>
        <v>0.36417659589248808</v>
      </c>
      <c r="F50" s="23">
        <f t="shared" si="15"/>
        <v>8.0884635436640817</v>
      </c>
      <c r="H50" s="22">
        <f t="shared" si="14"/>
        <v>3.9100000000000003E-2</v>
      </c>
      <c r="I50" s="22"/>
      <c r="J50" s="41"/>
      <c r="K50" s="41">
        <f t="shared" si="6"/>
        <v>0.69082704184981714</v>
      </c>
      <c r="L50" s="41">
        <f t="shared" si="6"/>
        <v>0.20975693263052858</v>
      </c>
      <c r="M50" s="41">
        <f t="shared" si="6"/>
        <v>2.9792864246065309E-2</v>
      </c>
      <c r="N50" s="41">
        <f t="shared" si="6"/>
        <v>0.66170780614022162</v>
      </c>
      <c r="O50" s="67"/>
      <c r="P50" s="41">
        <f t="shared" si="13"/>
        <v>3.1987255775356165E-3</v>
      </c>
      <c r="R50" s="27">
        <f t="shared" si="20"/>
        <v>2.6113228250566518</v>
      </c>
      <c r="S50" s="27">
        <f t="shared" si="20"/>
        <v>1.8070481920428032</v>
      </c>
      <c r="T50" s="27">
        <f t="shared" si="20"/>
        <v>1.2550302959666815</v>
      </c>
      <c r="U50" s="27">
        <f t="shared" si="20"/>
        <v>0.87474858925745136</v>
      </c>
      <c r="V50" s="27">
        <f t="shared" si="20"/>
        <v>0.61182470685341106</v>
      </c>
      <c r="W50" s="27">
        <f t="shared" si="20"/>
        <v>0.42939452163466518</v>
      </c>
      <c r="X50" s="27">
        <f t="shared" si="20"/>
        <v>0.30237337683369492</v>
      </c>
      <c r="Y50" s="27">
        <f t="shared" si="20"/>
        <v>0.21362928674453388</v>
      </c>
    </row>
    <row r="51" spans="1:25" x14ac:dyDescent="0.25">
      <c r="A51" s="21">
        <v>39</v>
      </c>
      <c r="C51" s="25">
        <f t="shared" si="19"/>
        <v>8.4444059615573863</v>
      </c>
      <c r="D51" s="23">
        <f>($B$4/CommAndSportFishingValues!$I$18)*FishHarvestTimeTrends!AC60*((1+'OriginalBCACalculations$2012'!D$10)^MIN('OriginalBCACalculations$2012'!$A51,20))</f>
        <v>2.5672188624934518</v>
      </c>
      <c r="E51" s="23">
        <f>($B$5/CommAndSportFishingValues!$I$19)*FishHarvestTimeTrends!AD60*((1+'OriginalBCACalculations$2012'!E$10)^MIN('OriginalBCACalculations$2012'!$A51,20))</f>
        <v>0.36464100201546074</v>
      </c>
      <c r="F51" s="23">
        <f t="shared" si="15"/>
        <v>8.092507775435914</v>
      </c>
      <c r="H51" s="22">
        <f t="shared" si="14"/>
        <v>3.9100000000000003E-2</v>
      </c>
      <c r="I51" s="22"/>
      <c r="J51" s="41"/>
      <c r="K51" s="41">
        <f t="shared" si="6"/>
        <v>0.64563274939235249</v>
      </c>
      <c r="L51" s="41">
        <f t="shared" si="6"/>
        <v>0.19628148860075278</v>
      </c>
      <c r="M51" s="41">
        <f t="shared" si="6"/>
        <v>2.7879305393911383E-2</v>
      </c>
      <c r="N51" s="41">
        <f t="shared" si="6"/>
        <v>0.61872771966662787</v>
      </c>
      <c r="O51" s="67"/>
      <c r="P51" s="41">
        <f t="shared" si="13"/>
        <v>2.9894631565753425E-3</v>
      </c>
      <c r="R51" s="27">
        <f t="shared" si="20"/>
        <v>2.6190616783874408</v>
      </c>
      <c r="S51" s="27">
        <f t="shared" si="20"/>
        <v>1.7944589272008877</v>
      </c>
      <c r="T51" s="27">
        <f t="shared" si="20"/>
        <v>1.2340683073298235</v>
      </c>
      <c r="U51" s="27">
        <f t="shared" si="20"/>
        <v>0.85178735249981619</v>
      </c>
      <c r="V51" s="27">
        <f t="shared" si="20"/>
        <v>0.59003643826485763</v>
      </c>
      <c r="W51" s="27">
        <f t="shared" si="20"/>
        <v>0.41015910941009298</v>
      </c>
      <c r="X51" s="27">
        <f t="shared" si="20"/>
        <v>0.28610328611231678</v>
      </c>
      <c r="Y51" s="27">
        <f t="shared" si="20"/>
        <v>0.2002452274255149</v>
      </c>
    </row>
    <row r="52" spans="1:25" x14ac:dyDescent="0.25">
      <c r="A52" s="21">
        <v>40</v>
      </c>
      <c r="C52" s="25">
        <f t="shared" si="19"/>
        <v>8.4444059615573863</v>
      </c>
      <c r="D52" s="23">
        <f>($B$4/CommAndSportFishingValues!$I$18)*FishHarvestTimeTrends!AC61*((1+'OriginalBCACalculations$2012'!D$10)^MIN('OriginalBCACalculations$2012'!$A52,20))</f>
        <v>2.5704490779294349</v>
      </c>
      <c r="E52" s="23">
        <f>($B$5/CommAndSportFishingValues!$I$19)*FishHarvestTimeTrends!AD61*((1+'OriginalBCACalculations$2012'!E$10)^MIN('OriginalBCACalculations$2012'!$A52,20))</f>
        <v>0.36510540813843345</v>
      </c>
      <c r="F52" s="23">
        <f t="shared" si="15"/>
        <v>8.0965540293236309</v>
      </c>
      <c r="H52" s="22">
        <f t="shared" si="14"/>
        <v>3.9100000000000003E-2</v>
      </c>
      <c r="I52" s="22"/>
      <c r="J52" s="41"/>
      <c r="K52" s="41">
        <f t="shared" si="6"/>
        <v>0.603395092890049</v>
      </c>
      <c r="L52" s="41">
        <f t="shared" si="6"/>
        <v>0.18367145862091225</v>
      </c>
      <c r="M52" s="41">
        <f t="shared" si="6"/>
        <v>2.6088609744872957E-2</v>
      </c>
      <c r="N52" s="41">
        <f t="shared" si="6"/>
        <v>0.57853933039856176</v>
      </c>
      <c r="O52" s="67"/>
      <c r="P52" s="41">
        <f t="shared" si="13"/>
        <v>2.7938908005377032E-3</v>
      </c>
      <c r="R52" s="27">
        <f t="shared" si="20"/>
        <v>2.6268025538341124</v>
      </c>
      <c r="S52" s="27">
        <f t="shared" si="20"/>
        <v>1.7819431822537899</v>
      </c>
      <c r="T52" s="27">
        <f t="shared" si="20"/>
        <v>1.2134467731998821</v>
      </c>
      <c r="U52" s="27">
        <f t="shared" si="20"/>
        <v>0.82942222100715168</v>
      </c>
      <c r="V52" s="27">
        <f t="shared" si="20"/>
        <v>0.56901956223453243</v>
      </c>
      <c r="W52" s="27">
        <f t="shared" si="20"/>
        <v>0.39178225907885267</v>
      </c>
      <c r="X52" s="27">
        <f t="shared" si="20"/>
        <v>0.27070650041976446</v>
      </c>
      <c r="Y52" s="27">
        <f t="shared" si="20"/>
        <v>0.18769819667483559</v>
      </c>
    </row>
    <row r="53" spans="1:25" x14ac:dyDescent="0.25">
      <c r="A53" s="21">
        <v>41</v>
      </c>
      <c r="C53" s="25">
        <f t="shared" si="19"/>
        <v>8.4444059615573863</v>
      </c>
      <c r="D53" s="23">
        <f>($B$4/CommAndSportFishingValues!$I$18)*FishHarvestTimeTrends!AC62*((1+'OriginalBCACalculations$2012'!D$10)^MIN('OriginalBCACalculations$2012'!$A53,20))</f>
        <v>2.5705924732506036</v>
      </c>
      <c r="E53" s="23">
        <f>($B$5/CommAndSportFishingValues!$I$19)*FishHarvestTimeTrends!AD62*((1+'OriginalBCACalculations$2012'!E$10)^MIN('OriginalBCACalculations$2012'!$A53,20))</f>
        <v>0.36511845716443381</v>
      </c>
      <c r="F53" s="23">
        <f t="shared" si="15"/>
        <v>8.1006023063382919</v>
      </c>
      <c r="H53" s="22">
        <f t="shared" si="14"/>
        <v>3.9100000000000003E-2</v>
      </c>
      <c r="I53" s="22"/>
      <c r="J53" s="41"/>
      <c r="K53" s="41">
        <f t="shared" si="6"/>
        <v>0.56392064756079352</v>
      </c>
      <c r="L53" s="41">
        <f t="shared" si="6"/>
        <v>0.17166514479877437</v>
      </c>
      <c r="M53" s="41">
        <f t="shared" si="6"/>
        <v>2.438274968516459E-2</v>
      </c>
      <c r="N53" s="41">
        <f t="shared" si="6"/>
        <v>0.5409613084708047</v>
      </c>
      <c r="O53" s="67"/>
      <c r="P53" s="41">
        <f t="shared" si="13"/>
        <v>2.6111128976987882E-3</v>
      </c>
      <c r="R53" s="27">
        <f t="shared" si="20"/>
        <v>2.6310072751959428</v>
      </c>
      <c r="S53" s="27">
        <f t="shared" si="20"/>
        <v>1.7671242947500032</v>
      </c>
      <c r="T53" s="27">
        <f t="shared" si="20"/>
        <v>1.191557977218868</v>
      </c>
      <c r="U53" s="27">
        <f t="shared" si="20"/>
        <v>0.8065532783369701</v>
      </c>
      <c r="V53" s="27">
        <f t="shared" si="20"/>
        <v>0.54800999185181054</v>
      </c>
      <c r="W53" s="27">
        <f t="shared" si="20"/>
        <v>0.37372322354220255</v>
      </c>
      <c r="X53" s="27">
        <f t="shared" si="20"/>
        <v>0.25579228317154379</v>
      </c>
      <c r="Y53" s="27">
        <f t="shared" si="20"/>
        <v>0.17569966829164888</v>
      </c>
    </row>
    <row r="54" spans="1:25" x14ac:dyDescent="0.25">
      <c r="A54" s="21">
        <v>42</v>
      </c>
      <c r="C54" s="25">
        <f t="shared" si="19"/>
        <v>8.4444059615573863</v>
      </c>
      <c r="D54" s="23">
        <f>($B$4/CommAndSportFishingValues!$I$18)*FishHarvestTimeTrends!AC63*((1+'OriginalBCACalculations$2012'!D$10)^MIN('OriginalBCACalculations$2012'!$A54,20))</f>
        <v>2.5707358685717709</v>
      </c>
      <c r="E54" s="23">
        <f>($B$5/CommAndSportFishingValues!$I$19)*FishHarvestTimeTrends!AD63*((1+'OriginalBCACalculations$2012'!E$10)^MIN('OriginalBCACalculations$2012'!$A54,20))</f>
        <v>0.36513150619043427</v>
      </c>
      <c r="F54" s="23">
        <f t="shared" si="15"/>
        <v>8.1046526074914613</v>
      </c>
      <c r="H54" s="22">
        <f t="shared" si="14"/>
        <v>3.9100000000000003E-2</v>
      </c>
      <c r="I54" s="22"/>
      <c r="J54" s="41"/>
      <c r="K54" s="41">
        <f t="shared" si="6"/>
        <v>0.52702864258018089</v>
      </c>
      <c r="L54" s="41">
        <f t="shared" si="6"/>
        <v>0.16044366429248386</v>
      </c>
      <c r="M54" s="41">
        <f t="shared" si="6"/>
        <v>2.2788430938404467E-2</v>
      </c>
      <c r="N54" s="41">
        <f t="shared" si="6"/>
        <v>0.50582410198601879</v>
      </c>
      <c r="O54" s="67"/>
      <c r="P54" s="41">
        <f t="shared" si="13"/>
        <v>2.4402924277558769E-3</v>
      </c>
      <c r="R54" s="27">
        <f t="shared" si="20"/>
        <v>2.6352140206962797</v>
      </c>
      <c r="S54" s="27">
        <f t="shared" si="20"/>
        <v>1.7524255134353381</v>
      </c>
      <c r="T54" s="27">
        <f t="shared" si="20"/>
        <v>1.1700619332697004</v>
      </c>
      <c r="U54" s="27">
        <f t="shared" si="20"/>
        <v>0.78431348053154637</v>
      </c>
      <c r="V54" s="27">
        <f t="shared" si="20"/>
        <v>0.52777520274347678</v>
      </c>
      <c r="W54" s="27">
        <f t="shared" si="20"/>
        <v>0.35649597483529666</v>
      </c>
      <c r="X54" s="27">
        <f t="shared" si="20"/>
        <v>0.24169931337001838</v>
      </c>
      <c r="Y54" s="27">
        <f t="shared" si="20"/>
        <v>0.16446784706448209</v>
      </c>
    </row>
    <row r="55" spans="1:25" x14ac:dyDescent="0.25">
      <c r="A55" s="21">
        <v>43</v>
      </c>
      <c r="C55" s="25">
        <f t="shared" si="19"/>
        <v>8.4444059615573863</v>
      </c>
      <c r="D55" s="23">
        <f>($B$4/CommAndSportFishingValues!$I$18)*FishHarvestTimeTrends!AC64*((1+'OriginalBCACalculations$2012'!D$10)^MIN('OriginalBCACalculations$2012'!$A55,20))</f>
        <v>2.5708792638929401</v>
      </c>
      <c r="E55" s="23">
        <f>($B$5/CommAndSportFishingValues!$I$19)*FishHarvestTimeTrends!AD64*((1+'OriginalBCACalculations$2012'!E$10)^MIN('OriginalBCACalculations$2012'!$A55,20))</f>
        <v>0.36514455521643474</v>
      </c>
      <c r="F55" s="23">
        <f t="shared" si="15"/>
        <v>8.108704933795206</v>
      </c>
      <c r="H55" s="22">
        <f t="shared" si="14"/>
        <v>3.9100000000000003E-2</v>
      </c>
      <c r="I55" s="22"/>
      <c r="J55" s="41"/>
      <c r="K55" s="41">
        <f t="shared" si="6"/>
        <v>0.49255013325250552</v>
      </c>
      <c r="L55" s="41">
        <f t="shared" si="6"/>
        <v>0.14995571385024126</v>
      </c>
      <c r="M55" s="41">
        <f t="shared" si="6"/>
        <v>2.1298360138895075E-2</v>
      </c>
      <c r="N55" s="41">
        <f t="shared" si="6"/>
        <v>0.47296917199720723</v>
      </c>
      <c r="O55" s="67"/>
      <c r="P55" s="41">
        <f t="shared" si="13"/>
        <v>2.2806471287438101E-3</v>
      </c>
      <c r="R55" s="27">
        <f t="shared" si="20"/>
        <v>2.6394227913471937</v>
      </c>
      <c r="S55" s="27">
        <f t="shared" si="20"/>
        <v>1.7378458999981583</v>
      </c>
      <c r="T55" s="27">
        <f t="shared" si="20"/>
        <v>1.148951637661098</v>
      </c>
      <c r="U55" s="27">
        <f t="shared" si="20"/>
        <v>0.76268556167572665</v>
      </c>
      <c r="V55" s="27">
        <f t="shared" si="20"/>
        <v>0.50828666019905711</v>
      </c>
      <c r="W55" s="27">
        <f t="shared" si="20"/>
        <v>0.34006223244971967</v>
      </c>
      <c r="X55" s="27">
        <f t="shared" si="20"/>
        <v>0.22838239414601696</v>
      </c>
      <c r="Y55" s="27">
        <f t="shared" si="20"/>
        <v>0.15395375986258183</v>
      </c>
    </row>
    <row r="56" spans="1:25" x14ac:dyDescent="0.25">
      <c r="A56" s="21">
        <v>44</v>
      </c>
      <c r="C56" s="25">
        <f t="shared" si="19"/>
        <v>8.4444059615573863</v>
      </c>
      <c r="D56" s="23">
        <f>($B$4/CommAndSportFishingValues!$I$18)*FishHarvestTimeTrends!AC65*((1+'OriginalBCACalculations$2012'!D$10)^MIN('OriginalBCACalculations$2012'!$A56,20))</f>
        <v>2.5710226592141083</v>
      </c>
      <c r="E56" s="23">
        <f>($B$5/CommAndSportFishingValues!$I$19)*FishHarvestTimeTrends!AD65*((1+'OriginalBCACalculations$2012'!E$10)^MIN('OriginalBCACalculations$2012'!$A56,20))</f>
        <v>0.3651576042424351</v>
      </c>
      <c r="F56" s="23">
        <f t="shared" si="15"/>
        <v>8.1127592862621025</v>
      </c>
      <c r="H56" s="22">
        <f t="shared" si="14"/>
        <v>3.9100000000000003E-2</v>
      </c>
      <c r="I56" s="22"/>
      <c r="J56" s="41"/>
      <c r="K56" s="41">
        <f t="shared" si="6"/>
        <v>0.46032722733879011</v>
      </c>
      <c r="L56" s="41">
        <f t="shared" si="6"/>
        <v>0.14015334382656333</v>
      </c>
      <c r="M56" s="41">
        <f t="shared" si="6"/>
        <v>1.9905720813023831E-2</v>
      </c>
      <c r="N56" s="41">
        <f t="shared" si="6"/>
        <v>0.44224827718056609</v>
      </c>
      <c r="O56" s="67"/>
      <c r="P56" s="41">
        <f t="shared" si="13"/>
        <v>2.1314459147138407E-3</v>
      </c>
      <c r="R56" s="27">
        <f t="shared" si="20"/>
        <v>2.6436335881612596</v>
      </c>
      <c r="S56" s="27">
        <f t="shared" si="20"/>
        <v>1.7233845230523825</v>
      </c>
      <c r="T56" s="27">
        <f t="shared" si="20"/>
        <v>1.1282202106844175</v>
      </c>
      <c r="U56" s="27">
        <f t="shared" si="20"/>
        <v>0.74165272840356178</v>
      </c>
      <c r="V56" s="27">
        <f t="shared" si="20"/>
        <v>0.48951687894445162</v>
      </c>
      <c r="W56" s="27">
        <f t="shared" si="20"/>
        <v>0.32438547611039648</v>
      </c>
      <c r="X56" s="27">
        <f t="shared" si="20"/>
        <v>0.21579881457572703</v>
      </c>
      <c r="Y56" s="27">
        <f t="shared" si="20"/>
        <v>0.14411156039607695</v>
      </c>
    </row>
    <row r="57" spans="1:25" x14ac:dyDescent="0.25">
      <c r="A57" s="21">
        <v>45</v>
      </c>
      <c r="C57" s="25">
        <f t="shared" si="19"/>
        <v>8.4444059615573863</v>
      </c>
      <c r="D57" s="23">
        <f>($B$4/CommAndSportFishingValues!$I$18)*FishHarvestTimeTrends!AC66*((1+'OriginalBCACalculations$2012'!D$10)^MIN('OriginalBCACalculations$2012'!$A57,20))</f>
        <v>2.5711660545352761</v>
      </c>
      <c r="E57" s="23">
        <f>($B$5/CommAndSportFishingValues!$I$19)*FishHarvestTimeTrends!AD66*((1+'OriginalBCACalculations$2012'!E$10)^MIN('OriginalBCACalculations$2012'!$A57,20))</f>
        <v>0.36517065326843556</v>
      </c>
      <c r="F57" s="23">
        <f t="shared" si="15"/>
        <v>8.116815665905234</v>
      </c>
      <c r="H57" s="22">
        <f t="shared" si="14"/>
        <v>3.9100000000000003E-2</v>
      </c>
      <c r="I57" s="22"/>
      <c r="J57" s="41"/>
      <c r="K57" s="41">
        <f t="shared" si="6"/>
        <v>0.43021236199886936</v>
      </c>
      <c r="L57" s="41">
        <f t="shared" si="6"/>
        <v>0.1309917389628826</v>
      </c>
      <c r="M57" s="41">
        <f t="shared" si="6"/>
        <v>1.860414219667738E-2</v>
      </c>
      <c r="N57" s="41">
        <f t="shared" si="6"/>
        <v>0.41352280497117427</v>
      </c>
      <c r="O57" s="67"/>
      <c r="P57" s="41">
        <f t="shared" si="13"/>
        <v>1.9920055277699452E-3</v>
      </c>
      <c r="R57" s="27">
        <f t="shared" si="20"/>
        <v>2.6478464121515586</v>
      </c>
      <c r="S57" s="27">
        <f t="shared" si="20"/>
        <v>1.7090404580912038</v>
      </c>
      <c r="T57" s="27">
        <f t="shared" si="20"/>
        <v>1.1078608944380015</v>
      </c>
      <c r="U57" s="27">
        <f t="shared" si="20"/>
        <v>0.72119864700431902</v>
      </c>
      <c r="V57" s="27">
        <f t="shared" si="20"/>
        <v>0.47143938460495949</v>
      </c>
      <c r="W57" s="27">
        <f t="shared" si="20"/>
        <v>0.30943086490950644</v>
      </c>
      <c r="X57" s="27">
        <f t="shared" si="20"/>
        <v>0.20390821303027329</v>
      </c>
      <c r="Y57" s="27">
        <f t="shared" si="20"/>
        <v>0.1348983296596348</v>
      </c>
    </row>
    <row r="58" spans="1:25" x14ac:dyDescent="0.25">
      <c r="A58" s="21">
        <v>46</v>
      </c>
      <c r="C58" s="25">
        <f t="shared" si="19"/>
        <v>8.4444059615573863</v>
      </c>
      <c r="D58" s="23">
        <f>($B$4/CommAndSportFishingValues!$I$18)*FishHarvestTimeTrends!AC67*((1+'OriginalBCACalculations$2012'!D$10)^MIN('OriginalBCACalculations$2012'!$A58,20))</f>
        <v>2.5713094498564448</v>
      </c>
      <c r="E58" s="23">
        <f>($B$5/CommAndSportFishingValues!$I$19)*FishHarvestTimeTrends!AD67*((1+'OriginalBCACalculations$2012'!E$10)^MIN('OriginalBCACalculations$2012'!$A58,20))</f>
        <v>0.36518370229443597</v>
      </c>
      <c r="F58" s="23">
        <f t="shared" si="15"/>
        <v>8.1208740737381859</v>
      </c>
      <c r="H58" s="22">
        <f t="shared" si="14"/>
        <v>3.9100000000000003E-2</v>
      </c>
      <c r="I58" s="22"/>
      <c r="J58" s="41"/>
      <c r="K58" s="41">
        <f t="shared" si="6"/>
        <v>0.40206762803632645</v>
      </c>
      <c r="L58" s="41">
        <f t="shared" si="6"/>
        <v>0.12242901349812688</v>
      </c>
      <c r="M58" s="41">
        <f t="shared" si="6"/>
        <v>1.7387670091593813E-2</v>
      </c>
      <c r="N58" s="41">
        <f t="shared" si="6"/>
        <v>0.38666314614360725</v>
      </c>
      <c r="O58" s="67"/>
      <c r="P58" s="41">
        <f t="shared" si="13"/>
        <v>1.8616874091307897E-3</v>
      </c>
      <c r="R58" s="27">
        <f t="shared" si="20"/>
        <v>2.6520612643316799</v>
      </c>
      <c r="S58" s="27">
        <f t="shared" si="20"/>
        <v>1.6948127874410652</v>
      </c>
      <c r="T58" s="27">
        <f t="shared" si="20"/>
        <v>1.0878670506893002</v>
      </c>
      <c r="U58" s="27">
        <f t="shared" si="20"/>
        <v>0.70130743087912395</v>
      </c>
      <c r="V58" s="27">
        <f t="shared" si="20"/>
        <v>0.4540286765811089</v>
      </c>
      <c r="W58" s="27">
        <f t="shared" si="20"/>
        <v>0.29516516015182259</v>
      </c>
      <c r="X58" s="27">
        <f t="shared" si="20"/>
        <v>0.19267244803206127</v>
      </c>
      <c r="Y58" s="27">
        <f t="shared" si="20"/>
        <v>0.12627388910613224</v>
      </c>
    </row>
    <row r="59" spans="1:25" x14ac:dyDescent="0.25">
      <c r="A59" s="21">
        <v>47</v>
      </c>
      <c r="C59" s="25">
        <f t="shared" si="19"/>
        <v>8.4444059615573863</v>
      </c>
      <c r="D59" s="23">
        <f>($B$4/CommAndSportFishingValues!$I$18)*FishHarvestTimeTrends!AC68*((1+'OriginalBCACalculations$2012'!D$10)^MIN('OriginalBCACalculations$2012'!$A59,20))</f>
        <v>2.5714528451776126</v>
      </c>
      <c r="E59" s="23">
        <f>($B$5/CommAndSportFishingValues!$I$19)*FishHarvestTimeTrends!AD68*((1+'OriginalBCACalculations$2012'!E$10)^MIN('OriginalBCACalculations$2012'!$A59,20))</f>
        <v>0.36519675132043644</v>
      </c>
      <c r="F59" s="23">
        <f t="shared" si="15"/>
        <v>8.1249345107750539</v>
      </c>
      <c r="H59" s="22">
        <f t="shared" si="14"/>
        <v>3.9100000000000003E-2</v>
      </c>
      <c r="I59" s="22"/>
      <c r="J59" s="41"/>
      <c r="K59" s="41">
        <f t="shared" si="6"/>
        <v>0.37576413835170697</v>
      </c>
      <c r="L59" s="41">
        <f t="shared" si="6"/>
        <v>0.11442601967255556</v>
      </c>
      <c r="M59" s="41">
        <f t="shared" si="6"/>
        <v>1.6250739627332852E-2</v>
      </c>
      <c r="N59" s="41">
        <f t="shared" si="6"/>
        <v>0.36154811001558784</v>
      </c>
      <c r="O59" s="67"/>
      <c r="P59" s="41">
        <f t="shared" si="13"/>
        <v>1.7398947748885885E-3</v>
      </c>
      <c r="R59" s="27">
        <f t="shared" si="20"/>
        <v>2.6562781457157154</v>
      </c>
      <c r="S59" s="27">
        <f t="shared" si="20"/>
        <v>1.6807006002158724</v>
      </c>
      <c r="T59" s="27">
        <f t="shared" si="20"/>
        <v>1.0682321587741128</v>
      </c>
      <c r="U59" s="27">
        <f t="shared" si="20"/>
        <v>0.68196362833873458</v>
      </c>
      <c r="V59" s="27">
        <f t="shared" si="20"/>
        <v>0.43726019228558982</v>
      </c>
      <c r="W59" s="27">
        <f t="shared" si="20"/>
        <v>0.28155665174131356</v>
      </c>
      <c r="X59" s="27">
        <f t="shared" si="20"/>
        <v>0.18205547620578563</v>
      </c>
      <c r="Y59" s="27">
        <f t="shared" si="20"/>
        <v>0.11820062573865783</v>
      </c>
    </row>
    <row r="60" spans="1:25" x14ac:dyDescent="0.25">
      <c r="A60" s="21">
        <v>48</v>
      </c>
      <c r="C60" s="25">
        <f t="shared" si="19"/>
        <v>8.4444059615573863</v>
      </c>
      <c r="D60" s="23">
        <f>($B$4/CommAndSportFishingValues!$I$18)*FishHarvestTimeTrends!AC69*((1+'OriginalBCACalculations$2012'!D$10)^MIN('OriginalBCACalculations$2012'!$A60,20))</f>
        <v>2.5715962404987818</v>
      </c>
      <c r="E60" s="23">
        <f>($B$5/CommAndSportFishingValues!$I$19)*FishHarvestTimeTrends!AD69*((1+'OriginalBCACalculations$2012'!E$10)^MIN('OriginalBCACalculations$2012'!$A60,20))</f>
        <v>0.36520980034643691</v>
      </c>
      <c r="F60" s="23">
        <f t="shared" si="15"/>
        <v>8.1289969780304414</v>
      </c>
      <c r="H60" s="22">
        <f t="shared" si="14"/>
        <v>3.9100000000000003E-2</v>
      </c>
      <c r="I60" s="22"/>
      <c r="J60" s="41"/>
      <c r="K60" s="41">
        <f t="shared" si="6"/>
        <v>0.35118143771187565</v>
      </c>
      <c r="L60" s="41">
        <f t="shared" si="6"/>
        <v>0.10694616874935985</v>
      </c>
      <c r="M60" s="41">
        <f t="shared" si="6"/>
        <v>1.5188149804261064E-2</v>
      </c>
      <c r="N60" s="41">
        <f t="shared" si="6"/>
        <v>0.33806437763607067</v>
      </c>
      <c r="O60" s="67"/>
      <c r="P60" s="41">
        <f t="shared" si="13"/>
        <v>1.6260698830734472E-3</v>
      </c>
      <c r="R60" s="27">
        <f t="shared" si="20"/>
        <v>2.6604970573182722</v>
      </c>
      <c r="S60" s="27">
        <f t="shared" si="20"/>
        <v>1.6667029922714671</v>
      </c>
      <c r="T60" s="27">
        <f t="shared" si="20"/>
        <v>1.0489498135323301</v>
      </c>
      <c r="U60" s="27">
        <f t="shared" si="20"/>
        <v>0.66315221073320862</v>
      </c>
      <c r="V60" s="27">
        <f t="shared" si="20"/>
        <v>0.42111027269147971</v>
      </c>
      <c r="W60" s="27">
        <f t="shared" si="20"/>
        <v>0.26857508794663898</v>
      </c>
      <c r="X60" s="27">
        <f t="shared" si="20"/>
        <v>0.17202323693461263</v>
      </c>
      <c r="Y60" s="27">
        <f t="shared" si="20"/>
        <v>0.11064332836088933</v>
      </c>
    </row>
    <row r="61" spans="1:25" x14ac:dyDescent="0.25">
      <c r="A61" s="21">
        <v>49</v>
      </c>
      <c r="C61" s="25">
        <f t="shared" si="19"/>
        <v>8.4444059615573863</v>
      </c>
      <c r="D61" s="23">
        <f>($B$4/CommAndSportFishingValues!$I$18)*FishHarvestTimeTrends!AC70*((1+'OriginalBCACalculations$2012'!D$10)^MIN('OriginalBCACalculations$2012'!$A61,20))</f>
        <v>2.57173963581995</v>
      </c>
      <c r="E61" s="23">
        <f>($B$5/CommAndSportFishingValues!$I$19)*FishHarvestTimeTrends!AD70*((1+'OriginalBCACalculations$2012'!E$10)^MIN('OriginalBCACalculations$2012'!$A61,20))</f>
        <v>0.36522284937243726</v>
      </c>
      <c r="F61" s="23">
        <f t="shared" si="15"/>
        <v>8.1330614765194564</v>
      </c>
      <c r="H61" s="22">
        <f t="shared" si="14"/>
        <v>3.9100000000000003E-2</v>
      </c>
      <c r="I61" s="22"/>
      <c r="J61" s="41"/>
      <c r="K61" s="41">
        <f t="shared" si="6"/>
        <v>0.32820695113259407</v>
      </c>
      <c r="L61" s="41">
        <f t="shared" si="6"/>
        <v>9.9955263735762495E-2</v>
      </c>
      <c r="M61" s="41">
        <f t="shared" si="6"/>
        <v>1.4195039701096882E-2</v>
      </c>
      <c r="N61" s="41">
        <f t="shared" si="6"/>
        <v>0.31610599049055021</v>
      </c>
      <c r="O61" s="67"/>
      <c r="P61" s="41">
        <f t="shared" si="13"/>
        <v>1.5196914795078946E-3</v>
      </c>
      <c r="R61" s="27">
        <f t="shared" si="20"/>
        <v>2.6647180001544566</v>
      </c>
      <c r="S61" s="27">
        <f t="shared" si="20"/>
        <v>1.6528190661603255</v>
      </c>
      <c r="T61" s="27">
        <f t="shared" si="20"/>
        <v>1.030013723279523</v>
      </c>
      <c r="U61" s="27">
        <f t="shared" si="20"/>
        <v>0.64485856090446236</v>
      </c>
      <c r="V61" s="27">
        <f t="shared" si="20"/>
        <v>0.40555612914376016</v>
      </c>
      <c r="W61" s="27">
        <f t="shared" si="20"/>
        <v>0.25619160839060262</v>
      </c>
      <c r="X61" s="27">
        <f t="shared" si="20"/>
        <v>0.16254354335340826</v>
      </c>
      <c r="Y61" s="27">
        <f t="shared" si="20"/>
        <v>0.10356903427432337</v>
      </c>
    </row>
    <row r="62" spans="1:25" x14ac:dyDescent="0.25">
      <c r="A62" s="21">
        <v>50</v>
      </c>
      <c r="C62" s="25">
        <f t="shared" si="19"/>
        <v>8.4444059615573863</v>
      </c>
      <c r="D62" s="23">
        <f>($B$4/CommAndSportFishingValues!$I$18)*FishHarvestTimeTrends!AC71*((1+'OriginalBCACalculations$2012'!D$10)^MIN('OriginalBCACalculations$2012'!$A62,20))</f>
        <v>2.5718830311411178</v>
      </c>
      <c r="E62" s="23">
        <f>($B$5/CommAndSportFishingValues!$I$19)*FishHarvestTimeTrends!AD71*((1+'OriginalBCACalculations$2012'!E$10)^MIN('OriginalBCACalculations$2012'!$A62,20))</f>
        <v>0.36523589839843773</v>
      </c>
      <c r="F62" s="23">
        <f t="shared" si="15"/>
        <v>8.137128007257715</v>
      </c>
      <c r="H62" s="22">
        <f t="shared" si="14"/>
        <v>3.9100000000000003E-2</v>
      </c>
      <c r="I62" s="22"/>
      <c r="J62" s="41"/>
      <c r="K62" s="41">
        <f t="shared" si="6"/>
        <v>0.3067354683482188</v>
      </c>
      <c r="L62" s="41">
        <f t="shared" si="6"/>
        <v>9.342134303884346E-2</v>
      </c>
      <c r="M62" s="41">
        <f t="shared" si="6"/>
        <v>1.3266866238174748E-2</v>
      </c>
      <c r="N62" s="41">
        <f t="shared" si="6"/>
        <v>0.2955738724166313</v>
      </c>
      <c r="O62" s="67"/>
      <c r="P62" s="41">
        <f t="shared" si="13"/>
        <v>1.4202724107550417E-3</v>
      </c>
      <c r="R62" s="27">
        <f t="shared" ref="R62:Y77" si="21">(SUM($D62:$H62)-SUM($B62:$C62))/((1+R$10)^($A62-1))</f>
        <v>2.6689409752398827</v>
      </c>
      <c r="S62" s="27">
        <f t="shared" si="21"/>
        <v>1.6390479310865267</v>
      </c>
      <c r="T62" s="27">
        <f t="shared" si="21"/>
        <v>1.0114177078137969</v>
      </c>
      <c r="U62" s="27">
        <f t="shared" si="21"/>
        <v>0.62706846195298338</v>
      </c>
      <c r="V62" s="27">
        <f t="shared" si="21"/>
        <v>0.39057581138789249</v>
      </c>
      <c r="W62" s="27">
        <f t="shared" si="21"/>
        <v>0.2443786801157288</v>
      </c>
      <c r="X62" s="27">
        <f t="shared" si="21"/>
        <v>0.15358597933108692</v>
      </c>
      <c r="Y62" s="27">
        <f t="shared" si="21"/>
        <v>9.694688575618568E-2</v>
      </c>
    </row>
    <row r="63" spans="1:25" x14ac:dyDescent="0.25">
      <c r="A63" s="21">
        <v>51</v>
      </c>
      <c r="C63" s="25">
        <f t="shared" si="19"/>
        <v>8.4444059615573863</v>
      </c>
      <c r="D63" s="23">
        <f>($B$4/CommAndSportFishingValues!$I$18)*FishHarvestTimeTrends!AC72*((1+'OriginalBCACalculations$2012'!D$10)^MIN('OriginalBCACalculations$2012'!$A63,20))</f>
        <v>2.5718848695508276</v>
      </c>
      <c r="E63" s="23">
        <f>($B$5/CommAndSportFishingValues!$I$19)*FishHarvestTimeTrends!AD72*((1+'OriginalBCACalculations$2012'!E$10)^MIN('OriginalBCACalculations$2012'!$A63,20))</f>
        <v>0.36523609100859078</v>
      </c>
      <c r="F63" s="23">
        <f t="shared" si="15"/>
        <v>8.141196571261343</v>
      </c>
      <c r="H63" s="22">
        <f t="shared" si="14"/>
        <v>3.9100000000000003E-2</v>
      </c>
      <c r="I63" s="22"/>
      <c r="J63" s="41"/>
      <c r="K63" s="41">
        <f t="shared" si="6"/>
        <v>0.2866686620076811</v>
      </c>
      <c r="L63" s="41">
        <f t="shared" si="6"/>
        <v>8.7309728801333017E-2</v>
      </c>
      <c r="M63" s="41">
        <f t="shared" si="6"/>
        <v>1.2398946948192246E-2</v>
      </c>
      <c r="N63" s="41">
        <f t="shared" si="6"/>
        <v>0.27637538257274724</v>
      </c>
      <c r="O63" s="67"/>
      <c r="P63" s="41">
        <f t="shared" si="13"/>
        <v>1.3273573932290109E-3</v>
      </c>
      <c r="R63" s="27">
        <f t="shared" si="21"/>
        <v>2.673011570263375</v>
      </c>
      <c r="S63" s="27">
        <f t="shared" si="21"/>
        <v>1.6252948135629051</v>
      </c>
      <c r="T63" s="27">
        <f t="shared" si="21"/>
        <v>0.99309832760081662</v>
      </c>
      <c r="U63" s="27">
        <f t="shared" si="21"/>
        <v>0.60973286353700329</v>
      </c>
      <c r="V63" s="27">
        <f t="shared" si="21"/>
        <v>0.37612644886776847</v>
      </c>
      <c r="W63" s="27">
        <f t="shared" si="21"/>
        <v>0.23309657116726168</v>
      </c>
      <c r="X63" s="27">
        <f t="shared" si="21"/>
        <v>0.14511341926665866</v>
      </c>
      <c r="Y63" s="27">
        <f t="shared" si="21"/>
        <v>9.0742753707820423E-2</v>
      </c>
    </row>
    <row r="64" spans="1:25" x14ac:dyDescent="0.25">
      <c r="A64" s="21">
        <v>52</v>
      </c>
      <c r="C64" s="25">
        <f t="shared" si="19"/>
        <v>8.4444059615573863</v>
      </c>
      <c r="D64" s="23">
        <f>($B$4/CommAndSportFishingValues!$I$18)*FishHarvestTimeTrends!AC73*((1+'OriginalBCACalculations$2012'!D$10)^MIN('OriginalBCACalculations$2012'!$A64,20))</f>
        <v>2.5718867079605374</v>
      </c>
      <c r="E64" s="23">
        <f>($B$5/CommAndSportFishingValues!$I$19)*FishHarvestTimeTrends!AD73*((1+'OriginalBCACalculations$2012'!E$10)^MIN('OriginalBCACalculations$2012'!$A64,20))</f>
        <v>0.36523628361874383</v>
      </c>
      <c r="F64" s="23">
        <f t="shared" si="15"/>
        <v>8.1452671695469725</v>
      </c>
      <c r="H64" s="22">
        <f t="shared" si="14"/>
        <v>3.9100000000000003E-2</v>
      </c>
      <c r="I64" s="22"/>
      <c r="J64" s="41"/>
      <c r="K64" s="41">
        <f t="shared" si="6"/>
        <v>0.26791463739035615</v>
      </c>
      <c r="L64" s="41">
        <f t="shared" si="6"/>
        <v>8.1597935711423875E-2</v>
      </c>
      <c r="M64" s="41">
        <f t="shared" si="6"/>
        <v>1.1587806997079796E-2</v>
      </c>
      <c r="N64" s="41">
        <f t="shared" si="6"/>
        <v>0.25842389744302202</v>
      </c>
      <c r="O64" s="67"/>
      <c r="P64" s="41">
        <f t="shared" si="13"/>
        <v>1.2405209282514119E-3</v>
      </c>
      <c r="R64" s="27">
        <f t="shared" si="21"/>
        <v>2.677084199568867</v>
      </c>
      <c r="S64" s="27">
        <f t="shared" si="21"/>
        <v>1.6116545844546639</v>
      </c>
      <c r="T64" s="27">
        <f t="shared" si="21"/>
        <v>0.97510923817781803</v>
      </c>
      <c r="U64" s="27">
        <f t="shared" si="21"/>
        <v>0.59287559137373314</v>
      </c>
      <c r="V64" s="27">
        <f t="shared" si="21"/>
        <v>0.36221107614291059</v>
      </c>
      <c r="W64" s="27">
        <f t="shared" si="21"/>
        <v>0.22233497106788336</v>
      </c>
      <c r="X64" s="27">
        <f t="shared" si="21"/>
        <v>0.13710803362258533</v>
      </c>
      <c r="Y64" s="27">
        <f t="shared" si="21"/>
        <v>8.4935523689420936E-2</v>
      </c>
    </row>
    <row r="65" spans="1:25" x14ac:dyDescent="0.25">
      <c r="A65" s="21">
        <v>53</v>
      </c>
      <c r="C65" s="25">
        <f t="shared" si="19"/>
        <v>8.4444059615573863</v>
      </c>
      <c r="D65" s="23">
        <f>($B$4/CommAndSportFishingValues!$I$18)*FishHarvestTimeTrends!AC74*((1+'OriginalBCACalculations$2012'!D$10)^MIN('OriginalBCACalculations$2012'!$A65,20))</f>
        <v>2.5718885463702468</v>
      </c>
      <c r="E65" s="23">
        <f>($B$5/CommAndSportFishingValues!$I$19)*FishHarvestTimeTrends!AD74*((1+'OriginalBCACalculations$2012'!E$10)^MIN('OriginalBCACalculations$2012'!$A65,20))</f>
        <v>0.36523647622889699</v>
      </c>
      <c r="F65" s="23">
        <f t="shared" si="15"/>
        <v>8.1493398031317454</v>
      </c>
      <c r="H65" s="22">
        <f t="shared" si="14"/>
        <v>3.9100000000000003E-2</v>
      </c>
      <c r="I65" s="22"/>
      <c r="J65" s="41"/>
      <c r="K65" s="41">
        <f t="shared" si="6"/>
        <v>0.25038751157977213</v>
      </c>
      <c r="L65" s="41">
        <f t="shared" si="6"/>
        <v>7.6259807512546143E-2</v>
      </c>
      <c r="M65" s="41">
        <f t="shared" si="6"/>
        <v>1.0829731876634224E-2</v>
      </c>
      <c r="N65" s="41">
        <f t="shared" si="6"/>
        <v>0.24163841999228367</v>
      </c>
      <c r="O65" s="67"/>
      <c r="P65" s="41">
        <f t="shared" si="13"/>
        <v>1.1593653535059926E-3</v>
      </c>
      <c r="R65" s="27">
        <f t="shared" si="21"/>
        <v>2.6811588641735025</v>
      </c>
      <c r="S65" s="27">
        <f t="shared" si="21"/>
        <v>1.5981263450410887</v>
      </c>
      <c r="T65" s="27">
        <f t="shared" si="21"/>
        <v>0.95744451600568248</v>
      </c>
      <c r="U65" s="27">
        <f t="shared" si="21"/>
        <v>0.57648347531249999</v>
      </c>
      <c r="V65" s="27">
        <f t="shared" si="21"/>
        <v>0.34880998141803909</v>
      </c>
      <c r="W65" s="27">
        <f t="shared" si="21"/>
        <v>0.21206988259497883</v>
      </c>
      <c r="X65" s="27">
        <f t="shared" si="21"/>
        <v>0.12954407485428851</v>
      </c>
      <c r="Y65" s="27">
        <f t="shared" si="21"/>
        <v>7.9499813155197899E-2</v>
      </c>
    </row>
    <row r="66" spans="1:25" x14ac:dyDescent="0.25">
      <c r="A66" s="21">
        <v>54</v>
      </c>
      <c r="C66" s="25">
        <f t="shared" si="19"/>
        <v>8.4444059615573863</v>
      </c>
      <c r="D66" s="23">
        <f>($B$4/CommAndSportFishingValues!$I$18)*FishHarvestTimeTrends!AC75*((1+'OriginalBCACalculations$2012'!D$10)^MIN('OriginalBCACalculations$2012'!$A66,20))</f>
        <v>2.5718903847799557</v>
      </c>
      <c r="E66" s="23">
        <f>($B$5/CommAndSportFishingValues!$I$19)*FishHarvestTimeTrends!AD75*((1+'OriginalBCACalculations$2012'!E$10)^MIN('OriginalBCACalculations$2012'!$A66,20))</f>
        <v>0.36523666883905004</v>
      </c>
      <c r="F66" s="23">
        <f t="shared" si="15"/>
        <v>8.15341447303331</v>
      </c>
      <c r="H66" s="22">
        <f t="shared" si="14"/>
        <v>3.9100000000000003E-2</v>
      </c>
      <c r="I66" s="22"/>
      <c r="J66" s="41"/>
      <c r="K66" s="41">
        <f t="shared" si="6"/>
        <v>0.23400702016801128</v>
      </c>
      <c r="L66" s="41">
        <f t="shared" si="6"/>
        <v>7.1270899087627598E-2</v>
      </c>
      <c r="M66" s="41">
        <f t="shared" si="6"/>
        <v>1.0121250082031128E-2</v>
      </c>
      <c r="N66" s="41">
        <f t="shared" si="6"/>
        <v>0.22594321420773808</v>
      </c>
      <c r="O66" s="67"/>
      <c r="P66" s="41">
        <f t="shared" si="13"/>
        <v>1.0835190219682172E-3</v>
      </c>
      <c r="R66" s="27">
        <f t="shared" si="21"/>
        <v>2.6852355650949296</v>
      </c>
      <c r="S66" s="27">
        <f t="shared" si="21"/>
        <v>1.5847092034398567</v>
      </c>
      <c r="T66" s="27">
        <f t="shared" si="21"/>
        <v>0.94009834312567864</v>
      </c>
      <c r="U66" s="27">
        <f t="shared" si="21"/>
        <v>0.56054370698389833</v>
      </c>
      <c r="V66" s="27">
        <f t="shared" si="21"/>
        <v>0.33590417966112918</v>
      </c>
      <c r="W66" s="27">
        <f t="shared" si="21"/>
        <v>0.20227841405901251</v>
      </c>
      <c r="X66" s="27">
        <f t="shared" si="21"/>
        <v>0.12239721374097359</v>
      </c>
      <c r="Y66" s="27">
        <f t="shared" si="21"/>
        <v>7.4411862231353737E-2</v>
      </c>
    </row>
    <row r="67" spans="1:25" x14ac:dyDescent="0.25">
      <c r="A67" s="21">
        <v>55</v>
      </c>
      <c r="C67" s="25">
        <f t="shared" si="19"/>
        <v>8.4444059615573863</v>
      </c>
      <c r="D67" s="23">
        <f>($B$4/CommAndSportFishingValues!$I$18)*FishHarvestTimeTrends!AC76*((1+'OriginalBCACalculations$2012'!D$10)^MIN('OriginalBCACalculations$2012'!$A67,20))</f>
        <v>2.5718922231896655</v>
      </c>
      <c r="E67" s="23">
        <f>($B$5/CommAndSportFishingValues!$I$19)*FishHarvestTimeTrends!AD76*((1+'OriginalBCACalculations$2012'!E$10)^MIN('OriginalBCACalculations$2012'!$A67,20))</f>
        <v>0.36523686144920309</v>
      </c>
      <c r="F67" s="23">
        <f t="shared" si="15"/>
        <v>8.157491180269826</v>
      </c>
      <c r="H67" s="22">
        <f t="shared" si="14"/>
        <v>3.9100000000000003E-2</v>
      </c>
      <c r="I67" s="22"/>
      <c r="J67" s="41"/>
      <c r="K67" s="41">
        <f t="shared" si="6"/>
        <v>0.2186981496897302</v>
      </c>
      <c r="L67" s="41">
        <f t="shared" si="6"/>
        <v>6.6608364516531543E-2</v>
      </c>
      <c r="M67" s="41">
        <f t="shared" si="6"/>
        <v>9.4591172145273746E-3</v>
      </c>
      <c r="N67" s="41">
        <f t="shared" si="6"/>
        <v>0.21126746337835697</v>
      </c>
      <c r="O67" s="67"/>
      <c r="P67" s="41">
        <f t="shared" si="13"/>
        <v>1.0126345999702966E-3</v>
      </c>
      <c r="R67" s="27">
        <f t="shared" si="21"/>
        <v>2.6893143033513081</v>
      </c>
      <c r="S67" s="27">
        <f t="shared" si="21"/>
        <v>1.5714022745587053</v>
      </c>
      <c r="T67" s="27">
        <f t="shared" si="21"/>
        <v>0.92306500529128543</v>
      </c>
      <c r="U67" s="27">
        <f t="shared" si="21"/>
        <v>0.54504382988728761</v>
      </c>
      <c r="V67" s="27">
        <f t="shared" si="21"/>
        <v>0.32347538584292718</v>
      </c>
      <c r="W67" s="27">
        <f t="shared" si="21"/>
        <v>0.19293872841243342</v>
      </c>
      <c r="X67" s="27">
        <f t="shared" si="21"/>
        <v>0.11564446129704993</v>
      </c>
      <c r="Y67" s="27">
        <f t="shared" si="21"/>
        <v>6.964943001965597E-2</v>
      </c>
    </row>
    <row r="68" spans="1:25" x14ac:dyDescent="0.25">
      <c r="A68" s="21">
        <v>56</v>
      </c>
      <c r="C68" s="25">
        <f t="shared" si="19"/>
        <v>8.4444059615573863</v>
      </c>
      <c r="D68" s="23">
        <f>($B$4/CommAndSportFishingValues!$I$18)*FishHarvestTimeTrends!AC77*((1+'OriginalBCACalculations$2012'!D$10)^MIN('OriginalBCACalculations$2012'!$A68,20))</f>
        <v>2.5718940615993753</v>
      </c>
      <c r="E68" s="23">
        <f>($B$5/CommAndSportFishingValues!$I$19)*FishHarvestTimeTrends!AD77*((1+'OriginalBCACalculations$2012'!E$10)^MIN('OriginalBCACalculations$2012'!$A68,20))</f>
        <v>0.36523705405935625</v>
      </c>
      <c r="F68" s="23">
        <f t="shared" si="15"/>
        <v>8.1615699258599612</v>
      </c>
      <c r="H68" s="22">
        <f t="shared" si="14"/>
        <v>3.9100000000000003E-2</v>
      </c>
      <c r="I68" s="22"/>
      <c r="J68" s="41"/>
      <c r="K68" s="41">
        <f t="shared" si="6"/>
        <v>0.20439079410255159</v>
      </c>
      <c r="L68" s="41">
        <f t="shared" si="6"/>
        <v>6.2250852456764691E-2</v>
      </c>
      <c r="M68" s="41">
        <f t="shared" si="6"/>
        <v>8.8403011241658287E-3</v>
      </c>
      <c r="N68" s="41">
        <f t="shared" si="6"/>
        <v>0.19754495057013657</v>
      </c>
      <c r="O68" s="67"/>
      <c r="P68" s="41">
        <f t="shared" si="13"/>
        <v>9.4638747660775373E-4</v>
      </c>
      <c r="R68" s="27">
        <f t="shared" si="21"/>
        <v>2.6933950799613058</v>
      </c>
      <c r="S68" s="27">
        <f t="shared" si="21"/>
        <v>1.5582046800473988</v>
      </c>
      <c r="T68" s="27">
        <f t="shared" si="21"/>
        <v>0.90633889013278646</v>
      </c>
      <c r="U68" s="27">
        <f t="shared" si="21"/>
        <v>0.52997172974910578</v>
      </c>
      <c r="V68" s="27">
        <f t="shared" si="21"/>
        <v>0.31150598916044203</v>
      </c>
      <c r="W68" s="27">
        <f t="shared" si="21"/>
        <v>0.1840299946993075</v>
      </c>
      <c r="X68" s="27">
        <f t="shared" si="21"/>
        <v>0.10926409498050972</v>
      </c>
      <c r="Y68" s="27">
        <f t="shared" si="21"/>
        <v>6.5191697525123257E-2</v>
      </c>
    </row>
    <row r="69" spans="1:25" x14ac:dyDescent="0.25">
      <c r="A69" s="21">
        <v>57</v>
      </c>
      <c r="C69" s="25">
        <f t="shared" si="19"/>
        <v>8.4444059615573863</v>
      </c>
      <c r="D69" s="23">
        <f>($B$4/CommAndSportFishingValues!$I$18)*FishHarvestTimeTrends!AC78*((1+'OriginalBCACalculations$2012'!D$10)^MIN('OriginalBCACalculations$2012'!$A69,20))</f>
        <v>2.5718959000090842</v>
      </c>
      <c r="E69" s="23">
        <f>($B$5/CommAndSportFishingValues!$I$19)*FishHarvestTimeTrends!AD78*((1+'OriginalBCACalculations$2012'!E$10)^MIN('OriginalBCACalculations$2012'!$A69,20))</f>
        <v>0.3652372466695093</v>
      </c>
      <c r="F69" s="23">
        <f t="shared" si="15"/>
        <v>8.1656507108228915</v>
      </c>
      <c r="H69" s="22">
        <f t="shared" si="14"/>
        <v>3.9100000000000003E-2</v>
      </c>
      <c r="I69" s="22"/>
      <c r="J69" s="41"/>
      <c r="K69" s="41">
        <f t="shared" si="6"/>
        <v>0.1910194337407024</v>
      </c>
      <c r="L69" s="41">
        <f t="shared" si="6"/>
        <v>5.8178408368368302E-2</v>
      </c>
      <c r="M69" s="41">
        <f t="shared" si="6"/>
        <v>8.2619680244453621E-3</v>
      </c>
      <c r="N69" s="41">
        <f t="shared" si="6"/>
        <v>0.18471375985553426</v>
      </c>
      <c r="O69" s="67"/>
      <c r="P69" s="41">
        <f t="shared" si="13"/>
        <v>8.844742772035082E-4</v>
      </c>
      <c r="R69" s="27">
        <f t="shared" si="21"/>
        <v>2.6974778959440986</v>
      </c>
      <c r="S69" s="27">
        <f t="shared" si="21"/>
        <v>1.5451155482499837</v>
      </c>
      <c r="T69" s="27">
        <f t="shared" si="21"/>
        <v>0.88991448535405893</v>
      </c>
      <c r="U69" s="27">
        <f t="shared" si="21"/>
        <v>0.51531562514462625</v>
      </c>
      <c r="V69" s="27">
        <f t="shared" si="21"/>
        <v>0.29997902820829037</v>
      </c>
      <c r="W69" s="27">
        <f t="shared" si="21"/>
        <v>0.17553234173811141</v>
      </c>
      <c r="X69" s="27">
        <f t="shared" si="21"/>
        <v>0.10323558896195571</v>
      </c>
      <c r="Y69" s="27">
        <f t="shared" si="21"/>
        <v>6.1019176784849014E-2</v>
      </c>
    </row>
    <row r="70" spans="1:25" x14ac:dyDescent="0.25">
      <c r="A70" s="21">
        <v>58</v>
      </c>
      <c r="C70" s="25">
        <f t="shared" si="19"/>
        <v>8.4444059615573863</v>
      </c>
      <c r="D70" s="23">
        <f>($B$4/CommAndSportFishingValues!$I$18)*FishHarvestTimeTrends!AC79*((1+'OriginalBCACalculations$2012'!D$10)^MIN('OriginalBCACalculations$2012'!$A70,20))</f>
        <v>2.571897738418794</v>
      </c>
      <c r="E70" s="23">
        <f>($B$5/CommAndSportFishingValues!$I$19)*FishHarvestTimeTrends!AD79*((1+'OriginalBCACalculations$2012'!E$10)^MIN('OriginalBCACalculations$2012'!$A70,20))</f>
        <v>0.36523743927966251</v>
      </c>
      <c r="F70" s="23">
        <f t="shared" si="15"/>
        <v>8.1697335361783026</v>
      </c>
      <c r="H70" s="22">
        <f t="shared" si="14"/>
        <v>3.9100000000000003E-2</v>
      </c>
      <c r="I70" s="22"/>
      <c r="J70" s="41"/>
      <c r="K70" s="41">
        <f t="shared" si="6"/>
        <v>0.1785228352716845</v>
      </c>
      <c r="L70" s="41">
        <f t="shared" si="6"/>
        <v>5.4372383135246311E-2</v>
      </c>
      <c r="M70" s="41">
        <f t="shared" si="6"/>
        <v>7.7214695153701189E-3</v>
      </c>
      <c r="N70" s="41">
        <f t="shared" si="6"/>
        <v>0.17271599694902992</v>
      </c>
      <c r="O70" s="67"/>
      <c r="P70" s="41">
        <f t="shared" si="13"/>
        <v>8.2661147402197021E-4</v>
      </c>
      <c r="R70" s="27">
        <f t="shared" si="21"/>
        <v>2.7015627523193722</v>
      </c>
      <c r="S70" s="27">
        <f t="shared" si="21"/>
        <v>1.5321340141573467</v>
      </c>
      <c r="T70" s="27">
        <f t="shared" si="21"/>
        <v>0.87378637696100958</v>
      </c>
      <c r="U70" s="27">
        <f t="shared" si="21"/>
        <v>0.50106405837598256</v>
      </c>
      <c r="V70" s="27">
        <f t="shared" si="21"/>
        <v>0.28887816706309216</v>
      </c>
      <c r="W70" s="27">
        <f t="shared" si="21"/>
        <v>0.16742681393505951</v>
      </c>
      <c r="X70" s="27">
        <f t="shared" si="21"/>
        <v>9.7539548230953454E-2</v>
      </c>
      <c r="Y70" s="27">
        <f t="shared" si="21"/>
        <v>5.7113625801983807E-2</v>
      </c>
    </row>
    <row r="71" spans="1:25" x14ac:dyDescent="0.25">
      <c r="A71" s="21">
        <v>59</v>
      </c>
      <c r="C71" s="25">
        <f t="shared" si="19"/>
        <v>8.4444059615573863</v>
      </c>
      <c r="D71" s="23">
        <f>($B$4/CommAndSportFishingValues!$I$18)*FishHarvestTimeTrends!AC80*((1+'OriginalBCACalculations$2012'!D$10)^MIN('OriginalBCACalculations$2012'!$A71,20))</f>
        <v>2.5718995768285033</v>
      </c>
      <c r="E71" s="23">
        <f>($B$5/CommAndSportFishingValues!$I$19)*FishHarvestTimeTrends!AD80*((1+'OriginalBCACalculations$2012'!E$10)^MIN('OriginalBCACalculations$2012'!$A71,20))</f>
        <v>0.36523763188981545</v>
      </c>
      <c r="F71" s="23">
        <f t="shared" si="15"/>
        <v>8.1738184029463916</v>
      </c>
      <c r="H71" s="22">
        <f t="shared" si="14"/>
        <v>3.9100000000000003E-2</v>
      </c>
      <c r="I71" s="22"/>
      <c r="J71" s="41"/>
      <c r="K71" s="41">
        <f t="shared" si="6"/>
        <v>0.16684377128194813</v>
      </c>
      <c r="L71" s="41">
        <f t="shared" si="6"/>
        <v>5.08153476644762E-2</v>
      </c>
      <c r="M71" s="41">
        <f t="shared" si="6"/>
        <v>7.2163304554517327E-3</v>
      </c>
      <c r="N71" s="41">
        <f t="shared" si="6"/>
        <v>0.1614975279883219</v>
      </c>
      <c r="O71" s="67"/>
      <c r="P71" s="41">
        <f t="shared" si="13"/>
        <v>7.7253408787100026E-4</v>
      </c>
      <c r="R71" s="27">
        <f t="shared" si="21"/>
        <v>2.7056496501073237</v>
      </c>
      <c r="S71" s="27">
        <f t="shared" si="21"/>
        <v>1.5192592193600605</v>
      </c>
      <c r="T71" s="27">
        <f t="shared" si="21"/>
        <v>0.85794924752109836</v>
      </c>
      <c r="U71" s="27">
        <f t="shared" si="21"/>
        <v>0.48720588659948183</v>
      </c>
      <c r="V71" s="27">
        <f t="shared" si="21"/>
        <v>0.2781876722473911</v>
      </c>
      <c r="W71" s="27">
        <f t="shared" si="21"/>
        <v>0.15969532913004844</v>
      </c>
      <c r="X71" s="27">
        <f t="shared" si="21"/>
        <v>9.2157646328659956E-2</v>
      </c>
      <c r="Y71" s="27">
        <f t="shared" si="21"/>
        <v>5.345796891417269E-2</v>
      </c>
    </row>
    <row r="72" spans="1:25" x14ac:dyDescent="0.25">
      <c r="A72" s="21">
        <v>60</v>
      </c>
      <c r="C72" s="25">
        <f t="shared" si="19"/>
        <v>8.4444059615573863</v>
      </c>
      <c r="D72" s="23">
        <f>($B$4/CommAndSportFishingValues!$I$18)*FishHarvestTimeTrends!AC81*((1+'OriginalBCACalculations$2012'!D$10)^MIN('OriginalBCACalculations$2012'!$A72,20))</f>
        <v>2.5719014152382127</v>
      </c>
      <c r="E72" s="23">
        <f>($B$5/CommAndSportFishingValues!$I$19)*FishHarvestTimeTrends!AD81*((1+'OriginalBCACalculations$2012'!E$10)^MIN('OriginalBCACalculations$2012'!$A72,20))</f>
        <v>0.36523782449996861</v>
      </c>
      <c r="F72" s="23">
        <f t="shared" si="15"/>
        <v>8.177905312147864</v>
      </c>
      <c r="H72" s="22">
        <f t="shared" si="14"/>
        <v>3.9100000000000003E-2</v>
      </c>
      <c r="I72" s="22"/>
      <c r="J72" s="41"/>
      <c r="K72" s="41">
        <f t="shared" si="6"/>
        <v>0.15592875820742813</v>
      </c>
      <c r="L72" s="41">
        <f t="shared" si="6"/>
        <v>4.7491013072524006E-2</v>
      </c>
      <c r="M72" s="41">
        <f t="shared" si="6"/>
        <v>6.7442376271260283E-3</v>
      </c>
      <c r="N72" s="41">
        <f t="shared" si="6"/>
        <v>0.15100773528253833</v>
      </c>
      <c r="O72" s="67"/>
      <c r="P72" s="41">
        <f t="shared" si="13"/>
        <v>7.2199447464579456E-4</v>
      </c>
      <c r="R72" s="27">
        <f t="shared" si="21"/>
        <v>2.7097385903286586</v>
      </c>
      <c r="S72" s="27">
        <f t="shared" si="21"/>
        <v>1.5064903120015178</v>
      </c>
      <c r="T72" s="27">
        <f t="shared" si="21"/>
        <v>0.84239787445341452</v>
      </c>
      <c r="U72" s="27">
        <f t="shared" si="21"/>
        <v>0.47373027319541144</v>
      </c>
      <c r="V72" s="27">
        <f t="shared" si="21"/>
        <v>0.26789239054080044</v>
      </c>
      <c r="W72" s="27">
        <f t="shared" si="21"/>
        <v>0.1523206383817983</v>
      </c>
      <c r="X72" s="27">
        <f t="shared" si="21"/>
        <v>8.7072566507279681E-2</v>
      </c>
      <c r="Y72" s="27">
        <f t="shared" si="21"/>
        <v>5.0036222249406022E-2</v>
      </c>
    </row>
    <row r="73" spans="1:25" x14ac:dyDescent="0.25">
      <c r="A73" s="21">
        <v>61</v>
      </c>
      <c r="C73" s="25">
        <f t="shared" si="19"/>
        <v>8.4444059615573863</v>
      </c>
      <c r="D73" s="23">
        <f>($B$4/CommAndSportFishingValues!$I$18)*FishHarvestTimeTrends!AC82*((1+'OriginalBCACalculations$2012'!D$10)^MIN('OriginalBCACalculations$2012'!$A73,20))</f>
        <v>2.5719032536479225</v>
      </c>
      <c r="E73" s="23">
        <f>($B$5/CommAndSportFishingValues!$I$19)*FishHarvestTimeTrends!AD82*((1+'OriginalBCACalculations$2012'!E$10)^MIN('OriginalBCACalculations$2012'!$A73,20))</f>
        <v>0.36523801711012166</v>
      </c>
      <c r="F73" s="23">
        <f t="shared" si="15"/>
        <v>8.1819942648039383</v>
      </c>
      <c r="H73" s="22">
        <f t="shared" si="14"/>
        <v>3.9100000000000003E-2</v>
      </c>
      <c r="I73" s="22"/>
      <c r="J73" s="41"/>
      <c r="K73" s="41">
        <f t="shared" si="6"/>
        <v>0.14572781140881136</v>
      </c>
      <c r="L73" s="41">
        <f t="shared" si="6"/>
        <v>4.4384156092868547E-2</v>
      </c>
      <c r="M73" s="41">
        <f t="shared" si="6"/>
        <v>6.3030291436788968E-3</v>
      </c>
      <c r="N73" s="41">
        <f t="shared" si="6"/>
        <v>0.14119928892540151</v>
      </c>
      <c r="O73" s="67"/>
      <c r="P73" s="41">
        <f t="shared" si="13"/>
        <v>6.74761191257752E-4</v>
      </c>
      <c r="R73" s="27">
        <f t="shared" si="21"/>
        <v>2.7138295740045955</v>
      </c>
      <c r="S73" s="27">
        <f t="shared" si="21"/>
        <v>1.4938264467313636</v>
      </c>
      <c r="T73" s="27">
        <f t="shared" si="21"/>
        <v>0.82712712834877389</v>
      </c>
      <c r="U73" s="27">
        <f t="shared" si="21"/>
        <v>0.46062667937373852</v>
      </c>
      <c r="V73" s="27">
        <f t="shared" si="21"/>
        <v>0.25797772760726639</v>
      </c>
      <c r="W73" s="27">
        <f t="shared" si="21"/>
        <v>0.14528628760306139</v>
      </c>
      <c r="X73" s="27">
        <f t="shared" si="21"/>
        <v>8.2267946127864103E-2</v>
      </c>
      <c r="Y73" s="27">
        <f t="shared" si="21"/>
        <v>4.6833423944395353E-2</v>
      </c>
    </row>
    <row r="74" spans="1:25" x14ac:dyDescent="0.25">
      <c r="A74" s="21">
        <v>62</v>
      </c>
      <c r="C74" s="25">
        <f t="shared" si="19"/>
        <v>8.4444059615573863</v>
      </c>
      <c r="D74" s="23">
        <f>($B$4/CommAndSportFishingValues!$I$18)*FishHarvestTimeTrends!AC83*((1+'OriginalBCACalculations$2012'!D$10)^MIN('OriginalBCACalculations$2012'!$A74,20))</f>
        <v>2.5719050920576318</v>
      </c>
      <c r="E74" s="23">
        <f>($B$5/CommAndSportFishingValues!$I$19)*FishHarvestTimeTrends!AD83*((1+'OriginalBCACalculations$2012'!E$10)^MIN('OriginalBCACalculations$2012'!$A74,20))</f>
        <v>0.36523820972027482</v>
      </c>
      <c r="F74" s="23">
        <f t="shared" si="15"/>
        <v>8.1860852619363396</v>
      </c>
      <c r="H74" s="22">
        <f t="shared" si="14"/>
        <v>3.9100000000000003E-2</v>
      </c>
      <c r="I74" s="22"/>
      <c r="J74" s="41"/>
      <c r="K74" s="41">
        <f t="shared" si="6"/>
        <v>0.13619421626991715</v>
      </c>
      <c r="L74" s="41">
        <f t="shared" si="6"/>
        <v>4.1480549363450671E-2</v>
      </c>
      <c r="M74" s="41">
        <f t="shared" si="6"/>
        <v>5.8906845491718159E-3</v>
      </c>
      <c r="N74" s="41">
        <f t="shared" si="6"/>
        <v>0.13202793324286374</v>
      </c>
      <c r="O74" s="67"/>
      <c r="P74" s="41">
        <f t="shared" si="13"/>
        <v>6.3061793575490833E-4</v>
      </c>
      <c r="R74" s="27">
        <f t="shared" si="21"/>
        <v>2.7179226021568592</v>
      </c>
      <c r="S74" s="27">
        <f t="shared" si="21"/>
        <v>1.4812667846592074</v>
      </c>
      <c r="T74" s="27">
        <f t="shared" si="21"/>
        <v>0.81213197131931547</v>
      </c>
      <c r="U74" s="27">
        <f t="shared" si="21"/>
        <v>0.44788485600926842</v>
      </c>
      <c r="V74" s="27">
        <f t="shared" si="21"/>
        <v>0.24842962740847155</v>
      </c>
      <c r="W74" s="27">
        <f t="shared" si="21"/>
        <v>0.13857658096085898</v>
      </c>
      <c r="X74" s="27">
        <f t="shared" si="21"/>
        <v>7.7728324118329209E-2</v>
      </c>
      <c r="Y74" s="27">
        <f t="shared" si="21"/>
        <v>4.3835568821323979E-2</v>
      </c>
    </row>
    <row r="75" spans="1:25" x14ac:dyDescent="0.25">
      <c r="A75" s="21">
        <v>63</v>
      </c>
      <c r="C75" s="25">
        <f t="shared" si="19"/>
        <v>8.4444059615573863</v>
      </c>
      <c r="D75" s="23">
        <f>($B$4/CommAndSportFishingValues!$I$18)*FishHarvestTimeTrends!AC84*((1+'OriginalBCACalculations$2012'!D$10)^MIN('OriginalBCACalculations$2012'!$A75,20))</f>
        <v>2.5719069304673412</v>
      </c>
      <c r="E75" s="23">
        <f>($B$5/CommAndSportFishingValues!$I$19)*FishHarvestTimeTrends!AD84*((1+'OriginalBCACalculations$2012'!E$10)^MIN('OriginalBCACalculations$2012'!$A75,20))</f>
        <v>0.36523840233042781</v>
      </c>
      <c r="F75" s="23">
        <f t="shared" si="15"/>
        <v>8.1901783045673078</v>
      </c>
      <c r="H75" s="22">
        <f t="shared" si="14"/>
        <v>3.9100000000000003E-2</v>
      </c>
      <c r="I75" s="22"/>
      <c r="J75" s="41"/>
      <c r="K75" s="41">
        <f t="shared" si="6"/>
        <v>0.12728431427095063</v>
      </c>
      <c r="L75" s="41">
        <f t="shared" si="6"/>
        <v>3.8766896274710361E-2</v>
      </c>
      <c r="M75" s="41">
        <f t="shared" si="6"/>
        <v>5.5053155660309081E-3</v>
      </c>
      <c r="N75" s="41">
        <f t="shared" si="6"/>
        <v>0.1234522871116684</v>
      </c>
      <c r="O75" s="67"/>
      <c r="P75" s="41">
        <f t="shared" si="13"/>
        <v>5.8936255678028828E-4</v>
      </c>
      <c r="R75" s="27">
        <f t="shared" si="21"/>
        <v>2.7220176758076899</v>
      </c>
      <c r="S75" s="27">
        <f t="shared" si="21"/>
        <v>1.4688104933086321</v>
      </c>
      <c r="T75" s="27">
        <f t="shared" si="21"/>
        <v>0.79740745537708446</v>
      </c>
      <c r="U75" s="27">
        <f t="shared" si="21"/>
        <v>0.43549483570001585</v>
      </c>
      <c r="V75" s="27">
        <f t="shared" si="21"/>
        <v>0.23923455237450866</v>
      </c>
      <c r="W75" s="27">
        <f t="shared" si="21"/>
        <v>0.13217654596061648</v>
      </c>
      <c r="X75" s="27">
        <f t="shared" si="21"/>
        <v>7.3439091323360739E-2</v>
      </c>
      <c r="Y75" s="27">
        <f t="shared" si="21"/>
        <v>4.1029547238239331E-2</v>
      </c>
    </row>
    <row r="76" spans="1:25" x14ac:dyDescent="0.25">
      <c r="A76" s="21">
        <v>64</v>
      </c>
      <c r="C76" s="25">
        <f t="shared" si="19"/>
        <v>8.4444059615573863</v>
      </c>
      <c r="D76" s="23">
        <f>($B$4/CommAndSportFishingValues!$I$18)*FishHarvestTimeTrends!AC85*((1+'OriginalBCACalculations$2012'!D$10)^MIN('OriginalBCACalculations$2012'!$A76,20))</f>
        <v>2.5719087688770506</v>
      </c>
      <c r="E76" s="23">
        <f>($B$5/CommAndSportFishingValues!$I$19)*FishHarvestTimeTrends!AD85*((1+'OriginalBCACalculations$2012'!E$10)^MIN('OriginalBCACalculations$2012'!$A76,20))</f>
        <v>0.36523859494058097</v>
      </c>
      <c r="F76" s="23">
        <f t="shared" si="15"/>
        <v>8.1942733937195911</v>
      </c>
      <c r="H76" s="22">
        <f t="shared" si="14"/>
        <v>3.9100000000000003E-2</v>
      </c>
      <c r="I76" s="22"/>
      <c r="J76" s="41"/>
      <c r="K76" s="41">
        <f t="shared" si="6"/>
        <v>0.11895730305696318</v>
      </c>
      <c r="L76" s="41">
        <f t="shared" si="6"/>
        <v>3.623077007985806E-2</v>
      </c>
      <c r="M76" s="41">
        <f t="shared" si="6"/>
        <v>5.1451574479293638E-3</v>
      </c>
      <c r="N76" s="41">
        <f t="shared" si="6"/>
        <v>0.11543365724787309</v>
      </c>
      <c r="O76" s="67"/>
      <c r="P76" s="41">
        <f t="shared" si="13"/>
        <v>5.5080612783204501E-4</v>
      </c>
      <c r="R76" s="27">
        <f t="shared" si="21"/>
        <v>2.7261147959798357</v>
      </c>
      <c r="S76" s="27">
        <f t="shared" si="21"/>
        <v>1.4564567465714822</v>
      </c>
      <c r="T76" s="27">
        <f t="shared" si="21"/>
        <v>0.78294872084109868</v>
      </c>
      <c r="U76" s="27">
        <f t="shared" si="21"/>
        <v>0.42344692504269926</v>
      </c>
      <c r="V76" s="27">
        <f t="shared" si="21"/>
        <v>0.23037946430400794</v>
      </c>
      <c r="W76" s="27">
        <f t="shared" si="21"/>
        <v>0.12607190013678676</v>
      </c>
      <c r="X76" s="27">
        <f t="shared" si="21"/>
        <v>6.9386443587126881E-2</v>
      </c>
      <c r="Y76" s="27">
        <f t="shared" si="21"/>
        <v>3.8403087846529377E-2</v>
      </c>
    </row>
    <row r="77" spans="1:25" x14ac:dyDescent="0.25">
      <c r="A77" s="21">
        <v>65</v>
      </c>
      <c r="C77" s="25">
        <f t="shared" si="19"/>
        <v>8.4444059615573863</v>
      </c>
      <c r="D77" s="23">
        <f>($B$4/CommAndSportFishingValues!$I$18)*FishHarvestTimeTrends!AC86*((1+'OriginalBCACalculations$2012'!D$10)^MIN('OriginalBCACalculations$2012'!$A77,20))</f>
        <v>2.5719106072867604</v>
      </c>
      <c r="E77" s="23">
        <f>($B$5/CommAndSportFishingValues!$I$19)*FishHarvestTimeTrends!AD86*((1+'OriginalBCACalculations$2012'!E$10)^MIN('OriginalBCACalculations$2012'!$A77,20))</f>
        <v>0.36523878755073402</v>
      </c>
      <c r="F77" s="23">
        <f t="shared" si="15"/>
        <v>8.1983705304164509</v>
      </c>
      <c r="H77" s="22">
        <f t="shared" si="14"/>
        <v>3.9100000000000003E-2</v>
      </c>
      <c r="I77" s="22"/>
      <c r="J77" s="41"/>
      <c r="K77" s="41">
        <f t="shared" ref="K77:N112" si="22">C77/((1+$M$9)^($A77-1))</f>
        <v>0.11117504958594691</v>
      </c>
      <c r="L77" s="41">
        <f t="shared" si="22"/>
        <v>3.3860556988545641E-2</v>
      </c>
      <c r="M77" s="41">
        <f t="shared" si="22"/>
        <v>4.8085608983648625E-3</v>
      </c>
      <c r="N77" s="41">
        <f t="shared" si="22"/>
        <v>0.10793586362289444</v>
      </c>
      <c r="O77" s="67"/>
      <c r="P77" s="41">
        <f t="shared" si="13"/>
        <v>5.1477208208602345E-4</v>
      </c>
      <c r="R77" s="27">
        <f t="shared" si="21"/>
        <v>2.7302139636965581</v>
      </c>
      <c r="S77" s="27">
        <f t="shared" si="21"/>
        <v>1.4442047246624379</v>
      </c>
      <c r="T77" s="27">
        <f t="shared" si="21"/>
        <v>0.76875099477240127</v>
      </c>
      <c r="U77" s="27">
        <f t="shared" si="21"/>
        <v>0.4117316971194464</v>
      </c>
      <c r="V77" s="27">
        <f t="shared" si="21"/>
        <v>0.22185180596692572</v>
      </c>
      <c r="W77" s="27">
        <f t="shared" si="21"/>
        <v>0.12024901927611416</v>
      </c>
      <c r="X77" s="27">
        <f t="shared" si="21"/>
        <v>6.5557337418467143E-2</v>
      </c>
      <c r="Y77" s="27">
        <f t="shared" si="21"/>
        <v>3.5944704005944038E-2</v>
      </c>
    </row>
    <row r="78" spans="1:25" x14ac:dyDescent="0.25">
      <c r="A78" s="21">
        <v>66</v>
      </c>
      <c r="C78" s="25">
        <f t="shared" si="19"/>
        <v>8.4444059615573863</v>
      </c>
      <c r="D78" s="23">
        <f>($B$4/CommAndSportFishingValues!$I$18)*FishHarvestTimeTrends!AC87*((1+'OriginalBCACalculations$2012'!D$10)^MIN('OriginalBCACalculations$2012'!$A78,20))</f>
        <v>2.5719124456964697</v>
      </c>
      <c r="E78" s="23">
        <f>($B$5/CommAndSportFishingValues!$I$19)*FishHarvestTimeTrends!AD87*((1+'OriginalBCACalculations$2012'!E$10)^MIN('OriginalBCACalculations$2012'!$A78,20))</f>
        <v>0.36523898016088713</v>
      </c>
      <c r="F78" s="23">
        <f t="shared" si="15"/>
        <v>8.2024697156816586</v>
      </c>
      <c r="H78" s="22">
        <f t="shared" si="14"/>
        <v>3.9100000000000003E-2</v>
      </c>
      <c r="I78" s="22"/>
      <c r="J78" s="41"/>
      <c r="K78" s="41">
        <f t="shared" si="22"/>
        <v>0.10390191550088496</v>
      </c>
      <c r="L78" s="41">
        <f t="shared" si="22"/>
        <v>3.1645402983343167E-2</v>
      </c>
      <c r="M78" s="41">
        <f t="shared" si="22"/>
        <v>4.4939845179242212E-3</v>
      </c>
      <c r="N78" s="41">
        <f t="shared" si="22"/>
        <v>0.10092507621935128</v>
      </c>
      <c r="O78" s="67"/>
      <c r="P78" s="41">
        <f t="shared" si="13"/>
        <v>4.8109540381871345E-4</v>
      </c>
      <c r="R78" s="27">
        <f t="shared" ref="R78:Y93" si="23">(SUM($D78:$H78)-SUM($B78:$C78))/((1+R$10)^($A78-1))</f>
        <v>2.7343151799816283</v>
      </c>
      <c r="S78" s="27">
        <f t="shared" si="23"/>
        <v>1.4320536140738787</v>
      </c>
      <c r="T78" s="27">
        <f t="shared" si="23"/>
        <v>0.75480958943661625</v>
      </c>
      <c r="U78" s="27">
        <f t="shared" si="23"/>
        <v>0.40033998418994848</v>
      </c>
      <c r="V78" s="27">
        <f t="shared" si="23"/>
        <v>0.21363948338418015</v>
      </c>
      <c r="W78" s="27">
        <f t="shared" si="23"/>
        <v>0.11469490710307594</v>
      </c>
      <c r="X78" s="27">
        <f t="shared" si="23"/>
        <v>6.1939448096488416E-2</v>
      </c>
      <c r="Y78" s="27">
        <f t="shared" si="23"/>
        <v>3.3643643623552419E-2</v>
      </c>
    </row>
    <row r="79" spans="1:25" x14ac:dyDescent="0.25">
      <c r="A79" s="21">
        <v>67</v>
      </c>
      <c r="C79" s="25">
        <f t="shared" si="19"/>
        <v>8.4444059615573863</v>
      </c>
      <c r="D79" s="23">
        <f>($B$4/CommAndSportFishingValues!$I$18)*FishHarvestTimeTrends!AC88*((1+'OriginalBCACalculations$2012'!D$10)^MIN('OriginalBCACalculations$2012'!$A79,20))</f>
        <v>2.5719142841061791</v>
      </c>
      <c r="E79" s="23">
        <f>($B$5/CommAndSportFishingValues!$I$19)*FishHarvestTimeTrends!AD88*((1+'OriginalBCACalculations$2012'!E$10)^MIN('OriginalBCACalculations$2012'!$A79,20))</f>
        <v>0.36523917277104023</v>
      </c>
      <c r="F79" s="23">
        <f t="shared" si="15"/>
        <v>8.2065709505394988</v>
      </c>
      <c r="H79" s="22">
        <f t="shared" si="14"/>
        <v>3.9100000000000003E-2</v>
      </c>
      <c r="I79" s="22"/>
      <c r="J79" s="41"/>
      <c r="K79" s="41">
        <f t="shared" si="22"/>
        <v>9.7104593926060703E-2</v>
      </c>
      <c r="L79" s="41">
        <f t="shared" si="22"/>
        <v>2.9575164115476241E-2</v>
      </c>
      <c r="M79" s="41">
        <f t="shared" si="22"/>
        <v>4.1999877456485035E-3</v>
      </c>
      <c r="N79" s="41">
        <f t="shared" si="22"/>
        <v>9.4369662390150419E-2</v>
      </c>
      <c r="O79" s="67"/>
      <c r="P79" s="41">
        <f t="shared" si="13"/>
        <v>4.4962187272776959E-4</v>
      </c>
      <c r="R79" s="27">
        <f t="shared" si="23"/>
        <v>2.738418445859331</v>
      </c>
      <c r="S79" s="27">
        <f t="shared" si="23"/>
        <v>1.4200026075310239</v>
      </c>
      <c r="T79" s="27">
        <f t="shared" si="23"/>
        <v>0.74111990079352519</v>
      </c>
      <c r="U79" s="27">
        <f t="shared" si="23"/>
        <v>0.38926287058346776</v>
      </c>
      <c r="V79" s="27">
        <f t="shared" si="23"/>
        <v>0.20573084875927047</v>
      </c>
      <c r="W79" s="27">
        <f t="shared" si="23"/>
        <v>0.10939716636028068</v>
      </c>
      <c r="X79" s="27">
        <f t="shared" si="23"/>
        <v>5.8521130082312196E-2</v>
      </c>
      <c r="Y79" s="27">
        <f t="shared" si="23"/>
        <v>3.1489842197942215E-2</v>
      </c>
    </row>
    <row r="80" spans="1:25" x14ac:dyDescent="0.25">
      <c r="A80" s="21">
        <v>68</v>
      </c>
      <c r="C80" s="25">
        <f t="shared" si="19"/>
        <v>8.4444059615573863</v>
      </c>
      <c r="D80" s="23">
        <f>($B$4/CommAndSportFishingValues!$I$18)*FishHarvestTimeTrends!AC89*((1+'OriginalBCACalculations$2012'!D$10)^MIN('OriginalBCACalculations$2012'!$A80,20))</f>
        <v>2.5719161225158889</v>
      </c>
      <c r="E80" s="23">
        <f>($B$5/CommAndSportFishingValues!$I$19)*FishHarvestTimeTrends!AD89*((1+'OriginalBCACalculations$2012'!E$10)^MIN('OriginalBCACalculations$2012'!$A80,20))</f>
        <v>0.36523936538119328</v>
      </c>
      <c r="F80" s="23">
        <f t="shared" si="15"/>
        <v>8.2106742360147678</v>
      </c>
      <c r="H80" s="22">
        <f t="shared" si="14"/>
        <v>3.9100000000000003E-2</v>
      </c>
      <c r="I80" s="22"/>
      <c r="J80" s="41"/>
      <c r="K80" s="41">
        <f t="shared" si="22"/>
        <v>9.0751956940243655E-2</v>
      </c>
      <c r="L80" s="41">
        <f t="shared" si="22"/>
        <v>2.7640360052210666E-2</v>
      </c>
      <c r="M80" s="41">
        <f t="shared" si="22"/>
        <v>3.9252242621744919E-3</v>
      </c>
      <c r="N80" s="41">
        <f t="shared" si="22"/>
        <v>8.8240044132098586E-2</v>
      </c>
      <c r="O80" s="67"/>
      <c r="P80" s="41">
        <f t="shared" si="13"/>
        <v>4.2020735768950429E-4</v>
      </c>
      <c r="R80" s="27">
        <f t="shared" si="23"/>
        <v>2.7425237623544625</v>
      </c>
      <c r="S80" s="27">
        <f t="shared" si="23"/>
        <v>1.408050903947357</v>
      </c>
      <c r="T80" s="27">
        <f t="shared" si="23"/>
        <v>0.72767740701319605</v>
      </c>
      <c r="U80" s="27">
        <f t="shared" si="23"/>
        <v>0.378491685785245</v>
      </c>
      <c r="V80" s="27">
        <f t="shared" si="23"/>
        <v>0.1981146840379259</v>
      </c>
      <c r="W80" s="27">
        <f t="shared" si="23"/>
        <v>0.10434397121968618</v>
      </c>
      <c r="X80" s="27">
        <f t="shared" si="23"/>
        <v>5.5291379610096857E-2</v>
      </c>
      <c r="Y80" s="27">
        <f t="shared" si="23"/>
        <v>2.9473878863929579E-2</v>
      </c>
    </row>
    <row r="81" spans="1:25" x14ac:dyDescent="0.25">
      <c r="A81" s="21">
        <v>69</v>
      </c>
      <c r="C81" s="25">
        <f t="shared" si="19"/>
        <v>8.4444059615573863</v>
      </c>
      <c r="D81" s="23">
        <f>($B$4/CommAndSportFishingValues!$I$18)*FishHarvestTimeTrends!AC90*((1+'OriginalBCACalculations$2012'!D$10)^MIN('OriginalBCACalculations$2012'!$A81,20))</f>
        <v>2.5719179609255978</v>
      </c>
      <c r="E81" s="23">
        <f>($B$5/CommAndSportFishingValues!$I$19)*FishHarvestTimeTrends!AD90*((1+'OriginalBCACalculations$2012'!E$10)^MIN('OriginalBCACalculations$2012'!$A81,20))</f>
        <v>0.36523955799134644</v>
      </c>
      <c r="F81" s="23">
        <f t="shared" si="15"/>
        <v>8.2147795731327751</v>
      </c>
      <c r="H81" s="22">
        <f t="shared" si="14"/>
        <v>3.9100000000000003E-2</v>
      </c>
      <c r="I81" s="22"/>
      <c r="J81" s="41"/>
      <c r="K81" s="41">
        <f t="shared" si="22"/>
        <v>8.481491302826509E-2</v>
      </c>
      <c r="L81" s="41">
        <f t="shared" si="22"/>
        <v>2.5832130663162346E-2</v>
      </c>
      <c r="M81" s="41">
        <f t="shared" si="22"/>
        <v>3.6684358244431043E-3</v>
      </c>
      <c r="N81" s="41">
        <f t="shared" si="22"/>
        <v>8.2508564630060399E-2</v>
      </c>
      <c r="O81" s="67"/>
      <c r="P81" s="41">
        <f t="shared" si="13"/>
        <v>3.9271715671916288E-4</v>
      </c>
      <c r="R81" s="27">
        <f t="shared" si="23"/>
        <v>2.7466311304923323</v>
      </c>
      <c r="S81" s="27">
        <f t="shared" si="23"/>
        <v>1.3961977083803296</v>
      </c>
      <c r="T81" s="27">
        <f t="shared" si="23"/>
        <v>0.71447766701820392</v>
      </c>
      <c r="U81" s="27">
        <f t="shared" si="23"/>
        <v>0.36801799771200988</v>
      </c>
      <c r="V81" s="27">
        <f t="shared" si="23"/>
        <v>0.19078018507270952</v>
      </c>
      <c r="W81" s="27">
        <f t="shared" si="23"/>
        <v>9.952404096344844E-2</v>
      </c>
      <c r="X81" s="27">
        <f t="shared" si="23"/>
        <v>5.223979933743636E-2</v>
      </c>
      <c r="Y81" s="27">
        <f t="shared" si="23"/>
        <v>2.7586935246119916E-2</v>
      </c>
    </row>
    <row r="82" spans="1:25" x14ac:dyDescent="0.25">
      <c r="A82" s="21">
        <v>70</v>
      </c>
      <c r="C82" s="25">
        <f t="shared" si="19"/>
        <v>8.4444059615573863</v>
      </c>
      <c r="D82" s="23">
        <f>($B$4/CommAndSportFishingValues!$I$18)*FishHarvestTimeTrends!AC91*((1+'OriginalBCACalculations$2012'!D$10)^MIN('OriginalBCACalculations$2012'!$A82,20))</f>
        <v>2.5719197993353076</v>
      </c>
      <c r="E82" s="23">
        <f>($B$5/CommAndSportFishingValues!$I$19)*FishHarvestTimeTrends!AD91*((1+'OriginalBCACalculations$2012'!E$10)^MIN('OriginalBCACalculations$2012'!$A82,20))</f>
        <v>0.36523975060149949</v>
      </c>
      <c r="F82" s="23">
        <f t="shared" si="15"/>
        <v>8.2188869629193402</v>
      </c>
      <c r="H82" s="22">
        <f t="shared" si="14"/>
        <v>3.9100000000000003E-2</v>
      </c>
      <c r="I82" s="22"/>
      <c r="J82" s="41"/>
      <c r="K82" s="41">
        <f t="shared" si="22"/>
        <v>7.9266273858191669E-2</v>
      </c>
      <c r="L82" s="41">
        <f t="shared" si="22"/>
        <v>2.4142195446726147E-2</v>
      </c>
      <c r="M82" s="41">
        <f t="shared" si="22"/>
        <v>3.4284465037415931E-3</v>
      </c>
      <c r="N82" s="41">
        <f t="shared" si="22"/>
        <v>7.7149363469509735E-2</v>
      </c>
      <c r="O82" s="67"/>
      <c r="P82" s="41">
        <f t="shared" si="13"/>
        <v>3.6702538011136718E-4</v>
      </c>
      <c r="R82" s="27">
        <f t="shared" si="23"/>
        <v>2.7507405512987599</v>
      </c>
      <c r="S82" s="27">
        <f t="shared" si="23"/>
        <v>1.384442231987344</v>
      </c>
      <c r="T82" s="27">
        <f t="shared" si="23"/>
        <v>0.70151631905148581</v>
      </c>
      <c r="U82" s="27">
        <f t="shared" si="23"/>
        <v>0.35783360617143484</v>
      </c>
      <c r="V82" s="27">
        <f t="shared" si="23"/>
        <v>0.18371694637034969</v>
      </c>
      <c r="W82" s="27">
        <f t="shared" si="23"/>
        <v>9.4926614876022358E-2</v>
      </c>
      <c r="X82" s="27">
        <f t="shared" si="23"/>
        <v>4.935656494182853E-2</v>
      </c>
      <c r="Y82" s="27">
        <f t="shared" si="23"/>
        <v>2.5820756941897158E-2</v>
      </c>
    </row>
    <row r="83" spans="1:25" x14ac:dyDescent="0.25">
      <c r="A83" s="21">
        <v>71</v>
      </c>
      <c r="C83" s="25">
        <f t="shared" si="19"/>
        <v>8.4444059615573863</v>
      </c>
      <c r="D83" s="23">
        <f>($B$4/CommAndSportFishingValues!$I$18)*FishHarvestTimeTrends!AC92*((1+'OriginalBCACalculations$2012'!D$10)^MIN('OriginalBCACalculations$2012'!$A83,20))</f>
        <v>2.5719216377450174</v>
      </c>
      <c r="E83" s="23">
        <f>($B$5/CommAndSportFishingValues!$I$19)*FishHarvestTimeTrends!AD92*((1+'OriginalBCACalculations$2012'!E$10)^MIN('OriginalBCACalculations$2012'!$A83,20))</f>
        <v>0.36523994321165254</v>
      </c>
      <c r="F83" s="23">
        <f t="shared" si="15"/>
        <v>8.2229964064007994</v>
      </c>
      <c r="H83" s="22">
        <f t="shared" si="14"/>
        <v>3.9100000000000003E-2</v>
      </c>
      <c r="I83" s="22"/>
      <c r="J83" s="41"/>
      <c r="K83" s="41">
        <f t="shared" si="22"/>
        <v>7.4080629774010906E-2</v>
      </c>
      <c r="L83" s="41">
        <f t="shared" si="22"/>
        <v>2.2562815610823312E-2</v>
      </c>
      <c r="M83" s="41">
        <f t="shared" si="22"/>
        <v>3.2041573006934276E-3</v>
      </c>
      <c r="N83" s="41">
        <f t="shared" si="22"/>
        <v>7.2138259954434097E-2</v>
      </c>
      <c r="O83" s="67"/>
      <c r="P83" s="41">
        <f t="shared" si="13"/>
        <v>3.4301437393585715E-4</v>
      </c>
      <c r="R83" s="27">
        <f t="shared" si="23"/>
        <v>2.7548520258000817</v>
      </c>
      <c r="S83" s="27">
        <f t="shared" si="23"/>
        <v>1.3727836919820149</v>
      </c>
      <c r="T83" s="27">
        <f t="shared" si="23"/>
        <v>0.68878907926938782</v>
      </c>
      <c r="U83" s="27">
        <f t="shared" si="23"/>
        <v>0.34793053650051953</v>
      </c>
      <c r="V83" s="27">
        <f t="shared" si="23"/>
        <v>0.1769149464003856</v>
      </c>
      <c r="W83" s="27">
        <f t="shared" si="23"/>
        <v>9.054142829181841E-2</v>
      </c>
      <c r="X83" s="27">
        <f t="shared" si="23"/>
        <v>4.6632393556137429E-2</v>
      </c>
      <c r="Y83" s="27">
        <f t="shared" si="23"/>
        <v>2.4167617465875774E-2</v>
      </c>
    </row>
    <row r="84" spans="1:25" x14ac:dyDescent="0.25">
      <c r="A84" s="21">
        <v>72</v>
      </c>
      <c r="C84" s="25">
        <f t="shared" si="19"/>
        <v>8.4444059615573863</v>
      </c>
      <c r="D84" s="23">
        <f>($B$4/CommAndSportFishingValues!$I$18)*FishHarvestTimeTrends!AC93*((1+'OriginalBCACalculations$2012'!D$10)^MIN('OriginalBCACalculations$2012'!$A84,20))</f>
        <v>2.5719234761547263</v>
      </c>
      <c r="E84" s="23">
        <f>($B$5/CommAndSportFishingValues!$I$19)*FishHarvestTimeTrends!AD93*((1+'OriginalBCACalculations$2012'!E$10)^MIN('OriginalBCACalculations$2012'!$A84,20))</f>
        <v>0.36524013582180564</v>
      </c>
      <c r="F84" s="23">
        <f t="shared" si="15"/>
        <v>8.227107904603999</v>
      </c>
      <c r="H84" s="22">
        <f t="shared" si="14"/>
        <v>3.9100000000000003E-2</v>
      </c>
      <c r="I84" s="22"/>
      <c r="J84" s="41"/>
      <c r="K84" s="41">
        <f t="shared" si="22"/>
        <v>6.9234233433655049E-2</v>
      </c>
      <c r="L84" s="41">
        <f t="shared" si="22"/>
        <v>2.1086758634322415E-2</v>
      </c>
      <c r="M84" s="41">
        <f t="shared" si="22"/>
        <v>2.9945411125358915E-3</v>
      </c>
      <c r="N84" s="41">
        <f t="shared" si="22"/>
        <v>6.7452644004122722E-2</v>
      </c>
      <c r="O84" s="67"/>
      <c r="P84" s="41">
        <f t="shared" ref="P84:P112" si="24">H84/((1+$M$9)^($A84-1))</f>
        <v>3.2057418124846465E-4</v>
      </c>
      <c r="R84" s="27">
        <f t="shared" si="23"/>
        <v>2.7589655550231438</v>
      </c>
      <c r="S84" s="27">
        <f t="shared" si="23"/>
        <v>1.3612213115907068</v>
      </c>
      <c r="T84" s="27">
        <f t="shared" si="23"/>
        <v>0.67629174035946116</v>
      </c>
      <c r="U84" s="27">
        <f t="shared" si="23"/>
        <v>0.33830103337802192</v>
      </c>
      <c r="V84" s="27">
        <f t="shared" si="23"/>
        <v>0.17036453344450014</v>
      </c>
      <c r="W84" s="27">
        <f t="shared" si="23"/>
        <v>8.6358689745275954E-2</v>
      </c>
      <c r="X84" s="27">
        <f t="shared" si="23"/>
        <v>4.4058513941861277E-2</v>
      </c>
      <c r="Y84" s="27">
        <f t="shared" si="23"/>
        <v>2.2620284498574426E-2</v>
      </c>
    </row>
    <row r="85" spans="1:25" x14ac:dyDescent="0.25">
      <c r="A85" s="21">
        <v>73</v>
      </c>
      <c r="C85" s="25">
        <f t="shared" si="19"/>
        <v>8.4444059615573863</v>
      </c>
      <c r="D85" s="23">
        <f>($B$4/CommAndSportFishingValues!$I$18)*FishHarvestTimeTrends!AC94*((1+'OriginalBCACalculations$2012'!D$10)^MIN('OriginalBCACalculations$2012'!$A85,20))</f>
        <v>2.5719253145644356</v>
      </c>
      <c r="E85" s="23">
        <f>($B$5/CommAndSportFishingValues!$I$19)*FishHarvestTimeTrends!AD94*((1+'OriginalBCACalculations$2012'!E$10)^MIN('OriginalBCACalculations$2012'!$A85,20))</f>
        <v>0.36524032843195881</v>
      </c>
      <c r="F85" s="23">
        <f t="shared" si="15"/>
        <v>8.2312214585563002</v>
      </c>
      <c r="H85" s="22">
        <f t="shared" ref="H85:H112" si="25">B$8</f>
        <v>3.9100000000000003E-2</v>
      </c>
      <c r="I85" s="22"/>
      <c r="J85" s="41"/>
      <c r="K85" s="41">
        <f t="shared" si="22"/>
        <v>6.4704891059490705E-2</v>
      </c>
      <c r="L85" s="41">
        <f t="shared" si="22"/>
        <v>1.9707265146848334E-2</v>
      </c>
      <c r="M85" s="41">
        <f t="shared" si="22"/>
        <v>2.798638029638729E-3</v>
      </c>
      <c r="N85" s="41">
        <f t="shared" si="22"/>
        <v>6.3071374136565203E-2</v>
      </c>
      <c r="O85" s="67"/>
      <c r="P85" s="41">
        <f t="shared" si="24"/>
        <v>2.9960203854996693E-4</v>
      </c>
      <c r="R85" s="27">
        <f t="shared" si="23"/>
        <v>2.7630811399953075</v>
      </c>
      <c r="S85" s="27">
        <f t="shared" si="23"/>
        <v>1.3497543200093425</v>
      </c>
      <c r="T85" s="27">
        <f t="shared" si="23"/>
        <v>0.66402017018257975</v>
      </c>
      <c r="U85" s="27">
        <f t="shared" si="23"/>
        <v>0.32893755480619186</v>
      </c>
      <c r="V85" s="27">
        <f t="shared" si="23"/>
        <v>0.1640564119666699</v>
      </c>
      <c r="W85" s="27">
        <f t="shared" si="23"/>
        <v>8.2369059172658091E-2</v>
      </c>
      <c r="X85" s="27">
        <f t="shared" si="23"/>
        <v>4.162663830458322E-2</v>
      </c>
      <c r="Y85" s="27">
        <f t="shared" si="23"/>
        <v>2.1171988292111525E-2</v>
      </c>
    </row>
    <row r="86" spans="1:25" x14ac:dyDescent="0.25">
      <c r="A86" s="21">
        <v>74</v>
      </c>
      <c r="C86" s="25">
        <f t="shared" si="19"/>
        <v>8.4444059615573863</v>
      </c>
      <c r="D86" s="23">
        <f>($B$4/CommAndSportFishingValues!$I$18)*FishHarvestTimeTrends!AC95*((1+'OriginalBCACalculations$2012'!D$10)^MIN('OriginalBCACalculations$2012'!$A86,20))</f>
        <v>2.5719271529741454</v>
      </c>
      <c r="E86" s="23">
        <f>($B$5/CommAndSportFishingValues!$I$19)*FishHarvestTimeTrends!AD95*((1+'OriginalBCACalculations$2012'!E$10)^MIN('OriginalBCACalculations$2012'!$A86,20))</f>
        <v>0.3652405210421118</v>
      </c>
      <c r="F86" s="23">
        <f t="shared" ref="F86:F112" si="26">F85*(1+F$10)</f>
        <v>8.2353370692855776</v>
      </c>
      <c r="H86" s="22">
        <f t="shared" si="25"/>
        <v>3.9100000000000003E-2</v>
      </c>
      <c r="I86" s="22"/>
      <c r="J86" s="41"/>
      <c r="K86" s="41">
        <f t="shared" si="22"/>
        <v>6.0471860803262334E-2</v>
      </c>
      <c r="L86" s="41">
        <f t="shared" si="22"/>
        <v>1.8418017975310525E-2</v>
      </c>
      <c r="M86" s="41">
        <f t="shared" si="22"/>
        <v>2.6155509397248551E-3</v>
      </c>
      <c r="N86" s="41">
        <f t="shared" si="22"/>
        <v>5.897468207816213E-2</v>
      </c>
      <c r="O86" s="67"/>
      <c r="P86" s="41">
        <f t="shared" si="24"/>
        <v>2.8000190518688497E-4</v>
      </c>
      <c r="R86" s="27">
        <f t="shared" si="23"/>
        <v>2.7671987817444474</v>
      </c>
      <c r="S86" s="27">
        <f t="shared" si="23"/>
        <v>1.3383819523604956</v>
      </c>
      <c r="T86" s="27">
        <f t="shared" si="23"/>
        <v>0.65197031043895426</v>
      </c>
      <c r="U86" s="27">
        <f t="shared" si="23"/>
        <v>0.31983276625718621</v>
      </c>
      <c r="V86" s="27">
        <f t="shared" si="23"/>
        <v>0.15798162948499123</v>
      </c>
      <c r="W86" s="27">
        <f t="shared" si="23"/>
        <v>7.8563627117199525E-2</v>
      </c>
      <c r="X86" s="27">
        <f t="shared" si="23"/>
        <v>3.9328935661239545E-2</v>
      </c>
      <c r="Y86" s="27">
        <f t="shared" si="23"/>
        <v>1.9816392095122055E-2</v>
      </c>
    </row>
    <row r="87" spans="1:25" x14ac:dyDescent="0.25">
      <c r="A87" s="21">
        <v>75</v>
      </c>
      <c r="C87" s="25">
        <f t="shared" si="19"/>
        <v>8.4444059615573863</v>
      </c>
      <c r="D87" s="23">
        <f>($B$4/CommAndSportFishingValues!$I$18)*FishHarvestTimeTrends!AC96*((1+'OriginalBCACalculations$2012'!D$10)^MIN('OriginalBCACalculations$2012'!$A87,20))</f>
        <v>2.5719289913838548</v>
      </c>
      <c r="E87" s="23">
        <f>($B$5/CommAndSportFishingValues!$I$19)*FishHarvestTimeTrends!AD96*((1+'OriginalBCACalculations$2012'!E$10)^MIN('OriginalBCACalculations$2012'!$A87,20))</f>
        <v>0.36524071365226501</v>
      </c>
      <c r="F87" s="23">
        <f t="shared" si="26"/>
        <v>8.2394547378202194</v>
      </c>
      <c r="H87" s="22">
        <f t="shared" si="25"/>
        <v>3.9100000000000003E-2</v>
      </c>
      <c r="I87" s="22"/>
      <c r="J87" s="41"/>
      <c r="K87" s="41">
        <f t="shared" si="22"/>
        <v>5.6515757760058259E-2</v>
      </c>
      <c r="L87" s="41">
        <f t="shared" si="22"/>
        <v>1.7213113215404134E-2</v>
      </c>
      <c r="M87" s="41">
        <f t="shared" si="22"/>
        <v>2.4444414196632576E-3</v>
      </c>
      <c r="N87" s="41">
        <f t="shared" si="22"/>
        <v>5.514408356934692E-2</v>
      </c>
      <c r="O87" s="67"/>
      <c r="P87" s="41">
        <f t="shared" si="24"/>
        <v>2.6168402353914485E-4</v>
      </c>
      <c r="R87" s="27">
        <f t="shared" si="23"/>
        <v>2.7713184812989518</v>
      </c>
      <c r="S87" s="27">
        <f t="shared" si="23"/>
        <v>1.3271034496507434</v>
      </c>
      <c r="T87" s="27">
        <f t="shared" si="23"/>
        <v>0.64013817535762518</v>
      </c>
      <c r="U87" s="27">
        <f t="shared" si="23"/>
        <v>0.31097953497967507</v>
      </c>
      <c r="V87" s="27">
        <f t="shared" si="23"/>
        <v>0.15213156392674312</v>
      </c>
      <c r="W87" s="27">
        <f t="shared" si="23"/>
        <v>7.4933894891463168E-2</v>
      </c>
      <c r="X87" s="27">
        <f t="shared" si="23"/>
        <v>3.7158006673810792E-2</v>
      </c>
      <c r="Y87" s="27">
        <f t="shared" si="23"/>
        <v>1.854756446789519E-2</v>
      </c>
    </row>
    <row r="88" spans="1:25" x14ac:dyDescent="0.25">
      <c r="A88" s="21">
        <v>76</v>
      </c>
      <c r="C88" s="25">
        <f t="shared" si="19"/>
        <v>8.4444059615573863</v>
      </c>
      <c r="D88" s="23">
        <f>($B$4/CommAndSportFishingValues!$I$18)*FishHarvestTimeTrends!AC97*((1+'OriginalBCACalculations$2012'!D$10)^MIN('OriginalBCACalculations$2012'!$A88,20))</f>
        <v>2.5719308297935641</v>
      </c>
      <c r="E88" s="23">
        <f>($B$5/CommAndSportFishingValues!$I$19)*FishHarvestTimeTrends!AD97*((1+'OriginalBCACalculations$2012'!E$10)^MIN('OriginalBCACalculations$2012'!$A88,20))</f>
        <v>0.36524090626241801</v>
      </c>
      <c r="F88" s="23">
        <f t="shared" si="26"/>
        <v>8.2435744651891287</v>
      </c>
      <c r="H88" s="22">
        <f t="shared" si="25"/>
        <v>3.9100000000000003E-2</v>
      </c>
      <c r="I88" s="22"/>
      <c r="J88" s="41"/>
      <c r="K88" s="41">
        <f t="shared" si="22"/>
        <v>5.2818465196316125E-2</v>
      </c>
      <c r="L88" s="41">
        <f t="shared" si="22"/>
        <v>1.6087033195610372E-2</v>
      </c>
      <c r="M88" s="41">
        <f t="shared" si="22"/>
        <v>2.284525896021062E-3</v>
      </c>
      <c r="N88" s="41">
        <f t="shared" si="22"/>
        <v>5.1562294963674371E-2</v>
      </c>
      <c r="O88" s="67"/>
      <c r="P88" s="41">
        <f t="shared" si="24"/>
        <v>2.4456450798050918E-4</v>
      </c>
      <c r="R88" s="27">
        <f t="shared" si="23"/>
        <v>2.7754402396877236</v>
      </c>
      <c r="S88" s="27">
        <f t="shared" si="23"/>
        <v>1.3159180587282999</v>
      </c>
      <c r="T88" s="27">
        <f t="shared" si="23"/>
        <v>0.62851985040902869</v>
      </c>
      <c r="U88" s="27">
        <f t="shared" si="23"/>
        <v>0.30237092446126657</v>
      </c>
      <c r="V88" s="27">
        <f t="shared" si="23"/>
        <v>0.14649791144892532</v>
      </c>
      <c r="W88" s="27">
        <f t="shared" si="23"/>
        <v>7.1471755652880886E-2</v>
      </c>
      <c r="X88" s="27">
        <f t="shared" si="23"/>
        <v>3.5106859868736962E-2</v>
      </c>
      <c r="Y88" s="27">
        <f t="shared" si="23"/>
        <v>1.7359953366970191E-2</v>
      </c>
    </row>
    <row r="89" spans="1:25" x14ac:dyDescent="0.25">
      <c r="A89" s="21">
        <v>77</v>
      </c>
      <c r="C89" s="25">
        <f t="shared" si="19"/>
        <v>8.4444059615573863</v>
      </c>
      <c r="D89" s="23">
        <f>($B$4/CommAndSportFishingValues!$I$18)*FishHarvestTimeTrends!AC98*((1+'OriginalBCACalculations$2012'!D$10)^MIN('OriginalBCACalculations$2012'!$A89,20))</f>
        <v>2.5719326682032739</v>
      </c>
      <c r="E89" s="23">
        <f>($B$5/CommAndSportFishingValues!$I$19)*FishHarvestTimeTrends!AD98*((1+'OriginalBCACalculations$2012'!E$10)^MIN('OriginalBCACalculations$2012'!$A89,20))</f>
        <v>0.36524109887257117</v>
      </c>
      <c r="F89" s="23">
        <f t="shared" si="26"/>
        <v>8.2476962524217221</v>
      </c>
      <c r="H89" s="22">
        <f t="shared" si="25"/>
        <v>3.9100000000000003E-2</v>
      </c>
      <c r="I89" s="22"/>
      <c r="J89" s="41"/>
      <c r="K89" s="41">
        <f t="shared" si="22"/>
        <v>4.9363051585342183E-2</v>
      </c>
      <c r="L89" s="41">
        <f t="shared" si="22"/>
        <v>1.5034621209889139E-2</v>
      </c>
      <c r="M89" s="41">
        <f t="shared" si="22"/>
        <v>2.1350720567925728E-3</v>
      </c>
      <c r="N89" s="41">
        <f t="shared" si="22"/>
        <v>4.8213155244071229E-2</v>
      </c>
      <c r="O89" s="67"/>
      <c r="P89" s="41">
        <f t="shared" si="24"/>
        <v>2.2856496072944785E-4</v>
      </c>
      <c r="R89" s="27">
        <f t="shared" si="23"/>
        <v>2.7795640579401795</v>
      </c>
      <c r="S89" s="27">
        <f t="shared" si="23"/>
        <v>1.3048250322409141</v>
      </c>
      <c r="T89" s="27">
        <f t="shared" si="23"/>
        <v>0.61711149104022811</v>
      </c>
      <c r="U89" s="27">
        <f t="shared" si="23"/>
        <v>0.29400018904249964</v>
      </c>
      <c r="V89" s="27">
        <f t="shared" si="23"/>
        <v>0.14107267470716081</v>
      </c>
      <c r="W89" s="27">
        <f t="shared" si="23"/>
        <v>6.8169476350476446E-2</v>
      </c>
      <c r="X89" s="27">
        <f t="shared" si="23"/>
        <v>3.316888916579662E-2</v>
      </c>
      <c r="Y89" s="27">
        <f t="shared" si="23"/>
        <v>1.6248361886140199E-2</v>
      </c>
    </row>
    <row r="90" spans="1:25" x14ac:dyDescent="0.25">
      <c r="A90" s="21">
        <v>78</v>
      </c>
      <c r="C90" s="25">
        <f t="shared" si="19"/>
        <v>8.4444059615573863</v>
      </c>
      <c r="D90" s="23">
        <f>($B$4/CommAndSportFishingValues!$I$18)*FishHarvestTimeTrends!AC99*((1+'OriginalBCACalculations$2012'!D$10)^MIN('OriginalBCACalculations$2012'!$A90,20))</f>
        <v>2.5719345066129837</v>
      </c>
      <c r="E90" s="23">
        <f>($B$5/CommAndSportFishingValues!$I$19)*FishHarvestTimeTrends!AD99*((1+'OriginalBCACalculations$2012'!E$10)^MIN('OriginalBCACalculations$2012'!$A90,20))</f>
        <v>0.36524129148272416</v>
      </c>
      <c r="F90" s="23">
        <f t="shared" si="26"/>
        <v>8.251820100547933</v>
      </c>
      <c r="H90" s="22">
        <f t="shared" si="25"/>
        <v>3.9100000000000003E-2</v>
      </c>
      <c r="I90" s="22"/>
      <c r="J90" s="41"/>
      <c r="K90" s="41">
        <f t="shared" si="22"/>
        <v>4.6133693070413248E-2</v>
      </c>
      <c r="L90" s="41">
        <f t="shared" si="22"/>
        <v>1.4051057903356081E-2</v>
      </c>
      <c r="M90" s="41">
        <f t="shared" si="22"/>
        <v>1.9953954978732141E-3</v>
      </c>
      <c r="N90" s="41">
        <f t="shared" si="22"/>
        <v>4.5081553104386225E-2</v>
      </c>
      <c r="O90" s="67"/>
      <c r="P90" s="41">
        <f t="shared" si="24"/>
        <v>2.1361211283125968E-4</v>
      </c>
      <c r="R90" s="27">
        <f t="shared" si="23"/>
        <v>2.7836899370862547</v>
      </c>
      <c r="S90" s="27">
        <f t="shared" si="23"/>
        <v>1.2938236285940419</v>
      </c>
      <c r="T90" s="27">
        <f t="shared" si="23"/>
        <v>0.6059093214324236</v>
      </c>
      <c r="U90" s="27">
        <f t="shared" si="23"/>
        <v>0.28586076867826776</v>
      </c>
      <c r="V90" s="27">
        <f t="shared" si="23"/>
        <v>0.13584815155648139</v>
      </c>
      <c r="W90" s="27">
        <f t="shared" si="23"/>
        <v>6.5019680502699628E-2</v>
      </c>
      <c r="X90" s="27">
        <f t="shared" si="23"/>
        <v>3.1337852644384212E-2</v>
      </c>
      <c r="Y90" s="27">
        <f t="shared" si="23"/>
        <v>1.5207925548033532E-2</v>
      </c>
    </row>
    <row r="91" spans="1:25" x14ac:dyDescent="0.25">
      <c r="A91" s="21">
        <v>79</v>
      </c>
      <c r="C91" s="25">
        <f t="shared" si="19"/>
        <v>8.4444059615573863</v>
      </c>
      <c r="D91" s="23">
        <f>($B$4/CommAndSportFishingValues!$I$18)*FishHarvestTimeTrends!AC100*((1+'OriginalBCACalculations$2012'!D$10)^MIN('OriginalBCACalculations$2012'!$A91,20))</f>
        <v>2.5719363450226922</v>
      </c>
      <c r="E91" s="23">
        <f>($B$5/CommAndSportFishingValues!$I$19)*FishHarvestTimeTrends!AD100*((1+'OriginalBCACalculations$2012'!E$10)^MIN('OriginalBCACalculations$2012'!$A91,20))</f>
        <v>0.36524148409287732</v>
      </c>
      <c r="F91" s="23">
        <f t="shared" si="26"/>
        <v>8.2559460105982065</v>
      </c>
      <c r="H91" s="22">
        <f t="shared" si="25"/>
        <v>3.9100000000000003E-2</v>
      </c>
      <c r="I91" s="22"/>
      <c r="J91" s="41"/>
      <c r="K91" s="41">
        <f t="shared" si="22"/>
        <v>4.3115601000386215E-2</v>
      </c>
      <c r="L91" s="41">
        <f t="shared" si="22"/>
        <v>1.3131839202806247E-2</v>
      </c>
      <c r="M91" s="41">
        <f t="shared" si="22"/>
        <v>1.864856588921396E-3</v>
      </c>
      <c r="N91" s="41">
        <f t="shared" si="22"/>
        <v>4.2153358767232169E-2</v>
      </c>
      <c r="O91" s="67"/>
      <c r="P91" s="41">
        <f t="shared" si="24"/>
        <v>1.9963748862734549E-4</v>
      </c>
      <c r="R91" s="27">
        <f t="shared" si="23"/>
        <v>2.7878178781563889</v>
      </c>
      <c r="S91" s="27">
        <f t="shared" si="23"/>
        <v>1.2829131119092756</v>
      </c>
      <c r="T91" s="27">
        <f t="shared" si="23"/>
        <v>0.59490963328033886</v>
      </c>
      <c r="U91" s="27">
        <f t="shared" si="23"/>
        <v>0.27794628384264958</v>
      </c>
      <c r="V91" s="27">
        <f t="shared" si="23"/>
        <v>0.13081692416811699</v>
      </c>
      <c r="W91" s="27">
        <f t="shared" si="23"/>
        <v>6.2015331768141294E-2</v>
      </c>
      <c r="X91" s="27">
        <f t="shared" si="23"/>
        <v>2.9607852479083561E-2</v>
      </c>
      <c r="Y91" s="27">
        <f t="shared" si="23"/>
        <v>1.4234091047200933E-2</v>
      </c>
    </row>
    <row r="92" spans="1:25" x14ac:dyDescent="0.25">
      <c r="A92" s="21">
        <v>80</v>
      </c>
      <c r="C92" s="25">
        <f t="shared" si="19"/>
        <v>8.4444059615573863</v>
      </c>
      <c r="D92" s="23">
        <f>($B$4/CommAndSportFishingValues!$I$18)*FishHarvestTimeTrends!AC101*((1+'OriginalBCACalculations$2012'!D$10)^MIN('OriginalBCACalculations$2012'!$A92,20))</f>
        <v>2.571938183432402</v>
      </c>
      <c r="E92" s="23">
        <f>($B$5/CommAndSportFishingValues!$I$19)*FishHarvestTimeTrends!AD101*((1+'OriginalBCACalculations$2012'!E$10)^MIN('OriginalBCACalculations$2012'!$A92,20))</f>
        <v>0.36524167670303043</v>
      </c>
      <c r="F92" s="23">
        <f t="shared" si="26"/>
        <v>8.2600739836035046</v>
      </c>
      <c r="H92" s="22">
        <f t="shared" si="25"/>
        <v>3.9100000000000003E-2</v>
      </c>
      <c r="I92" s="22"/>
      <c r="J92" s="41"/>
      <c r="K92" s="41">
        <f t="shared" si="22"/>
        <v>4.0294954205968424E-2</v>
      </c>
      <c r="L92" s="41">
        <f t="shared" si="22"/>
        <v>1.227275569102043E-2</v>
      </c>
      <c r="M92" s="41">
        <f t="shared" si="22"/>
        <v>1.7428575442558936E-3</v>
      </c>
      <c r="N92" s="41">
        <f t="shared" si="22"/>
        <v>3.9415360230482033E-2</v>
      </c>
      <c r="O92" s="67"/>
      <c r="P92" s="41">
        <f t="shared" si="24"/>
        <v>1.8657709217508923E-4</v>
      </c>
      <c r="R92" s="27">
        <f t="shared" si="23"/>
        <v>2.7919478821815513</v>
      </c>
      <c r="S92" s="27">
        <f t="shared" si="23"/>
        <v>1.2720927519830585</v>
      </c>
      <c r="T92" s="27">
        <f t="shared" si="23"/>
        <v>0.5841087845931231</v>
      </c>
      <c r="U92" s="27">
        <f t="shared" si="23"/>
        <v>0.27025053057323639</v>
      </c>
      <c r="V92" s="27">
        <f t="shared" si="23"/>
        <v>0.12597184854699789</v>
      </c>
      <c r="W92" s="27">
        <f t="shared" si="23"/>
        <v>5.9149718272657047E-2</v>
      </c>
      <c r="X92" s="27">
        <f t="shared" si="23"/>
        <v>2.7973315980181927E-2</v>
      </c>
      <c r="Y92" s="27">
        <f t="shared" si="23"/>
        <v>1.3322596351965024E-2</v>
      </c>
    </row>
    <row r="93" spans="1:25" x14ac:dyDescent="0.25">
      <c r="A93" s="21">
        <v>81</v>
      </c>
      <c r="C93" s="25">
        <f t="shared" si="19"/>
        <v>8.4444059615573863</v>
      </c>
      <c r="D93" s="23">
        <f>($B$4/CommAndSportFishingValues!$I$18)*FishHarvestTimeTrends!AC102*((1+'OriginalBCACalculations$2012'!D$10)^MIN('OriginalBCACalculations$2012'!$A93,20))</f>
        <v>2.5719400218421118</v>
      </c>
      <c r="E93" s="23">
        <f>($B$5/CommAndSportFishingValues!$I$19)*FishHarvestTimeTrends!AD102*((1+'OriginalBCACalculations$2012'!E$10)^MIN('OriginalBCACalculations$2012'!$A93,20))</f>
        <v>0.36524186931318348</v>
      </c>
      <c r="F93" s="23">
        <f t="shared" si="26"/>
        <v>8.2642040205953062</v>
      </c>
      <c r="H93" s="22">
        <f t="shared" si="25"/>
        <v>3.9100000000000003E-2</v>
      </c>
      <c r="I93" s="22"/>
      <c r="J93" s="41"/>
      <c r="K93" s="41">
        <f t="shared" si="22"/>
        <v>3.7658835706512551E-2</v>
      </c>
      <c r="L93" s="41">
        <f t="shared" si="22"/>
        <v>1.1469873330402197E-2</v>
      </c>
      <c r="M93" s="41">
        <f t="shared" si="22"/>
        <v>1.6288396853753313E-3</v>
      </c>
      <c r="N93" s="41">
        <f t="shared" si="22"/>
        <v>3.6855203654763809E-2</v>
      </c>
      <c r="O93" s="67"/>
      <c r="P93" s="41">
        <f t="shared" si="24"/>
        <v>1.7437111418232642E-4</v>
      </c>
      <c r="R93" s="27">
        <f t="shared" si="23"/>
        <v>2.7960799501932154</v>
      </c>
      <c r="S93" s="27">
        <f t="shared" si="23"/>
        <v>1.2613618242456377</v>
      </c>
      <c r="T93" s="27">
        <f t="shared" si="23"/>
        <v>0.573503198516367</v>
      </c>
      <c r="U93" s="27">
        <f t="shared" si="23"/>
        <v>0.26276747565114023</v>
      </c>
      <c r="V93" s="27">
        <f t="shared" si="23"/>
        <v>0.12130604443523174</v>
      </c>
      <c r="W93" s="27">
        <f t="shared" si="23"/>
        <v>5.6416437658101996E-2</v>
      </c>
      <c r="X93" s="27">
        <f t="shared" si="23"/>
        <v>2.6428977678308044E-2</v>
      </c>
      <c r="Y93" s="27">
        <f t="shared" si="23"/>
        <v>1.2469452078211117E-2</v>
      </c>
    </row>
    <row r="94" spans="1:25" x14ac:dyDescent="0.25">
      <c r="A94" s="21">
        <v>82</v>
      </c>
      <c r="C94" s="25">
        <f t="shared" si="19"/>
        <v>8.4444059615573863</v>
      </c>
      <c r="D94" s="23">
        <f>($B$4/CommAndSportFishingValues!$I$18)*FishHarvestTimeTrends!AC103*((1+'OriginalBCACalculations$2012'!D$10)^MIN('OriginalBCACalculations$2012'!$A94,20))</f>
        <v>2.5719418602518211</v>
      </c>
      <c r="E94" s="23">
        <f>($B$5/CommAndSportFishingValues!$I$19)*FishHarvestTimeTrends!AD103*((1+'OriginalBCACalculations$2012'!E$10)^MIN('OriginalBCACalculations$2012'!$A94,20))</f>
        <v>0.36524206192333658</v>
      </c>
      <c r="F94" s="23">
        <f t="shared" si="26"/>
        <v>8.2683361226056036</v>
      </c>
      <c r="H94" s="22">
        <f t="shared" si="25"/>
        <v>3.9100000000000003E-2</v>
      </c>
      <c r="I94" s="22"/>
      <c r="J94" s="41"/>
      <c r="K94" s="41">
        <f t="shared" si="22"/>
        <v>3.5195173557488364E-2</v>
      </c>
      <c r="L94" s="41">
        <f t="shared" si="22"/>
        <v>1.0719515447672521E-2</v>
      </c>
      <c r="M94" s="41">
        <f t="shared" si="22"/>
        <v>1.522280882563818E-3</v>
      </c>
      <c r="N94" s="41">
        <f t="shared" si="22"/>
        <v>3.4461337622982424E-2</v>
      </c>
      <c r="O94" s="67"/>
      <c r="P94" s="41">
        <f t="shared" si="24"/>
        <v>1.6296365811432374E-4</v>
      </c>
      <c r="R94" s="27">
        <f t="shared" ref="R94:Y109" si="27">(SUM($D94:$H94)-SUM($B94:$C94))/((1+R$10)^($A94-1))</f>
        <v>2.8002140832233753</v>
      </c>
      <c r="S94" s="27">
        <f t="shared" si="27"/>
        <v>1.2507196097203086</v>
      </c>
      <c r="T94" s="27">
        <f t="shared" si="27"/>
        <v>0.56308936217489014</v>
      </c>
      <c r="U94" s="27">
        <f t="shared" si="27"/>
        <v>0.25549125191298738</v>
      </c>
      <c r="V94" s="27">
        <f t="shared" si="27"/>
        <v>0.11681288558736823</v>
      </c>
      <c r="W94" s="27">
        <f t="shared" si="27"/>
        <v>5.3809382819480167E-2</v>
      </c>
      <c r="X94" s="27">
        <f t="shared" si="27"/>
        <v>2.496986239572432E-2</v>
      </c>
      <c r="Y94" s="27">
        <f t="shared" si="27"/>
        <v>1.1670924053844721E-2</v>
      </c>
    </row>
    <row r="95" spans="1:25" x14ac:dyDescent="0.25">
      <c r="A95" s="21">
        <v>83</v>
      </c>
      <c r="C95" s="25">
        <f t="shared" si="19"/>
        <v>8.4444059615573863</v>
      </c>
      <c r="D95" s="23">
        <f>($B$4/CommAndSportFishingValues!$I$18)*FishHarvestTimeTrends!AC104*((1+'OriginalBCACalculations$2012'!D$10)^MIN('OriginalBCACalculations$2012'!$A95,20))</f>
        <v>2.5719436986615305</v>
      </c>
      <c r="E95" s="23">
        <f>($B$5/CommAndSportFishingValues!$I$19)*FishHarvestTimeTrends!AD104*((1+'OriginalBCACalculations$2012'!E$10)^MIN('OriginalBCACalculations$2012'!$A95,20))</f>
        <v>0.36524225453348969</v>
      </c>
      <c r="F95" s="23">
        <f t="shared" si="26"/>
        <v>8.2724702906669059</v>
      </c>
      <c r="H95" s="22">
        <f t="shared" si="25"/>
        <v>3.9100000000000003E-2</v>
      </c>
      <c r="I95" s="22"/>
      <c r="J95" s="41"/>
      <c r="K95" s="41">
        <f t="shared" si="22"/>
        <v>3.2892685567746133E-2</v>
      </c>
      <c r="L95" s="41">
        <f t="shared" si="22"/>
        <v>1.0018245897123763E-2</v>
      </c>
      <c r="M95" s="41">
        <f t="shared" si="22"/>
        <v>1.422693163866922E-3</v>
      </c>
      <c r="N95" s="41">
        <f t="shared" si="22"/>
        <v>3.2222961020368139E-2</v>
      </c>
      <c r="O95" s="67"/>
      <c r="P95" s="41">
        <f t="shared" si="24"/>
        <v>1.5230248421899413E-4</v>
      </c>
      <c r="R95" s="27">
        <f t="shared" si="27"/>
        <v>2.8043502823045383</v>
      </c>
      <c r="S95" s="27">
        <f t="shared" si="27"/>
        <v>1.2401653949828995</v>
      </c>
      <c r="T95" s="27">
        <f t="shared" si="27"/>
        <v>0.5528638255359174</v>
      </c>
      <c r="U95" s="27">
        <f t="shared" si="27"/>
        <v>0.24841615369128911</v>
      </c>
      <c r="V95" s="27">
        <f t="shared" si="27"/>
        <v>0.11248599040377651</v>
      </c>
      <c r="W95" s="27">
        <f t="shared" si="27"/>
        <v>5.1322728298836814E-2</v>
      </c>
      <c r="X95" s="27">
        <f t="shared" si="27"/>
        <v>2.3591269249963798E-2</v>
      </c>
      <c r="Y95" s="27">
        <f t="shared" si="27"/>
        <v>1.092351699783168E-2</v>
      </c>
    </row>
    <row r="96" spans="1:25" x14ac:dyDescent="0.25">
      <c r="A96" s="21">
        <v>84</v>
      </c>
      <c r="C96" s="25">
        <f t="shared" si="19"/>
        <v>8.4444059615573863</v>
      </c>
      <c r="D96" s="23">
        <f>($B$4/CommAndSportFishingValues!$I$18)*FishHarvestTimeTrends!AC105*((1+'OriginalBCACalculations$2012'!D$10)^MIN('OriginalBCACalculations$2012'!$A96,20))</f>
        <v>2.5719455370712399</v>
      </c>
      <c r="E96" s="23">
        <f>($B$5/CommAndSportFishingValues!$I$19)*FishHarvestTimeTrends!AD105*((1+'OriginalBCACalculations$2012'!E$10)^MIN('OriginalBCACalculations$2012'!$A96,20))</f>
        <v>0.36524244714364273</v>
      </c>
      <c r="F96" s="23">
        <f t="shared" si="26"/>
        <v>8.2766065258122392</v>
      </c>
      <c r="H96" s="22">
        <f t="shared" si="25"/>
        <v>3.9100000000000003E-2</v>
      </c>
      <c r="I96" s="22"/>
      <c r="J96" s="41"/>
      <c r="K96" s="41">
        <f t="shared" si="22"/>
        <v>3.0740827633407602E-2</v>
      </c>
      <c r="L96" s="41">
        <f t="shared" si="22"/>
        <v>9.3628533253317606E-3</v>
      </c>
      <c r="M96" s="41">
        <f t="shared" si="22"/>
        <v>1.3296204804885974E-3</v>
      </c>
      <c r="N96" s="41">
        <f t="shared" si="22"/>
        <v>3.0129974299886283E-2</v>
      </c>
      <c r="O96" s="67"/>
      <c r="P96" s="41">
        <f t="shared" si="24"/>
        <v>1.4233877029812538E-4</v>
      </c>
      <c r="R96" s="27">
        <f t="shared" si="27"/>
        <v>2.8084885484697342</v>
      </c>
      <c r="S96" s="27">
        <f t="shared" si="27"/>
        <v>1.229698472121534</v>
      </c>
      <c r="T96" s="27">
        <f t="shared" si="27"/>
        <v>0.54282320029230191</v>
      </c>
      <c r="U96" s="27">
        <f t="shared" si="27"/>
        <v>0.24153663237968506</v>
      </c>
      <c r="V96" s="27">
        <f t="shared" si="27"/>
        <v>0.10831921290896873</v>
      </c>
      <c r="W96" s="27">
        <f t="shared" si="27"/>
        <v>4.8950917305678111E-2</v>
      </c>
      <c r="X96" s="27">
        <f t="shared" si="27"/>
        <v>2.2288756538490689E-2</v>
      </c>
      <c r="Y96" s="27">
        <f t="shared" si="27"/>
        <v>1.0223959242597161E-2</v>
      </c>
    </row>
    <row r="97" spans="1:25" x14ac:dyDescent="0.25">
      <c r="A97" s="21">
        <v>85</v>
      </c>
      <c r="C97" s="25">
        <f t="shared" si="19"/>
        <v>8.4444059615573863</v>
      </c>
      <c r="D97" s="23">
        <f>($B$4/CommAndSportFishingValues!$I$18)*FishHarvestTimeTrends!AC106*((1+'OriginalBCACalculations$2012'!D$10)^MIN('OriginalBCACalculations$2012'!$A97,20))</f>
        <v>2.5719473754809492</v>
      </c>
      <c r="E97" s="23">
        <f>($B$5/CommAndSportFishingValues!$I$19)*FishHarvestTimeTrends!AD106*((1+'OriginalBCACalculations$2012'!E$10)^MIN('OriginalBCACalculations$2012'!$A97,20))</f>
        <v>0.36524263975379578</v>
      </c>
      <c r="F97" s="23">
        <f t="shared" si="26"/>
        <v>8.2807448290751449</v>
      </c>
      <c r="H97" s="22">
        <f t="shared" si="25"/>
        <v>3.9100000000000003E-2</v>
      </c>
      <c r="I97" s="22"/>
      <c r="J97" s="41"/>
      <c r="K97" s="41">
        <f t="shared" si="22"/>
        <v>2.872974545178281E-2</v>
      </c>
      <c r="L97" s="41">
        <f t="shared" si="22"/>
        <v>8.7503364652687637E-3</v>
      </c>
      <c r="M97" s="41">
        <f t="shared" si="22"/>
        <v>1.2426366183759948E-3</v>
      </c>
      <c r="N97" s="41">
        <f t="shared" si="22"/>
        <v>2.8172933913117971E-2</v>
      </c>
      <c r="O97" s="67"/>
      <c r="P97" s="41">
        <f t="shared" si="24"/>
        <v>1.3302688812908913E-4</v>
      </c>
      <c r="R97" s="27">
        <f t="shared" si="27"/>
        <v>2.8126288827525041</v>
      </c>
      <c r="S97" s="27">
        <f t="shared" si="27"/>
        <v>1.2193181386966392</v>
      </c>
      <c r="T97" s="27">
        <f t="shared" si="27"/>
        <v>0.53296415876543346</v>
      </c>
      <c r="U97" s="27">
        <f t="shared" si="27"/>
        <v>0.23484729211964914</v>
      </c>
      <c r="V97" s="27">
        <f t="shared" si="27"/>
        <v>0.10430663406218187</v>
      </c>
      <c r="W97" s="27">
        <f t="shared" si="27"/>
        <v>4.6688649335091474E-2</v>
      </c>
      <c r="X97" s="27">
        <f t="shared" si="27"/>
        <v>2.105812745588647E-2</v>
      </c>
      <c r="Y97" s="27">
        <f t="shared" si="27"/>
        <v>9.5691884331090115E-3</v>
      </c>
    </row>
    <row r="98" spans="1:25" x14ac:dyDescent="0.25">
      <c r="A98" s="21">
        <v>86</v>
      </c>
      <c r="C98" s="25">
        <f t="shared" ref="C98:C112" si="28">C97</f>
        <v>8.4444059615573863</v>
      </c>
      <c r="D98" s="23">
        <f>($B$4/CommAndSportFishingValues!$I$18)*FishHarvestTimeTrends!AC107*((1+'OriginalBCACalculations$2012'!D$10)^MIN('OriginalBCACalculations$2012'!$A98,20))</f>
        <v>2.571949213890659</v>
      </c>
      <c r="E98" s="23">
        <f>($B$5/CommAndSportFishingValues!$I$19)*FishHarvestTimeTrends!AD107*((1+'OriginalBCACalculations$2012'!E$10)^MIN('OriginalBCACalculations$2012'!$A98,20))</f>
        <v>0.36524283236394894</v>
      </c>
      <c r="F98" s="23">
        <f t="shared" si="26"/>
        <v>8.2848852014896828</v>
      </c>
      <c r="H98" s="22">
        <f t="shared" si="25"/>
        <v>3.9100000000000003E-2</v>
      </c>
      <c r="I98" s="22"/>
      <c r="J98" s="41"/>
      <c r="K98" s="41">
        <f t="shared" si="22"/>
        <v>2.6850229394189538E-2</v>
      </c>
      <c r="L98" s="41">
        <f t="shared" si="22"/>
        <v>8.1778903924739198E-3</v>
      </c>
      <c r="M98" s="41">
        <f t="shared" si="22"/>
        <v>1.1613432464285367E-3</v>
      </c>
      <c r="N98" s="41">
        <f t="shared" si="22"/>
        <v>2.6343009701004231E-2</v>
      </c>
      <c r="O98" s="67"/>
      <c r="P98" s="41">
        <f t="shared" si="24"/>
        <v>1.2432419451316741E-4</v>
      </c>
      <c r="R98" s="27">
        <f t="shared" si="27"/>
        <v>2.8167712861869045</v>
      </c>
      <c r="S98" s="27">
        <f t="shared" si="27"/>
        <v>1.2090236977012219</v>
      </c>
      <c r="T98" s="27">
        <f t="shared" si="27"/>
        <v>0.52328343282749823</v>
      </c>
      <c r="U98" s="27">
        <f t="shared" si="27"/>
        <v>0.2283428856053423</v>
      </c>
      <c r="V98" s="27">
        <f t="shared" si="27"/>
        <v>0.10044255338799986</v>
      </c>
      <c r="W98" s="27">
        <f t="shared" si="27"/>
        <v>4.4530868356065394E-2</v>
      </c>
      <c r="X98" s="27">
        <f t="shared" si="27"/>
        <v>1.9895416597732009E-2</v>
      </c>
      <c r="Y98" s="27">
        <f t="shared" si="27"/>
        <v>8.9563381402303181E-3</v>
      </c>
    </row>
    <row r="99" spans="1:25" x14ac:dyDescent="0.25">
      <c r="A99" s="21">
        <v>87</v>
      </c>
      <c r="C99" s="25">
        <f t="shared" si="28"/>
        <v>8.4444059615573863</v>
      </c>
      <c r="D99" s="23">
        <f>($B$4/CommAndSportFishingValues!$I$18)*FishHarvestTimeTrends!AC108*((1+'OriginalBCACalculations$2012'!D$10)^MIN('OriginalBCACalculations$2012'!$A99,20))</f>
        <v>2.5719510523003684</v>
      </c>
      <c r="E99" s="23">
        <f>($B$5/CommAndSportFishingValues!$I$19)*FishHarvestTimeTrends!AD108*((1+'OriginalBCACalculations$2012'!E$10)^MIN('OriginalBCACalculations$2012'!$A99,20))</f>
        <v>0.36524302497410199</v>
      </c>
      <c r="F99" s="23">
        <f t="shared" si="26"/>
        <v>8.289027644090428</v>
      </c>
      <c r="H99" s="22">
        <f t="shared" si="25"/>
        <v>3.9100000000000003E-2</v>
      </c>
      <c r="I99" s="22"/>
      <c r="J99" s="41"/>
      <c r="K99" s="41">
        <f t="shared" si="22"/>
        <v>2.5093672331018259E-2</v>
      </c>
      <c r="L99" s="41">
        <f t="shared" si="22"/>
        <v>7.6428936803436334E-3</v>
      </c>
      <c r="M99" s="41">
        <f t="shared" si="22"/>
        <v>1.0853680923932861E-3</v>
      </c>
      <c r="N99" s="41">
        <f t="shared" si="22"/>
        <v>2.4631945052200687E-2</v>
      </c>
      <c r="O99" s="67"/>
      <c r="P99" s="41">
        <f t="shared" si="24"/>
        <v>1.1619083599361441E-4</v>
      </c>
      <c r="R99" s="27">
        <f t="shared" si="27"/>
        <v>2.8209157598075105</v>
      </c>
      <c r="S99" s="27">
        <f t="shared" si="27"/>
        <v>1.1988144575213988</v>
      </c>
      <c r="T99" s="27">
        <f t="shared" si="27"/>
        <v>0.51377781284274637</v>
      </c>
      <c r="U99" s="27">
        <f t="shared" si="27"/>
        <v>0.22201831000338421</v>
      </c>
      <c r="V99" s="27">
        <f t="shared" si="27"/>
        <v>9.6721480915244254E-2</v>
      </c>
      <c r="W99" s="27">
        <f t="shared" si="27"/>
        <v>4.2472751543771517E-2</v>
      </c>
      <c r="X99" s="27">
        <f t="shared" si="27"/>
        <v>1.8796877207877469E-2</v>
      </c>
      <c r="Y99" s="27">
        <f t="shared" si="27"/>
        <v>8.3827253299129569E-3</v>
      </c>
    </row>
    <row r="100" spans="1:25" x14ac:dyDescent="0.25">
      <c r="A100" s="21">
        <v>88</v>
      </c>
      <c r="C100" s="25">
        <f t="shared" si="28"/>
        <v>8.4444059615573863</v>
      </c>
      <c r="D100" s="23">
        <f>($B$4/CommAndSportFishingValues!$I$18)*FishHarvestTimeTrends!AC109*((1+'OriginalBCACalculations$2012'!D$10)^MIN('OriginalBCACalculations$2012'!$A100,20))</f>
        <v>2.5719528907100777</v>
      </c>
      <c r="E100" s="23">
        <f>($B$5/CommAndSportFishingValues!$I$19)*FishHarvestTimeTrends!AD109*((1+'OriginalBCACalculations$2012'!E$10)^MIN('OriginalBCACalculations$2012'!$A100,20))</f>
        <v>0.36524321758425521</v>
      </c>
      <c r="F100" s="23">
        <f t="shared" si="26"/>
        <v>8.2931721579124726</v>
      </c>
      <c r="H100" s="22">
        <f t="shared" si="25"/>
        <v>3.9100000000000003E-2</v>
      </c>
      <c r="I100" s="22"/>
      <c r="J100" s="41"/>
      <c r="K100" s="41">
        <f t="shared" si="22"/>
        <v>2.3452030215904914E-2</v>
      </c>
      <c r="L100" s="41">
        <f t="shared" si="22"/>
        <v>7.1428963957214202E-3</v>
      </c>
      <c r="M100" s="41">
        <f t="shared" si="22"/>
        <v>1.0143632380933674E-3</v>
      </c>
      <c r="N100" s="41">
        <f t="shared" si="22"/>
        <v>2.3032019649277369E-2</v>
      </c>
      <c r="O100" s="67"/>
      <c r="P100" s="41">
        <f t="shared" si="24"/>
        <v>1.0858956634917234E-4</v>
      </c>
      <c r="R100" s="27">
        <f t="shared" si="27"/>
        <v>2.8250623046494194</v>
      </c>
      <c r="S100" s="27">
        <f t="shared" si="27"/>
        <v>1.1886897318971894</v>
      </c>
      <c r="T100" s="27">
        <f t="shared" si="27"/>
        <v>0.50444414662743708</v>
      </c>
      <c r="U100" s="27">
        <f t="shared" si="27"/>
        <v>0.2158686029844053</v>
      </c>
      <c r="V100" s="27">
        <f t="shared" si="27"/>
        <v>9.3138129412794368E-2</v>
      </c>
      <c r="W100" s="27">
        <f t="shared" si="27"/>
        <v>4.050969853077812E-2</v>
      </c>
      <c r="X100" s="27">
        <f t="shared" si="27"/>
        <v>1.7758969128174436E-2</v>
      </c>
      <c r="Y100" s="27">
        <f t="shared" si="27"/>
        <v>7.8458386335364151E-3</v>
      </c>
    </row>
    <row r="101" spans="1:25" x14ac:dyDescent="0.25">
      <c r="A101" s="21">
        <v>89</v>
      </c>
      <c r="C101" s="25">
        <f t="shared" si="28"/>
        <v>8.4444059615573863</v>
      </c>
      <c r="D101" s="23">
        <f>($B$4/CommAndSportFishingValues!$I$18)*FishHarvestTimeTrends!AC110*((1+'OriginalBCACalculations$2012'!D$10)^MIN('OriginalBCACalculations$2012'!$A101,20))</f>
        <v>2.5719547291197866</v>
      </c>
      <c r="E101" s="23">
        <f>($B$5/CommAndSportFishingValues!$I$19)*FishHarvestTimeTrends!AD110*((1+'OriginalBCACalculations$2012'!E$10)^MIN('OriginalBCACalculations$2012'!$A101,20))</f>
        <v>0.3652434101944082</v>
      </c>
      <c r="F101" s="23">
        <f t="shared" si="26"/>
        <v>8.2973187439914291</v>
      </c>
      <c r="H101" s="22">
        <f t="shared" si="25"/>
        <v>3.9100000000000003E-2</v>
      </c>
      <c r="I101" s="22"/>
      <c r="J101" s="41"/>
      <c r="K101" s="41">
        <f t="shared" si="22"/>
        <v>2.1917785248509264E-2</v>
      </c>
      <c r="L101" s="41">
        <f t="shared" si="22"/>
        <v>6.6756088798150103E-3</v>
      </c>
      <c r="M101" s="41">
        <f t="shared" si="22"/>
        <v>9.48003526182653E-4</v>
      </c>
      <c r="N101" s="41">
        <f t="shared" si="22"/>
        <v>2.1536014634674774E-2</v>
      </c>
      <c r="O101" s="67"/>
      <c r="P101" s="41">
        <f t="shared" si="24"/>
        <v>1.0148557602726386E-4</v>
      </c>
      <c r="R101" s="27">
        <f t="shared" si="27"/>
        <v>2.8292109217482366</v>
      </c>
      <c r="S101" s="27">
        <f t="shared" si="27"/>
        <v>1.1786488398835453</v>
      </c>
      <c r="T101" s="27">
        <f t="shared" si="27"/>
        <v>0.49527933842813027</v>
      </c>
      <c r="U101" s="27">
        <f t="shared" si="27"/>
        <v>0.20988893886332438</v>
      </c>
      <c r="V101" s="27">
        <f t="shared" si="27"/>
        <v>8.9687406911414483E-2</v>
      </c>
      <c r="W101" s="27">
        <f t="shared" si="27"/>
        <v>3.8637321153314648E-2</v>
      </c>
      <c r="X101" s="27">
        <f t="shared" si="27"/>
        <v>1.6778347411996776E-2</v>
      </c>
      <c r="Y101" s="27">
        <f t="shared" si="27"/>
        <v>7.3433273681904323E-3</v>
      </c>
    </row>
    <row r="102" spans="1:25" x14ac:dyDescent="0.25">
      <c r="A102" s="21">
        <v>90</v>
      </c>
      <c r="C102" s="25">
        <f t="shared" si="28"/>
        <v>8.4444059615573863</v>
      </c>
      <c r="D102" s="23">
        <f>($B$4/CommAndSportFishingValues!$I$18)*FishHarvestTimeTrends!AC111*((1+'OriginalBCACalculations$2012'!D$10)^MIN('OriginalBCACalculations$2012'!$A102,20))</f>
        <v>2.5719565675294964</v>
      </c>
      <c r="E102" s="23">
        <f>($B$5/CommAndSportFishingValues!$I$19)*FishHarvestTimeTrends!AD111*((1+'OriginalBCACalculations$2012'!E$10)^MIN('OriginalBCACalculations$2012'!$A102,20))</f>
        <v>0.36524360280456131</v>
      </c>
      <c r="F102" s="23">
        <f t="shared" si="26"/>
        <v>8.301467403363425</v>
      </c>
      <c r="H102" s="22">
        <f t="shared" si="25"/>
        <v>3.9100000000000003E-2</v>
      </c>
      <c r="I102" s="22"/>
      <c r="J102" s="41"/>
      <c r="K102" s="41">
        <f t="shared" si="22"/>
        <v>2.0483911447204919E-2</v>
      </c>
      <c r="L102" s="41">
        <f t="shared" si="22"/>
        <v>6.2388912630646377E-3</v>
      </c>
      <c r="M102" s="41">
        <f t="shared" si="22"/>
        <v>8.8598507113067529E-4</v>
      </c>
      <c r="N102" s="41">
        <f t="shared" si="22"/>
        <v>2.0137180039244962E-2</v>
      </c>
      <c r="O102" s="67"/>
      <c r="P102" s="41">
        <f t="shared" si="24"/>
        <v>9.4846332735760609E-5</v>
      </c>
      <c r="R102" s="27">
        <f t="shared" si="27"/>
        <v>2.8333616121400969</v>
      </c>
      <c r="S102" s="27">
        <f t="shared" si="27"/>
        <v>1.1686911058116598</v>
      </c>
      <c r="T102" s="27">
        <f t="shared" si="27"/>
        <v>0.48628034791801628</v>
      </c>
      <c r="U102" s="27">
        <f t="shared" si="27"/>
        <v>0.20407462484538452</v>
      </c>
      <c r="V102" s="27">
        <f t="shared" si="27"/>
        <v>8.6364409501068357E-2</v>
      </c>
      <c r="W102" s="27">
        <f t="shared" si="27"/>
        <v>3.6851433669805866E-2</v>
      </c>
      <c r="X102" s="27">
        <f t="shared" si="27"/>
        <v>1.5851851565004713E-2</v>
      </c>
      <c r="Y102" s="27">
        <f t="shared" si="27"/>
        <v>6.8729912589711173E-3</v>
      </c>
    </row>
    <row r="103" spans="1:25" x14ac:dyDescent="0.25">
      <c r="A103" s="21">
        <v>91</v>
      </c>
      <c r="C103" s="25">
        <f t="shared" si="28"/>
        <v>8.4444059615573863</v>
      </c>
      <c r="D103" s="23">
        <f>($B$4/CommAndSportFishingValues!$I$18)*FishHarvestTimeTrends!AC112*((1+'OriginalBCACalculations$2012'!D$10)^MIN('OriginalBCACalculations$2012'!$A103,20))</f>
        <v>2.5719584059392062</v>
      </c>
      <c r="E103" s="23">
        <f>($B$5/CommAndSportFishingValues!$I$19)*FishHarvestTimeTrends!AD112*((1+'OriginalBCACalculations$2012'!E$10)^MIN('OriginalBCACalculations$2012'!$A103,20))</f>
        <v>0.36524379541471436</v>
      </c>
      <c r="F103" s="23">
        <f t="shared" si="26"/>
        <v>8.3056181370651068</v>
      </c>
      <c r="H103" s="22">
        <f t="shared" si="25"/>
        <v>3.9100000000000003E-2</v>
      </c>
      <c r="I103" s="22"/>
      <c r="J103" s="41"/>
      <c r="K103" s="41">
        <f t="shared" si="22"/>
        <v>1.9143842474023291E-2</v>
      </c>
      <c r="L103" s="41">
        <f t="shared" si="22"/>
        <v>5.8307436659475204E-3</v>
      </c>
      <c r="M103" s="41">
        <f t="shared" si="22"/>
        <v>8.2802386761899932E-4</v>
      </c>
      <c r="N103" s="41">
        <f t="shared" si="22"/>
        <v>1.8829204326415501E-2</v>
      </c>
      <c r="O103" s="67"/>
      <c r="P103" s="41">
        <f t="shared" si="24"/>
        <v>8.8641432463327689E-5</v>
      </c>
      <c r="R103" s="27">
        <f t="shared" si="27"/>
        <v>2.8375143768616411</v>
      </c>
      <c r="S103" s="27">
        <f t="shared" si="27"/>
        <v>1.1588158592505038</v>
      </c>
      <c r="T103" s="27">
        <f t="shared" si="27"/>
        <v>0.47744418921095</v>
      </c>
      <c r="U103" s="27">
        <f t="shared" si="27"/>
        <v>0.19842109737505348</v>
      </c>
      <c r="V103" s="27">
        <f t="shared" si="27"/>
        <v>8.316441439358388E-2</v>
      </c>
      <c r="W103" s="27">
        <f t="shared" si="27"/>
        <v>3.5148043429940379E-2</v>
      </c>
      <c r="X103" s="27">
        <f t="shared" si="27"/>
        <v>1.4976495378617194E-2</v>
      </c>
      <c r="Y103" s="27">
        <f t="shared" si="27"/>
        <v>6.4327708184220584E-3</v>
      </c>
    </row>
    <row r="104" spans="1:25" x14ac:dyDescent="0.25">
      <c r="A104" s="21">
        <v>92</v>
      </c>
      <c r="C104" s="25">
        <f t="shared" si="28"/>
        <v>8.4444059615573863</v>
      </c>
      <c r="D104" s="23">
        <f>($B$4/CommAndSportFishingValues!$I$18)*FishHarvestTimeTrends!AC113*((1+'OriginalBCACalculations$2012'!D$10)^MIN('OriginalBCACalculations$2012'!$A104,20))</f>
        <v>2.5719602443489156</v>
      </c>
      <c r="E104" s="23">
        <f>($B$5/CommAndSportFishingValues!$I$19)*FishHarvestTimeTrends!AD113*((1+'OriginalBCACalculations$2012'!E$10)^MIN('OriginalBCACalculations$2012'!$A104,20))</f>
        <v>0.36524398802486752</v>
      </c>
      <c r="F104" s="23">
        <f t="shared" si="26"/>
        <v>8.3097709461336393</v>
      </c>
      <c r="H104" s="22">
        <f t="shared" si="25"/>
        <v>3.9100000000000003E-2</v>
      </c>
      <c r="I104" s="22"/>
      <c r="J104" s="41"/>
      <c r="K104" s="41">
        <f t="shared" si="22"/>
        <v>1.7891441564507744E-2</v>
      </c>
      <c r="L104" s="41">
        <f t="shared" si="22"/>
        <v>5.4492970408446615E-3</v>
      </c>
      <c r="M104" s="41">
        <f t="shared" si="22"/>
        <v>7.7385448997640248E-4</v>
      </c>
      <c r="N104" s="41">
        <f t="shared" si="22"/>
        <v>1.7606185914559539E-2</v>
      </c>
      <c r="O104" s="67"/>
      <c r="P104" s="41">
        <f t="shared" si="24"/>
        <v>8.2842460246100621E-5</v>
      </c>
      <c r="R104" s="27">
        <f t="shared" si="27"/>
        <v>2.8416692169500362</v>
      </c>
      <c r="S104" s="27">
        <f t="shared" si="27"/>
        <v>1.149022434968632</v>
      </c>
      <c r="T104" s="27">
        <f t="shared" si="27"/>
        <v>0.46876792989289873</v>
      </c>
      <c r="U104" s="27">
        <f t="shared" si="27"/>
        <v>0.19292391858498298</v>
      </c>
      <c r="V104" s="27">
        <f t="shared" si="27"/>
        <v>8.0082873240908126E-2</v>
      </c>
      <c r="W104" s="27">
        <f t="shared" si="27"/>
        <v>3.3523341973538998E-2</v>
      </c>
      <c r="X104" s="27">
        <f t="shared" si="27"/>
        <v>1.4149457323558573E-2</v>
      </c>
      <c r="Y104" s="27">
        <f t="shared" si="27"/>
        <v>6.0207383411189572E-3</v>
      </c>
    </row>
    <row r="105" spans="1:25" x14ac:dyDescent="0.25">
      <c r="A105" s="21">
        <v>93</v>
      </c>
      <c r="C105" s="25">
        <f t="shared" si="28"/>
        <v>8.4444059615573863</v>
      </c>
      <c r="D105" s="23">
        <f>($B$4/CommAndSportFishingValues!$I$18)*FishHarvestTimeTrends!AC114*((1+'OriginalBCACalculations$2012'!D$10)^MIN('OriginalBCACalculations$2012'!$A105,20))</f>
        <v>2.5719620827586249</v>
      </c>
      <c r="E105" s="23">
        <f>($B$5/CommAndSportFishingValues!$I$19)*FishHarvestTimeTrends!AD114*((1+'OriginalBCACalculations$2012'!E$10)^MIN('OriginalBCACalculations$2012'!$A105,20))</f>
        <v>0.36524418063502051</v>
      </c>
      <c r="F105" s="23">
        <f t="shared" si="26"/>
        <v>8.3139258316067064</v>
      </c>
      <c r="H105" s="22">
        <f t="shared" si="25"/>
        <v>3.9100000000000003E-2</v>
      </c>
      <c r="I105" s="22"/>
      <c r="J105" s="41"/>
      <c r="K105" s="41">
        <f t="shared" si="22"/>
        <v>1.6720973424773598E-2</v>
      </c>
      <c r="L105" s="41">
        <f t="shared" si="22"/>
        <v>5.0928046130317558E-3</v>
      </c>
      <c r="M105" s="41">
        <f t="shared" si="22"/>
        <v>7.2322887669709309E-4</v>
      </c>
      <c r="N105" s="41">
        <f t="shared" si="22"/>
        <v>1.6462606549081143E-2</v>
      </c>
      <c r="O105" s="67"/>
      <c r="P105" s="41">
        <f t="shared" si="24"/>
        <v>7.7422860043084715E-5</v>
      </c>
      <c r="R105" s="27">
        <f t="shared" si="27"/>
        <v>2.845826133442964</v>
      </c>
      <c r="S105" s="27">
        <f t="shared" si="27"/>
        <v>1.139310172896226</v>
      </c>
      <c r="T105" s="27">
        <f t="shared" si="27"/>
        <v>0.46024869007048419</v>
      </c>
      <c r="U105" s="27">
        <f t="shared" si="27"/>
        <v>0.18757877284228741</v>
      </c>
      <c r="V105" s="27">
        <f t="shared" si="27"/>
        <v>7.7115405699546932E-2</v>
      </c>
      <c r="W105" s="27">
        <f t="shared" si="27"/>
        <v>3.1973696539440918E-2</v>
      </c>
      <c r="X105" s="27">
        <f t="shared" si="27"/>
        <v>1.3368071472640849E-2</v>
      </c>
      <c r="Y105" s="27">
        <f t="shared" si="27"/>
        <v>5.6350894740794756E-3</v>
      </c>
    </row>
    <row r="106" spans="1:25" x14ac:dyDescent="0.25">
      <c r="A106" s="21">
        <v>94</v>
      </c>
      <c r="C106" s="25">
        <f t="shared" si="28"/>
        <v>8.4444059615573863</v>
      </c>
      <c r="D106" s="23">
        <f>($B$4/CommAndSportFishingValues!$I$18)*FishHarvestTimeTrends!AC115*((1+'OriginalBCACalculations$2012'!D$10)^MIN('OriginalBCACalculations$2012'!$A106,20))</f>
        <v>2.5719639211683347</v>
      </c>
      <c r="E106" s="23">
        <f>($B$5/CommAndSportFishingValues!$I$19)*FishHarvestTimeTrends!AD115*((1+'OriginalBCACalculations$2012'!E$10)^MIN('OriginalBCACalculations$2012'!$A106,20))</f>
        <v>0.36524437324517367</v>
      </c>
      <c r="F106" s="23">
        <f t="shared" si="26"/>
        <v>8.3180827945225086</v>
      </c>
      <c r="H106" s="22">
        <f t="shared" si="25"/>
        <v>3.9100000000000003E-2</v>
      </c>
      <c r="I106" s="22"/>
      <c r="J106" s="41"/>
      <c r="K106" s="41">
        <f t="shared" si="22"/>
        <v>1.5627077967078129E-2</v>
      </c>
      <c r="L106" s="41">
        <f t="shared" si="22"/>
        <v>4.7596338815995252E-3</v>
      </c>
      <c r="M106" s="41">
        <f t="shared" si="22"/>
        <v>6.7591519447582934E-4</v>
      </c>
      <c r="N106" s="41">
        <f t="shared" si="22"/>
        <v>1.5393306404070729E-2</v>
      </c>
      <c r="O106" s="67"/>
      <c r="P106" s="41">
        <f t="shared" si="24"/>
        <v>7.2357813124378239E-5</v>
      </c>
      <c r="R106" s="27">
        <f t="shared" si="27"/>
        <v>2.8499851273786305</v>
      </c>
      <c r="S106" s="27">
        <f t="shared" si="27"/>
        <v>1.129678418087398</v>
      </c>
      <c r="T106" s="27">
        <f t="shared" si="27"/>
        <v>0.45188364143633053</v>
      </c>
      <c r="U106" s="27">
        <f t="shared" si="27"/>
        <v>0.18238146338948674</v>
      </c>
      <c r="V106" s="27">
        <f t="shared" si="27"/>
        <v>7.4257793232132177E-2</v>
      </c>
      <c r="W106" s="27">
        <f t="shared" si="27"/>
        <v>3.0495641965535926E-2</v>
      </c>
      <c r="X106" s="27">
        <f t="shared" si="27"/>
        <v>1.2629818923640309E-2</v>
      </c>
      <c r="Y106" s="27">
        <f t="shared" si="27"/>
        <v>5.2741353261923337E-3</v>
      </c>
    </row>
    <row r="107" spans="1:25" x14ac:dyDescent="0.25">
      <c r="A107" s="21">
        <v>95</v>
      </c>
      <c r="C107" s="25">
        <f t="shared" si="28"/>
        <v>8.4444059615573863</v>
      </c>
      <c r="D107" s="23">
        <f>($B$4/CommAndSportFishingValues!$I$18)*FishHarvestTimeTrends!AC116*((1+'OriginalBCACalculations$2012'!D$10)^MIN('OriginalBCACalculations$2012'!$A107,20))</f>
        <v>2.5719657595780441</v>
      </c>
      <c r="E107" s="23">
        <f>($B$5/CommAndSportFishingValues!$I$19)*FishHarvestTimeTrends!AD116*((1+'OriginalBCACalculations$2012'!E$10)^MIN('OriginalBCACalculations$2012'!$A107,20))</f>
        <v>0.36524456585532677</v>
      </c>
      <c r="F107" s="23">
        <f t="shared" si="26"/>
        <v>8.322241835919769</v>
      </c>
      <c r="H107" s="22">
        <f t="shared" si="25"/>
        <v>3.9100000000000003E-2</v>
      </c>
      <c r="I107" s="22"/>
      <c r="J107" s="41"/>
      <c r="K107" s="41">
        <f t="shared" si="22"/>
        <v>1.4604745763624419E-2</v>
      </c>
      <c r="L107" s="41">
        <f t="shared" si="22"/>
        <v>4.4482591436730079E-3</v>
      </c>
      <c r="M107" s="41">
        <f t="shared" si="22"/>
        <v>6.3169677655793661E-4</v>
      </c>
      <c r="N107" s="41">
        <f t="shared" si="22"/>
        <v>1.4393460801189499E-2</v>
      </c>
      <c r="O107" s="67"/>
      <c r="P107" s="41">
        <f t="shared" si="24"/>
        <v>6.7624124415306767E-5</v>
      </c>
      <c r="R107" s="27">
        <f t="shared" si="27"/>
        <v>2.8541461997957533</v>
      </c>
      <c r="S107" s="27">
        <f t="shared" si="27"/>
        <v>1.1201265206827267</v>
      </c>
      <c r="T107" s="27">
        <f t="shared" si="27"/>
        <v>0.44367000635091414</v>
      </c>
      <c r="U107" s="27">
        <f t="shared" si="27"/>
        <v>0.17732790907752249</v>
      </c>
      <c r="V107" s="27">
        <f t="shared" si="27"/>
        <v>7.1505973137389878E-2</v>
      </c>
      <c r="W107" s="27">
        <f t="shared" si="27"/>
        <v>2.9085872961938462E-2</v>
      </c>
      <c r="X107" s="27">
        <f t="shared" si="27"/>
        <v>1.1932319694730796E-2</v>
      </c>
      <c r="Y107" s="27">
        <f t="shared" si="27"/>
        <v>4.93629508221133E-3</v>
      </c>
    </row>
    <row r="108" spans="1:25" x14ac:dyDescent="0.25">
      <c r="A108" s="21">
        <v>96</v>
      </c>
      <c r="C108" s="25">
        <f t="shared" si="28"/>
        <v>8.4444059615573863</v>
      </c>
      <c r="D108" s="23">
        <f>($B$4/CommAndSportFishingValues!$I$18)*FishHarvestTimeTrends!AC117*((1+'OriginalBCACalculations$2012'!D$10)^MIN('OriginalBCACalculations$2012'!$A108,20))</f>
        <v>2.571967597987753</v>
      </c>
      <c r="E108" s="23">
        <f>($B$5/CommAndSportFishingValues!$I$19)*FishHarvestTimeTrends!AD117*((1+'OriginalBCACalculations$2012'!E$10)^MIN('OriginalBCACalculations$2012'!$A108,20))</f>
        <v>0.36524475846547982</v>
      </c>
      <c r="F108" s="23">
        <f t="shared" si="26"/>
        <v>8.3264029568377289</v>
      </c>
      <c r="H108" s="22">
        <f t="shared" si="25"/>
        <v>3.9100000000000003E-2</v>
      </c>
      <c r="I108" s="22"/>
      <c r="J108" s="41"/>
      <c r="K108" s="41">
        <f t="shared" si="22"/>
        <v>1.3649295106191041E-2</v>
      </c>
      <c r="L108" s="41">
        <f t="shared" si="22"/>
        <v>4.1572545076956147E-3</v>
      </c>
      <c r="M108" s="41">
        <f t="shared" si="22"/>
        <v>5.9037113054254044E-4</v>
      </c>
      <c r="N108" s="41">
        <f t="shared" si="22"/>
        <v>1.3458558440738401E-2</v>
      </c>
      <c r="O108" s="67"/>
      <c r="P108" s="41">
        <f t="shared" si="24"/>
        <v>6.3200116275987609E-5</v>
      </c>
      <c r="R108" s="27">
        <f t="shared" si="27"/>
        <v>2.8583093517335758</v>
      </c>
      <c r="S108" s="27">
        <f t="shared" si="27"/>
        <v>1.1106538358720555</v>
      </c>
      <c r="T108" s="27">
        <f t="shared" si="27"/>
        <v>0.43560505694063789</v>
      </c>
      <c r="U108" s="27">
        <f t="shared" si="27"/>
        <v>0.17241414118833395</v>
      </c>
      <c r="V108" s="27">
        <f t="shared" si="27"/>
        <v>6.8856032800105882E-2</v>
      </c>
      <c r="W108" s="27">
        <f t="shared" si="27"/>
        <v>2.7741236740127743E-2</v>
      </c>
      <c r="X108" s="27">
        <f t="shared" si="27"/>
        <v>1.1273325066451668E-2</v>
      </c>
      <c r="Y108" s="27">
        <f t="shared" si="27"/>
        <v>4.6200890890615021E-3</v>
      </c>
    </row>
    <row r="109" spans="1:25" x14ac:dyDescent="0.25">
      <c r="A109" s="21">
        <v>97</v>
      </c>
      <c r="C109" s="25">
        <f t="shared" si="28"/>
        <v>8.4444059615573863</v>
      </c>
      <c r="D109" s="23">
        <f>($B$4/CommAndSportFishingValues!$I$18)*FishHarvestTimeTrends!AC118*((1+'OriginalBCACalculations$2012'!D$10)^MIN('OriginalBCACalculations$2012'!$A109,20))</f>
        <v>2.5719694363974628</v>
      </c>
      <c r="E109" s="23">
        <f>($B$5/CommAndSportFishingValues!$I$19)*FishHarvestTimeTrends!AD118*((1+'OriginalBCACalculations$2012'!E$10)^MIN('OriginalBCACalculations$2012'!$A109,20))</f>
        <v>0.36524495107563293</v>
      </c>
      <c r="F109" s="23">
        <f t="shared" si="26"/>
        <v>8.330566158316147</v>
      </c>
      <c r="H109" s="22">
        <f t="shared" si="25"/>
        <v>3.9100000000000003E-2</v>
      </c>
      <c r="I109" s="22"/>
      <c r="J109" s="41"/>
      <c r="K109" s="41">
        <f t="shared" si="22"/>
        <v>1.2756350566533688E-2</v>
      </c>
      <c r="L109" s="41">
        <f t="shared" si="22"/>
        <v>3.8852873637833974E-3</v>
      </c>
      <c r="M109" s="41">
        <f t="shared" si="22"/>
        <v>5.5174901109537996E-4</v>
      </c>
      <c r="N109" s="41">
        <f t="shared" si="22"/>
        <v>1.2584381046690442E-2</v>
      </c>
      <c r="O109" s="67"/>
      <c r="P109" s="41">
        <f t="shared" si="24"/>
        <v>5.9065529229894979E-5</v>
      </c>
      <c r="R109" s="27">
        <f t="shared" si="27"/>
        <v>2.8624745842318564</v>
      </c>
      <c r="S109" s="27">
        <f t="shared" si="27"/>
        <v>1.1012597238575192</v>
      </c>
      <c r="T109" s="27">
        <f t="shared" si="27"/>
        <v>0.4276861142118345</v>
      </c>
      <c r="U109" s="27">
        <f t="shared" si="27"/>
        <v>0.16763630034454247</v>
      </c>
      <c r="V109" s="27">
        <f t="shared" si="27"/>
        <v>6.6304204152991639E-2</v>
      </c>
      <c r="W109" s="27">
        <f t="shared" si="27"/>
        <v>2.6458725981667666E-2</v>
      </c>
      <c r="X109" s="27">
        <f t="shared" si="27"/>
        <v>1.0650710345620377E-2</v>
      </c>
      <c r="Y109" s="27">
        <f t="shared" si="27"/>
        <v>4.3241323842654264E-3</v>
      </c>
    </row>
    <row r="110" spans="1:25" x14ac:dyDescent="0.25">
      <c r="A110" s="21">
        <v>98</v>
      </c>
      <c r="C110" s="25">
        <f t="shared" si="28"/>
        <v>8.4444059615573863</v>
      </c>
      <c r="D110" s="23">
        <f>($B$4/CommAndSportFishingValues!$I$18)*FishHarvestTimeTrends!AC119*((1+'OriginalBCACalculations$2012'!D$10)^MIN('OriginalBCACalculations$2012'!$A110,20))</f>
        <v>2.5719712748071726</v>
      </c>
      <c r="E110" s="23">
        <f>($B$5/CommAndSportFishingValues!$I$19)*FishHarvestTimeTrends!AD119*((1+'OriginalBCACalculations$2012'!E$10)^MIN('OriginalBCACalculations$2012'!$A110,20))</f>
        <v>0.36524514368578598</v>
      </c>
      <c r="F110" s="23">
        <f t="shared" si="26"/>
        <v>8.334731441395304</v>
      </c>
      <c r="H110" s="22">
        <f t="shared" si="25"/>
        <v>3.9100000000000003E-2</v>
      </c>
      <c r="I110" s="22"/>
      <c r="J110" s="41"/>
      <c r="K110" s="41">
        <f t="shared" si="22"/>
        <v>1.1921822959377278E-2</v>
      </c>
      <c r="L110" s="41">
        <f t="shared" si="22"/>
        <v>3.6311122812480168E-3</v>
      </c>
      <c r="M110" s="41">
        <f t="shared" si="22"/>
        <v>5.1565355332480766E-4</v>
      </c>
      <c r="N110" s="41">
        <f t="shared" si="22"/>
        <v>1.1766984333844658E-2</v>
      </c>
      <c r="O110" s="67"/>
      <c r="P110" s="41">
        <f t="shared" si="24"/>
        <v>5.5201429186817734E-5</v>
      </c>
      <c r="R110" s="27">
        <f t="shared" ref="R110:Y112" si="29">(SUM($D110:$H110)-SUM($B110:$C110))/((1+R$10)^($A110-1))</f>
        <v>2.8666418983308759</v>
      </c>
      <c r="S110" s="27">
        <f t="shared" si="29"/>
        <v>1.0919435498168304</v>
      </c>
      <c r="T110" s="27">
        <f t="shared" si="29"/>
        <v>0.41991054718042958</v>
      </c>
      <c r="U110" s="27">
        <f t="shared" si="29"/>
        <v>0.16299063350386545</v>
      </c>
      <c r="V110" s="27">
        <f t="shared" si="29"/>
        <v>6.3846858342652399E-2</v>
      </c>
      <c r="W110" s="27">
        <f t="shared" si="29"/>
        <v>2.5235472130874067E-2</v>
      </c>
      <c r="X110" s="27">
        <f t="shared" si="29"/>
        <v>1.0062468027953238E-2</v>
      </c>
      <c r="Y110" s="27">
        <f t="shared" si="29"/>
        <v>4.047128638227023E-3</v>
      </c>
    </row>
    <row r="111" spans="1:25" x14ac:dyDescent="0.25">
      <c r="A111" s="21">
        <v>99</v>
      </c>
      <c r="C111" s="25">
        <f t="shared" si="28"/>
        <v>8.4444059615573863</v>
      </c>
      <c r="D111" s="23">
        <f>($B$4/CommAndSportFishingValues!$I$18)*FishHarvestTimeTrends!AC120*((1+'OriginalBCACalculations$2012'!D$10)^MIN('OriginalBCACalculations$2012'!$A111,20))</f>
        <v>2.5719731132168815</v>
      </c>
      <c r="E111" s="23">
        <f>($B$5/CommAndSportFishingValues!$I$19)*FishHarvestTimeTrends!AD120*((1+'OriginalBCACalculations$2012'!E$10)^MIN('OriginalBCACalculations$2012'!$A111,20))</f>
        <v>0.36524533629593914</v>
      </c>
      <c r="F111" s="23">
        <f t="shared" si="26"/>
        <v>8.3388988071160011</v>
      </c>
      <c r="H111" s="22">
        <f t="shared" si="25"/>
        <v>3.9100000000000003E-2</v>
      </c>
      <c r="I111" s="22"/>
      <c r="J111" s="41"/>
      <c r="K111" s="41">
        <f t="shared" si="22"/>
        <v>1.1141890616240446E-2</v>
      </c>
      <c r="L111" s="41">
        <f t="shared" si="22"/>
        <v>3.3935653053431369E-3</v>
      </c>
      <c r="M111" s="41">
        <f t="shared" si="22"/>
        <v>4.8191946285239647E-4</v>
      </c>
      <c r="N111" s="41">
        <f t="shared" si="22"/>
        <v>1.1002680211225776E-2</v>
      </c>
      <c r="O111" s="67"/>
      <c r="P111" s="41">
        <f t="shared" si="24"/>
        <v>5.1590120735343671E-5</v>
      </c>
      <c r="R111" s="27">
        <f t="shared" si="29"/>
        <v>2.8708112950714355</v>
      </c>
      <c r="S111" s="27">
        <f t="shared" si="29"/>
        <v>1.0827046838667949</v>
      </c>
      <c r="T111" s="27">
        <f t="shared" si="29"/>
        <v>0.41227577201698334</v>
      </c>
      <c r="U111" s="27">
        <f t="shared" si="29"/>
        <v>0.15847349103594205</v>
      </c>
      <c r="V111" s="27">
        <f t="shared" si="29"/>
        <v>6.1480500592145451E-2</v>
      </c>
      <c r="W111" s="27">
        <f t="shared" si="29"/>
        <v>2.4068738996516181E-2</v>
      </c>
      <c r="X111" s="27">
        <f t="shared" si="29"/>
        <v>9.5067013374367897E-3</v>
      </c>
      <c r="Y111" s="27">
        <f t="shared" si="29"/>
        <v>3.7878644839162067E-3</v>
      </c>
    </row>
    <row r="112" spans="1:25" x14ac:dyDescent="0.25">
      <c r="A112" s="21">
        <v>100</v>
      </c>
      <c r="C112" s="25">
        <f t="shared" si="28"/>
        <v>8.4444059615573863</v>
      </c>
      <c r="D112" s="23">
        <f>($B$4/CommAndSportFishingValues!$I$18)*FishHarvestTimeTrends!AC121*((1+'OriginalBCACalculations$2012'!D$10)^MIN('OriginalBCACalculations$2012'!$A112,20))</f>
        <v>2.5719749516265913</v>
      </c>
      <c r="E112" s="23">
        <f>($B$5/CommAndSportFishingValues!$I$19)*FishHarvestTimeTrends!AD121*((1+'OriginalBCACalculations$2012'!E$10)^MIN('OriginalBCACalculations$2012'!$A112,20))</f>
        <v>0.36524552890609219</v>
      </c>
      <c r="F112" s="23">
        <f t="shared" si="26"/>
        <v>8.3430682565195582</v>
      </c>
      <c r="H112" s="22">
        <f t="shared" si="25"/>
        <v>3.9100000000000003E-2</v>
      </c>
      <c r="I112" s="22"/>
      <c r="J112" s="41"/>
      <c r="K112" s="41">
        <f t="shared" si="22"/>
        <v>1.0412981884336866E-2</v>
      </c>
      <c r="L112" s="41">
        <f t="shared" si="22"/>
        <v>3.1715586271170385E-3</v>
      </c>
      <c r="M112" s="41">
        <f t="shared" si="22"/>
        <v>4.5039225886917689E-4</v>
      </c>
      <c r="N112" s="41">
        <f t="shared" si="22"/>
        <v>1.0288020141431202E-2</v>
      </c>
      <c r="O112" s="67"/>
      <c r="P112" s="41">
        <f t="shared" si="24"/>
        <v>4.8215066107797823E-5</v>
      </c>
      <c r="R112" s="27">
        <f t="shared" si="29"/>
        <v>2.8749827754948551</v>
      </c>
      <c r="S112" s="27">
        <f t="shared" si="29"/>
        <v>1.0735425010270734</v>
      </c>
      <c r="T112" s="27">
        <f t="shared" si="29"/>
        <v>0.4047792512068446</v>
      </c>
      <c r="U112" s="27">
        <f t="shared" si="29"/>
        <v>0.15408132387931672</v>
      </c>
      <c r="V112" s="27">
        <f t="shared" si="29"/>
        <v>5.9201765252892877E-2</v>
      </c>
      <c r="W112" s="27">
        <f t="shared" si="29"/>
        <v>2.2955916648324675E-2</v>
      </c>
      <c r="X112" s="27">
        <f t="shared" si="29"/>
        <v>8.9816181217007695E-3</v>
      </c>
      <c r="Y112" s="27">
        <f t="shared" si="29"/>
        <v>3.5452042091883504E-3</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12"/>
  <sheetViews>
    <sheetView tabSelected="1" topLeftCell="D1" workbookViewId="0">
      <selection activeCell="M9" sqref="M9"/>
    </sheetView>
  </sheetViews>
  <sheetFormatPr defaultRowHeight="15" x14ac:dyDescent="0.25"/>
  <cols>
    <col min="1" max="1" width="36.42578125" style="21" customWidth="1"/>
    <col min="2" max="2" width="14.28515625" style="21" customWidth="1"/>
    <col min="3" max="3" width="11.85546875" style="21" customWidth="1"/>
    <col min="4" max="4" width="13.140625" style="21" customWidth="1"/>
    <col min="5" max="5" width="13.28515625" style="21" customWidth="1"/>
    <col min="6" max="6" width="14.28515625" style="21" customWidth="1"/>
    <col min="7" max="7" width="13.42578125" style="21" customWidth="1"/>
    <col min="8" max="8" width="11.5703125" style="21" customWidth="1"/>
    <col min="9" max="9" width="5.5703125" style="21" customWidth="1"/>
    <col min="10" max="10" width="17.7109375" style="21" customWidth="1"/>
    <col min="11" max="11" width="13.140625" style="21" customWidth="1"/>
    <col min="12" max="16" width="11.5703125" style="21" customWidth="1"/>
    <col min="17" max="17" width="9.140625" style="21"/>
    <col min="18" max="25" width="12.5703125" style="21" bestFit="1" customWidth="1"/>
    <col min="26" max="16384" width="9.140625" style="21"/>
  </cols>
  <sheetData>
    <row r="1" spans="1:25" x14ac:dyDescent="0.25">
      <c r="B1" s="21" t="s">
        <v>26</v>
      </c>
      <c r="R1" s="28" t="s">
        <v>51</v>
      </c>
    </row>
    <row r="2" spans="1:25" x14ac:dyDescent="0.25">
      <c r="A2" s="29" t="s">
        <v>1</v>
      </c>
      <c r="B2" s="68">
        <v>295.10000000000002</v>
      </c>
      <c r="D2" s="47" t="s">
        <v>108</v>
      </c>
      <c r="E2" s="64">
        <v>29.5</v>
      </c>
      <c r="R2" s="28">
        <v>0</v>
      </c>
      <c r="S2" s="28">
        <v>0.01</v>
      </c>
      <c r="T2" s="28">
        <v>0.02</v>
      </c>
      <c r="U2" s="28">
        <v>0.03</v>
      </c>
      <c r="V2" s="28">
        <v>0.04</v>
      </c>
      <c r="W2" s="28">
        <v>0.05</v>
      </c>
      <c r="X2" s="28">
        <v>0.06</v>
      </c>
      <c r="Y2" s="28">
        <v>7.0000000000000007E-2</v>
      </c>
    </row>
    <row r="3" spans="1:25" x14ac:dyDescent="0.25">
      <c r="A3" s="31" t="s">
        <v>2</v>
      </c>
      <c r="B3" s="69">
        <v>6.02</v>
      </c>
      <c r="J3" s="29"/>
      <c r="K3" s="49"/>
      <c r="L3" s="50" t="s">
        <v>89</v>
      </c>
      <c r="M3" s="51" t="s">
        <v>88</v>
      </c>
      <c r="Q3" s="28" t="s">
        <v>54</v>
      </c>
      <c r="R3" s="42">
        <f>SUM(R13:R42)- ($M$5*$E$2)</f>
        <v>34531.030370545239</v>
      </c>
      <c r="S3" s="42">
        <f t="shared" ref="S3:Y3" si="0">SUM(S13:S42)- ($M$5*$E$2)</f>
        <v>33043.676926315748</v>
      </c>
      <c r="T3" s="42">
        <f t="shared" si="0"/>
        <v>31658.108447567745</v>
      </c>
      <c r="U3" s="42">
        <f t="shared" si="0"/>
        <v>30366.088339064165</v>
      </c>
      <c r="V3" s="42">
        <f t="shared" si="0"/>
        <v>29160.098100705058</v>
      </c>
      <c r="W3" s="42">
        <f t="shared" si="0"/>
        <v>28033.277910220051</v>
      </c>
      <c r="X3" s="42">
        <f t="shared" si="0"/>
        <v>26979.369948961772</v>
      </c>
      <c r="Y3" s="42">
        <f t="shared" si="0"/>
        <v>25992.665176144408</v>
      </c>
    </row>
    <row r="4" spans="1:25" x14ac:dyDescent="0.25">
      <c r="A4" s="31" t="s">
        <v>27</v>
      </c>
      <c r="B4" s="37">
        <f>CommAndSportFishingValues!E18</f>
        <v>2.9399999999999995</v>
      </c>
      <c r="J4" s="31"/>
      <c r="K4" s="52"/>
      <c r="L4" s="53" t="s">
        <v>90</v>
      </c>
      <c r="M4" s="54" t="s">
        <v>122</v>
      </c>
      <c r="Q4" s="28" t="s">
        <v>55</v>
      </c>
      <c r="R4" s="42">
        <f>SUM(R13:R52)- ($M$5*$E$2)</f>
        <v>34492.00371445057</v>
      </c>
      <c r="S4" s="42">
        <f t="shared" ref="S4:Y4" si="1">SUM(S13:S52)- ($M$5*$E$2)</f>
        <v>33015.977201385816</v>
      </c>
      <c r="T4" s="42">
        <f t="shared" si="1"/>
        <v>31638.365784171856</v>
      </c>
      <c r="U4" s="42">
        <f t="shared" si="1"/>
        <v>30351.959293083193</v>
      </c>
      <c r="V4" s="42">
        <f t="shared" si="1"/>
        <v>29149.945944494502</v>
      </c>
      <c r="W4" s="42">
        <f t="shared" si="1"/>
        <v>28025.954648955096</v>
      </c>
      <c r="X4" s="42">
        <f t="shared" si="1"/>
        <v>26974.06703174601</v>
      </c>
      <c r="Y4" s="42">
        <f t="shared" si="1"/>
        <v>25988.810806124544</v>
      </c>
    </row>
    <row r="5" spans="1:25" x14ac:dyDescent="0.25">
      <c r="A5" s="31" t="s">
        <v>45</v>
      </c>
      <c r="B5" s="33">
        <f>CommAndSportFishingValues!E19</f>
        <v>0.52</v>
      </c>
      <c r="J5" s="31"/>
      <c r="K5" s="52"/>
      <c r="L5" s="53" t="s">
        <v>87</v>
      </c>
      <c r="M5" s="57">
        <v>0.3</v>
      </c>
      <c r="Q5" s="28" t="s">
        <v>56</v>
      </c>
      <c r="R5" s="42">
        <f>SUM(R13:R62)- ($M$5*$E$2)</f>
        <v>34453.102222155794</v>
      </c>
      <c r="S5" s="42">
        <f t="shared" ref="S5:Y5" si="2">SUM(S13:S62)- ($M$5*$E$2)</f>
        <v>32990.982755648329</v>
      </c>
      <c r="T5" s="42">
        <f t="shared" si="2"/>
        <v>31622.223576170338</v>
      </c>
      <c r="U5" s="42">
        <f t="shared" si="2"/>
        <v>30341.481329140919</v>
      </c>
      <c r="V5" s="42">
        <f t="shared" si="2"/>
        <v>29143.110938757232</v>
      </c>
      <c r="W5" s="42">
        <f t="shared" si="2"/>
        <v>28021.474386069265</v>
      </c>
      <c r="X5" s="42">
        <f t="shared" si="2"/>
        <v>26971.116322339494</v>
      </c>
      <c r="Y5" s="42">
        <f t="shared" si="2"/>
        <v>25986.858425524602</v>
      </c>
    </row>
    <row r="6" spans="1:25" x14ac:dyDescent="0.25">
      <c r="A6" s="31" t="s">
        <v>46</v>
      </c>
      <c r="B6" s="32">
        <v>5.7</v>
      </c>
      <c r="J6" s="31"/>
      <c r="K6" s="52"/>
      <c r="L6" s="52"/>
      <c r="M6" s="55"/>
      <c r="Q6" s="28" t="s">
        <v>57</v>
      </c>
      <c r="R6" s="42">
        <f>R11</f>
        <v>34258.621802673915</v>
      </c>
      <c r="S6" s="42">
        <f t="shared" ref="S6:Y6" si="3">S11</f>
        <v>32897.355574314752</v>
      </c>
      <c r="T6" s="42">
        <f t="shared" si="3"/>
        <v>31575.905113149551</v>
      </c>
      <c r="U6" s="42">
        <f t="shared" si="3"/>
        <v>30317.967755723093</v>
      </c>
      <c r="V6" s="42">
        <f t="shared" si="3"/>
        <v>29130.883036887364</v>
      </c>
      <c r="W6" s="42">
        <f t="shared" si="3"/>
        <v>28014.972556471355</v>
      </c>
      <c r="X6" s="42">
        <f t="shared" si="3"/>
        <v>26967.588329454727</v>
      </c>
      <c r="Y6" s="42">
        <f t="shared" si="3"/>
        <v>25984.908557189599</v>
      </c>
    </row>
    <row r="7" spans="1:25" x14ac:dyDescent="0.25">
      <c r="A7" s="31" t="s">
        <v>48</v>
      </c>
      <c r="B7" s="34">
        <v>3500</v>
      </c>
      <c r="J7" s="35"/>
      <c r="K7" s="56"/>
      <c r="L7" s="58" t="s">
        <v>86</v>
      </c>
      <c r="M7" s="85">
        <v>0</v>
      </c>
    </row>
    <row r="8" spans="1:25" x14ac:dyDescent="0.25">
      <c r="A8" s="35" t="s">
        <v>50</v>
      </c>
      <c r="B8" s="36">
        <v>2.8000000000000001E-2</v>
      </c>
    </row>
    <row r="9" spans="1:25" x14ac:dyDescent="0.25">
      <c r="B9" s="28" t="s">
        <v>58</v>
      </c>
      <c r="J9" s="28" t="s">
        <v>52</v>
      </c>
      <c r="L9" s="39" t="s">
        <v>53</v>
      </c>
      <c r="M9" s="40">
        <v>7.0000000000000007E-2</v>
      </c>
      <c r="O9" s="39" t="s">
        <v>113</v>
      </c>
      <c r="P9" s="77">
        <f>(L11+M11+N11+O11+P11)/(((J11+E2)*(1+M5))+K11)</f>
        <v>64.783125554867297</v>
      </c>
      <c r="R9" s="28" t="s">
        <v>51</v>
      </c>
    </row>
    <row r="10" spans="1:25" x14ac:dyDescent="0.25">
      <c r="A10" s="21" t="s">
        <v>3</v>
      </c>
      <c r="C10" s="21">
        <v>0</v>
      </c>
      <c r="D10" s="21">
        <v>8.0000000000000004E-4</v>
      </c>
      <c r="E10" s="38">
        <v>5.0000000000000001E-4</v>
      </c>
      <c r="F10" s="21">
        <v>5.0000000000000001E-4</v>
      </c>
      <c r="G10" s="38">
        <v>5.0000000000000001E-4</v>
      </c>
      <c r="J10" s="28"/>
      <c r="K10" s="28"/>
      <c r="L10" s="28"/>
      <c r="M10" s="28"/>
      <c r="N10" s="28"/>
      <c r="O10" s="28"/>
      <c r="R10" s="28">
        <v>0</v>
      </c>
      <c r="S10" s="28">
        <v>0.01</v>
      </c>
      <c r="T10" s="28">
        <v>0.02</v>
      </c>
      <c r="U10" s="28">
        <v>0.03</v>
      </c>
      <c r="V10" s="28">
        <v>0.04</v>
      </c>
      <c r="W10" s="28">
        <v>0.05</v>
      </c>
      <c r="X10" s="28">
        <v>0.06</v>
      </c>
      <c r="Y10" s="28">
        <v>7.0000000000000007E-2</v>
      </c>
    </row>
    <row r="11" spans="1:25" x14ac:dyDescent="0.25">
      <c r="B11" s="22"/>
      <c r="C11" s="22"/>
      <c r="D11" s="22"/>
      <c r="J11" s="84">
        <f>SUM(J13:J112)</f>
        <v>213.47954351985931</v>
      </c>
      <c r="K11" s="84">
        <f t="shared" ref="K11:P11" si="4">SUM(K13:K112)</f>
        <v>91.913951517000712</v>
      </c>
      <c r="L11" s="72">
        <f>SUM(L13:L112)</f>
        <v>7.0226896610726923</v>
      </c>
      <c r="M11" s="72">
        <f>SUM(M13:M112)</f>
        <v>0.63215338171895052</v>
      </c>
      <c r="N11" s="84">
        <f t="shared" si="4"/>
        <v>54.543703732227549</v>
      </c>
      <c r="O11" s="72">
        <f>SUM(O13:O112)</f>
        <v>26355.275028598859</v>
      </c>
      <c r="P11" s="72">
        <f t="shared" si="4"/>
        <v>0.26604364076846893</v>
      </c>
      <c r="R11" s="27">
        <f>SUM(R13:R112) - ($M$5*$E$2)</f>
        <v>34258.621802673915</v>
      </c>
      <c r="S11" s="27">
        <f t="shared" ref="S11:Y11" si="5">SUM(S13:S112) - ($M$5*$E$2)</f>
        <v>32897.355574314752</v>
      </c>
      <c r="T11" s="27">
        <f t="shared" si="5"/>
        <v>31575.905113149551</v>
      </c>
      <c r="U11" s="27">
        <f t="shared" si="5"/>
        <v>30317.967755723093</v>
      </c>
      <c r="V11" s="27">
        <f t="shared" si="5"/>
        <v>29130.883036887364</v>
      </c>
      <c r="W11" s="27">
        <f t="shared" si="5"/>
        <v>28014.972556471355</v>
      </c>
      <c r="X11" s="27">
        <f t="shared" si="5"/>
        <v>26967.588329454727</v>
      </c>
      <c r="Y11" s="27">
        <f t="shared" si="5"/>
        <v>25984.908557189599</v>
      </c>
    </row>
    <row r="12" spans="1:25" ht="60" x14ac:dyDescent="0.25">
      <c r="A12" s="21" t="s">
        <v>0</v>
      </c>
      <c r="B12" s="24" t="s">
        <v>4</v>
      </c>
      <c r="C12" s="24" t="s">
        <v>5</v>
      </c>
      <c r="D12" s="24" t="s">
        <v>6</v>
      </c>
      <c r="E12" s="24" t="s">
        <v>44</v>
      </c>
      <c r="F12" s="24" t="s">
        <v>7</v>
      </c>
      <c r="G12" s="26" t="s">
        <v>47</v>
      </c>
      <c r="H12" s="26" t="s">
        <v>49</v>
      </c>
      <c r="I12" s="26"/>
      <c r="J12" s="24" t="s">
        <v>4</v>
      </c>
      <c r="K12" s="24" t="s">
        <v>5</v>
      </c>
      <c r="L12" s="24" t="s">
        <v>6</v>
      </c>
      <c r="M12" s="24" t="s">
        <v>44</v>
      </c>
      <c r="N12" s="24" t="s">
        <v>7</v>
      </c>
      <c r="O12" s="26" t="s">
        <v>47</v>
      </c>
      <c r="P12" s="26" t="s">
        <v>49</v>
      </c>
      <c r="R12" s="27"/>
      <c r="S12" s="27"/>
      <c r="T12" s="27"/>
      <c r="U12" s="27"/>
      <c r="V12" s="27"/>
      <c r="W12" s="27"/>
      <c r="X12" s="27"/>
      <c r="Y12" s="27"/>
    </row>
    <row r="13" spans="1:25" x14ac:dyDescent="0.25">
      <c r="A13" s="21">
        <v>1</v>
      </c>
      <c r="B13" s="22">
        <f>B$2*'Cost Distribution By Year'!C20</f>
        <v>7.3595498783454989</v>
      </c>
      <c r="C13" s="25">
        <f>B3</f>
        <v>6.02</v>
      </c>
      <c r="D13" s="23">
        <f>FishHarvestTimeTrends!AC22*((1+D$10)^MIN($A13,20))</f>
        <v>-0.45009477652942353</v>
      </c>
      <c r="E13" s="23">
        <f>FishHarvestTimeTrends!AD22*((1+E$10)^MIN($A13,20))</f>
        <v>-9.968905080817865E-2</v>
      </c>
      <c r="G13" s="27">
        <f>B7</f>
        <v>3500</v>
      </c>
      <c r="J13" s="41">
        <f>B13/((1+$M$9)^($A13-1))</f>
        <v>7.3595498783454989</v>
      </c>
      <c r="K13" s="41">
        <f t="shared" ref="K13:N76" si="6">C13/((1+$M$9)^($A13-1))</f>
        <v>6.02</v>
      </c>
      <c r="L13" s="41">
        <f>D13/((1+$M$9)^(($A13)-1))</f>
        <v>-0.45009477652942353</v>
      </c>
      <c r="M13" s="41">
        <f>E13/((1+$M$9)^(($A13)-1))</f>
        <v>-9.968905080817865E-2</v>
      </c>
      <c r="N13" s="41"/>
      <c r="O13" s="41">
        <f>G13/((1+$M$9)^($A13-1))</f>
        <v>3500</v>
      </c>
      <c r="P13" s="41"/>
      <c r="R13" s="65">
        <f>(($D13/((1+R$10)^$M$7))+$G13+$H13+IF($M$3="Yes",$E13/((1+R$10)^$M$7),0)+IF($M$4="Yes",$F13)-($B13*(1+$M$5))-$C13)/((1+R$10)^($A13-1))</f>
        <v>3483.862801330813</v>
      </c>
      <c r="S13" s="65">
        <f t="shared" ref="S13:Y28" si="7">(($D13/((1+S$10)^$M$7))+$G13+$H13+IF($M$3="Yes",$E13/((1+S$10)^$M$7),0)+IF($M$4="Yes",$F13)-($B13*(1+$M$5))-$C13)/((1+S$10)^($A13-1))</f>
        <v>3483.862801330813</v>
      </c>
      <c r="T13" s="65">
        <f t="shared" si="7"/>
        <v>3483.862801330813</v>
      </c>
      <c r="U13" s="65">
        <f t="shared" si="7"/>
        <v>3483.862801330813</v>
      </c>
      <c r="V13" s="65">
        <f t="shared" si="7"/>
        <v>3483.862801330813</v>
      </c>
      <c r="W13" s="65">
        <f t="shared" si="7"/>
        <v>3483.862801330813</v>
      </c>
      <c r="X13" s="65">
        <f t="shared" si="7"/>
        <v>3483.862801330813</v>
      </c>
      <c r="Y13" s="65">
        <f t="shared" si="7"/>
        <v>3483.862801330813</v>
      </c>
    </row>
    <row r="14" spans="1:25" x14ac:dyDescent="0.25">
      <c r="A14" s="21">
        <v>2</v>
      </c>
      <c r="B14" s="22">
        <f>B$2*'Cost Distribution By Year'!C21</f>
        <v>8.1673053527980528</v>
      </c>
      <c r="C14" s="25">
        <f>C13*(1+C$10)</f>
        <v>6.02</v>
      </c>
      <c r="D14" s="23">
        <f>FishHarvestTimeTrends!AC23*((1+D$10)^MIN($A14,20))</f>
        <v>-0.45045485235064703</v>
      </c>
      <c r="E14" s="23">
        <f>FishHarvestTimeTrends!AD23*((1+E$10)^MIN($A14,20))</f>
        <v>-9.9738895333582739E-2</v>
      </c>
      <c r="G14" s="27">
        <f t="shared" ref="G14:G22" si="8">G13*(1+G$10)</f>
        <v>3501.75</v>
      </c>
      <c r="J14" s="41">
        <f t="shared" ref="J14:J31" si="9">B14/((1+$M$9)^($A14-1))</f>
        <v>7.6329956568206097</v>
      </c>
      <c r="K14" s="41">
        <f t="shared" si="6"/>
        <v>5.6261682242990645</v>
      </c>
      <c r="L14" s="41">
        <f t="shared" ref="L14:L22" si="10">D14/((1+$M$9)^(($A14)-1))</f>
        <v>-0.4209858433183617</v>
      </c>
      <c r="M14" s="41">
        <f t="shared" ref="M14:M23" si="11">E14/((1+$M$9)^(($A14)-1))</f>
        <v>-9.3213920872507225E-2</v>
      </c>
      <c r="N14" s="41"/>
      <c r="O14" s="41">
        <f t="shared" ref="O14:O22" si="12">G14/((1+$M$9)^($A14-1))</f>
        <v>3272.663551401869</v>
      </c>
      <c r="P14" s="41"/>
      <c r="R14" s="65">
        <f t="shared" ref="R14:Y29" si="13">(($D14/((1+R$10)^$M$7))+$G14+$H14+IF($M$3="Yes",$E14/((1+R$10)^$M$7),0)+IF($M$4="Yes",$F14)-($B14*(1+$M$5))-$C14)/((1+R$10)^($A14-1))</f>
        <v>3484.5623092936785</v>
      </c>
      <c r="S14" s="65">
        <f t="shared" si="7"/>
        <v>3450.0616923699786</v>
      </c>
      <c r="T14" s="65">
        <f t="shared" si="7"/>
        <v>3416.2375581310571</v>
      </c>
      <c r="U14" s="65">
        <f t="shared" si="7"/>
        <v>3383.0702031977462</v>
      </c>
      <c r="V14" s="65">
        <f t="shared" si="7"/>
        <v>3350.5406820131525</v>
      </c>
      <c r="W14" s="65">
        <f t="shared" si="7"/>
        <v>3318.630770755884</v>
      </c>
      <c r="X14" s="65">
        <f t="shared" si="7"/>
        <v>3287.3229332959231</v>
      </c>
      <c r="Y14" s="65">
        <f t="shared" si="7"/>
        <v>3256.6002890595123</v>
      </c>
    </row>
    <row r="15" spans="1:25" x14ac:dyDescent="0.25">
      <c r="A15" s="21">
        <v>3</v>
      </c>
      <c r="B15" s="22">
        <f>B$2*'Cost Distribution By Year'!C22</f>
        <v>15.145415145985398</v>
      </c>
      <c r="C15" s="25">
        <f t="shared" ref="C15:F30" si="14">C14*(1+C$10)</f>
        <v>6.02</v>
      </c>
      <c r="D15" s="23">
        <f>FishHarvestTimeTrends!AC24*((1+D$10)^MIN($A15,20))</f>
        <v>-0.40817195254769112</v>
      </c>
      <c r="E15" s="23">
        <f>FishHarvestTimeTrends!AD24*((1+E$10)^MIN($A15,20))</f>
        <v>-9.9788764781249525E-2</v>
      </c>
      <c r="G15" s="27">
        <f t="shared" si="8"/>
        <v>3503.5008749999997</v>
      </c>
      <c r="J15" s="41">
        <f t="shared" si="9"/>
        <v>13.228592144279324</v>
      </c>
      <c r="K15" s="41">
        <f t="shared" si="6"/>
        <v>5.2581011442047334</v>
      </c>
      <c r="L15" s="41">
        <f t="shared" si="10"/>
        <v>-0.35651319115004898</v>
      </c>
      <c r="M15" s="41">
        <f t="shared" si="11"/>
        <v>-8.7159371806489236E-2</v>
      </c>
      <c r="N15" s="41"/>
      <c r="O15" s="41">
        <f t="shared" si="12"/>
        <v>3060.0933487640837</v>
      </c>
      <c r="P15" s="41"/>
      <c r="R15" s="65">
        <f t="shared" si="13"/>
        <v>3477.2838745928898</v>
      </c>
      <c r="S15" s="65">
        <f t="shared" si="7"/>
        <v>3408.7676449298006</v>
      </c>
      <c r="T15" s="65">
        <f t="shared" si="7"/>
        <v>3342.2567037609474</v>
      </c>
      <c r="U15" s="65">
        <f t="shared" si="7"/>
        <v>3277.6735550880289</v>
      </c>
      <c r="V15" s="65">
        <f t="shared" si="7"/>
        <v>3214.9444106812957</v>
      </c>
      <c r="W15" s="65">
        <f t="shared" si="7"/>
        <v>3153.9989792225756</v>
      </c>
      <c r="X15" s="65">
        <f t="shared" si="7"/>
        <v>3094.7702693065944</v>
      </c>
      <c r="Y15" s="65">
        <f t="shared" si="7"/>
        <v>3037.1944052693593</v>
      </c>
    </row>
    <row r="16" spans="1:25" x14ac:dyDescent="0.25">
      <c r="A16" s="21">
        <v>4</v>
      </c>
      <c r="B16" s="22">
        <f>B$2*'Cost Distribution By Year'!C23</f>
        <v>24.860918491484181</v>
      </c>
      <c r="C16" s="25">
        <f t="shared" si="14"/>
        <v>6.02</v>
      </c>
      <c r="D16" s="23">
        <f>FishHarvestTimeTrends!AC25*((1+D$10)^MIN($A16,20))</f>
        <v>-0.40319854528381316</v>
      </c>
      <c r="E16" s="23">
        <f>FishHarvestTimeTrends!AD25*((1+E$10)^MIN($A16,20))</f>
        <v>-9.9838659163640153E-2</v>
      </c>
      <c r="G16" s="27">
        <f t="shared" si="8"/>
        <v>3505.2526254374993</v>
      </c>
      <c r="J16" s="41">
        <f t="shared" si="9"/>
        <v>20.293914982155059</v>
      </c>
      <c r="K16" s="41">
        <f t="shared" si="6"/>
        <v>4.9141132188829282</v>
      </c>
      <c r="L16" s="41">
        <f t="shared" si="10"/>
        <v>-0.32913011648065671</v>
      </c>
      <c r="M16" s="41">
        <f t="shared" si="11"/>
        <v>-8.149808550690886E-2</v>
      </c>
      <c r="N16" s="41"/>
      <c r="O16" s="41">
        <f t="shared" si="12"/>
        <v>2861.3302761107152</v>
      </c>
      <c r="P16" s="41"/>
      <c r="R16" s="65">
        <f t="shared" si="13"/>
        <v>3466.4103941941225</v>
      </c>
      <c r="S16" s="65">
        <f t="shared" si="7"/>
        <v>3364.4637772787978</v>
      </c>
      <c r="T16" s="65">
        <f t="shared" si="7"/>
        <v>3266.4759351551465</v>
      </c>
      <c r="U16" s="65">
        <f t="shared" si="7"/>
        <v>3172.2565601418491</v>
      </c>
      <c r="V16" s="65">
        <f t="shared" si="7"/>
        <v>3081.6262180975855</v>
      </c>
      <c r="W16" s="65">
        <f t="shared" si="7"/>
        <v>2994.4156304451981</v>
      </c>
      <c r="X16" s="65">
        <f t="shared" si="7"/>
        <v>2910.4650098689872</v>
      </c>
      <c r="Y16" s="65">
        <f t="shared" si="7"/>
        <v>2829.6234452130434</v>
      </c>
    </row>
    <row r="17" spans="1:25" x14ac:dyDescent="0.25">
      <c r="A17" s="21">
        <v>5</v>
      </c>
      <c r="B17" s="22">
        <f>B$2*'Cost Distribution By Year'!C24</f>
        <v>76.243141727493907</v>
      </c>
      <c r="C17" s="25">
        <f t="shared" si="14"/>
        <v>6.02</v>
      </c>
      <c r="D17" s="23">
        <f>FishHarvestTimeTrends!AC26*((1+D$10)^MIN($A17,20))</f>
        <v>-0.39461345716601587</v>
      </c>
      <c r="E17" s="23">
        <f>FishHarvestTimeTrends!AD26*((1+E$10)^MIN($A17,20))</f>
        <v>-9.9407067189483431E-2</v>
      </c>
      <c r="G17" s="27">
        <f t="shared" si="8"/>
        <v>3507.0052517502177</v>
      </c>
      <c r="J17" s="41">
        <f t="shared" si="9"/>
        <v>58.16552777536598</v>
      </c>
      <c r="K17" s="41">
        <f t="shared" si="6"/>
        <v>4.5926291765261018</v>
      </c>
      <c r="L17" s="41">
        <f t="shared" si="10"/>
        <v>-0.30104871708147468</v>
      </c>
      <c r="M17" s="41">
        <f t="shared" si="11"/>
        <v>-7.583717560254355E-2</v>
      </c>
      <c r="N17" s="41"/>
      <c r="O17" s="41">
        <f t="shared" si="12"/>
        <v>2675.4775151857671</v>
      </c>
      <c r="P17" s="41"/>
      <c r="R17" s="65">
        <f t="shared" si="13"/>
        <v>3401.37514698012</v>
      </c>
      <c r="S17" s="65">
        <f t="shared" si="7"/>
        <v>3268.6546604602454</v>
      </c>
      <c r="T17" s="65">
        <f t="shared" si="7"/>
        <v>3142.3448717378465</v>
      </c>
      <c r="U17" s="65">
        <f t="shared" si="7"/>
        <v>3022.0777631941596</v>
      </c>
      <c r="V17" s="65">
        <f t="shared" si="7"/>
        <v>2907.5097309029557</v>
      </c>
      <c r="W17" s="65">
        <f t="shared" si="7"/>
        <v>2798.3197511161461</v>
      </c>
      <c r="X17" s="65">
        <f t="shared" si="7"/>
        <v>2694.2077002182432</v>
      </c>
      <c r="Y17" s="65">
        <f t="shared" si="7"/>
        <v>2594.8928140085809</v>
      </c>
    </row>
    <row r="18" spans="1:25" x14ac:dyDescent="0.25">
      <c r="A18" s="21">
        <v>6</v>
      </c>
      <c r="B18" s="22">
        <f>B$2*'Cost Distribution By Year'!C25</f>
        <v>51.06809610705595</v>
      </c>
      <c r="C18" s="25">
        <f t="shared" si="14"/>
        <v>6.02</v>
      </c>
      <c r="D18" s="23">
        <f>FishHarvestTimeTrends!AC27*((1+D$10)^MIN($A18,20))</f>
        <v>-0.36609789732137704</v>
      </c>
      <c r="E18" s="23">
        <f>FishHarvestTimeTrends!AD27*((1+E$10)^MIN($A18,20))</f>
        <v>-9.2998613393808327E-2</v>
      </c>
      <c r="G18" s="27">
        <f t="shared" si="8"/>
        <v>3508.7587543760924</v>
      </c>
      <c r="J18" s="41">
        <f t="shared" si="9"/>
        <v>36.410846736874618</v>
      </c>
      <c r="K18" s="41">
        <f t="shared" si="6"/>
        <v>4.2921768004916832</v>
      </c>
      <c r="L18" s="41">
        <f t="shared" si="10"/>
        <v>-0.26102274112817292</v>
      </c>
      <c r="M18" s="41">
        <f t="shared" si="11"/>
        <v>-6.6306726060930105E-2</v>
      </c>
      <c r="N18" s="41"/>
      <c r="O18" s="41">
        <f t="shared" si="12"/>
        <v>2501.6964990124852</v>
      </c>
      <c r="P18" s="41"/>
      <c r="R18" s="65">
        <f t="shared" si="13"/>
        <v>3435.8911329262046</v>
      </c>
      <c r="S18" s="65">
        <f t="shared" si="7"/>
        <v>3269.1325193315624</v>
      </c>
      <c r="T18" s="65">
        <f t="shared" si="7"/>
        <v>3111.9924583126785</v>
      </c>
      <c r="U18" s="65">
        <f t="shared" si="7"/>
        <v>2963.8298734498017</v>
      </c>
      <c r="V18" s="65">
        <f t="shared" si="7"/>
        <v>2824.0520580261459</v>
      </c>
      <c r="W18" s="65">
        <f t="shared" si="7"/>
        <v>2692.1106077846393</v>
      </c>
      <c r="X18" s="65">
        <f t="shared" si="7"/>
        <v>2567.4977301571216</v>
      </c>
      <c r="Y18" s="65">
        <f t="shared" si="7"/>
        <v>2449.7428919868676</v>
      </c>
    </row>
    <row r="19" spans="1:25" x14ac:dyDescent="0.25">
      <c r="A19" s="21">
        <v>7</v>
      </c>
      <c r="B19" s="22">
        <f>B$2*'Cost Distribution By Year'!C26</f>
        <v>49.11602037712894</v>
      </c>
      <c r="C19" s="25">
        <f t="shared" si="14"/>
        <v>6.02</v>
      </c>
      <c r="D19" s="23">
        <f>FishHarvestTimeTrends!AC28*((1+D$10)^MIN($A19,20))</f>
        <v>-0.30824294902145893</v>
      </c>
      <c r="E19" s="23">
        <f>FishHarvestTimeTrends!AD28*((1+E$10)^MIN($A19,20))</f>
        <v>-8.3994920579371024E-2</v>
      </c>
      <c r="G19" s="27">
        <f t="shared" si="8"/>
        <v>3510.5131337532803</v>
      </c>
      <c r="J19" s="41">
        <f t="shared" si="9"/>
        <v>32.728078243113245</v>
      </c>
      <c r="K19" s="41">
        <f t="shared" si="6"/>
        <v>4.0113801873754049</v>
      </c>
      <c r="L19" s="41">
        <f t="shared" si="10"/>
        <v>-0.20539529212671886</v>
      </c>
      <c r="M19" s="41">
        <f t="shared" si="11"/>
        <v>-5.596936216814944E-2</v>
      </c>
      <c r="N19" s="41"/>
      <c r="O19" s="41">
        <f t="shared" si="12"/>
        <v>2339.203128282235</v>
      </c>
      <c r="P19" s="41"/>
      <c r="R19" s="65">
        <f t="shared" si="13"/>
        <v>3440.2500693934121</v>
      </c>
      <c r="S19" s="65">
        <f t="shared" si="7"/>
        <v>3240.8711859550176</v>
      </c>
      <c r="T19" s="65">
        <f t="shared" si="7"/>
        <v>3054.843609185411</v>
      </c>
      <c r="U19" s="65">
        <f t="shared" si="7"/>
        <v>2881.1552721718322</v>
      </c>
      <c r="V19" s="65">
        <f t="shared" si="7"/>
        <v>2718.8796019857555</v>
      </c>
      <c r="W19" s="65">
        <f t="shared" si="7"/>
        <v>2567.1675700615911</v>
      </c>
      <c r="X19" s="65">
        <f t="shared" si="7"/>
        <v>2425.2405481672135</v>
      </c>
      <c r="Y19" s="65">
        <f t="shared" si="7"/>
        <v>2292.3838817245178</v>
      </c>
    </row>
    <row r="20" spans="1:25" x14ac:dyDescent="0.25">
      <c r="A20" s="21">
        <v>8</v>
      </c>
      <c r="B20" s="22">
        <f>B$2*'Cost Distribution By Year'!C27</f>
        <v>49.160895681265195</v>
      </c>
      <c r="C20" s="25">
        <f t="shared" si="14"/>
        <v>6.02</v>
      </c>
      <c r="D20" s="23">
        <f>FishHarvestTimeTrends!AC29*((1+D$10)^MIN($A20,20))</f>
        <v>-0.31754299951791759</v>
      </c>
      <c r="E20" s="23">
        <f>FishHarvestTimeTrends!AD29*((1+E$10)^MIN($A20,20))</f>
        <v>-8.534578261212164E-2</v>
      </c>
      <c r="F20" s="23">
        <f>B6</f>
        <v>5.7</v>
      </c>
      <c r="G20" s="27">
        <f t="shared" si="8"/>
        <v>3512.2683903201569</v>
      </c>
      <c r="H20" s="22">
        <f>B$8</f>
        <v>2.8000000000000001E-2</v>
      </c>
      <c r="I20" s="22"/>
      <c r="J20" s="41">
        <f t="shared" si="9"/>
        <v>30.614935096323212</v>
      </c>
      <c r="K20" s="41">
        <f t="shared" si="6"/>
        <v>3.7489534461452383</v>
      </c>
      <c r="L20" s="41">
        <f t="shared" si="10"/>
        <v>-0.19774982098704202</v>
      </c>
      <c r="M20" s="41">
        <f t="shared" si="11"/>
        <v>-5.3149064092637179E-2</v>
      </c>
      <c r="N20" s="41">
        <f t="shared" si="6"/>
        <v>3.5496735287421695</v>
      </c>
      <c r="O20" s="41">
        <f t="shared" si="12"/>
        <v>2187.2642335012861</v>
      </c>
      <c r="P20" s="41">
        <f t="shared" ref="P20:P83" si="15">H20/((1+$M$9)^($A20-1))</f>
        <v>1.7436992772768552E-2</v>
      </c>
      <c r="R20" s="65">
        <f t="shared" si="13"/>
        <v>3441.9643371523821</v>
      </c>
      <c r="S20" s="65">
        <f t="shared" si="7"/>
        <v>3210.3822809201051</v>
      </c>
      <c r="T20" s="65">
        <f t="shared" si="7"/>
        <v>2996.4370881340997</v>
      </c>
      <c r="U20" s="65">
        <f t="shared" si="7"/>
        <v>2798.6319848851554</v>
      </c>
      <c r="V20" s="65">
        <f t="shared" si="7"/>
        <v>2615.6100122083271</v>
      </c>
      <c r="W20" s="65">
        <f t="shared" si="7"/>
        <v>2446.1397933878966</v>
      </c>
      <c r="X20" s="65">
        <f t="shared" si="7"/>
        <v>2289.1028672575803</v>
      </c>
      <c r="Y20" s="65">
        <f t="shared" si="7"/>
        <v>2143.4824025376138</v>
      </c>
    </row>
    <row r="21" spans="1:25" x14ac:dyDescent="0.25">
      <c r="A21" s="21">
        <v>9</v>
      </c>
      <c r="B21" s="22">
        <f>B$2*'Cost Distribution By Year'!C28</f>
        <v>3.7695255474452547</v>
      </c>
      <c r="C21" s="25">
        <f t="shared" si="14"/>
        <v>6.02</v>
      </c>
      <c r="D21" s="23">
        <f>FishHarvestTimeTrends!AC30*((1+D$10)^MIN($A21,20))</f>
        <v>-0.24394231149703147</v>
      </c>
      <c r="E21" s="23">
        <f>FishHarvestTimeTrends!AD30*((1+E$10)^MIN($A21,20))</f>
        <v>-7.2090804198112118E-2</v>
      </c>
      <c r="F21" s="23">
        <f>F20*(1+F$10)</f>
        <v>5.7028499999999998</v>
      </c>
      <c r="G21" s="27">
        <f t="shared" si="8"/>
        <v>3514.0245245153169</v>
      </c>
      <c r="H21" s="22">
        <f t="shared" ref="H21:H84" si="16">B$8</f>
        <v>2.8000000000000001E-2</v>
      </c>
      <c r="I21" s="22"/>
      <c r="J21" s="41">
        <f t="shared" si="9"/>
        <v>2.193898188503649</v>
      </c>
      <c r="K21" s="41">
        <f t="shared" si="6"/>
        <v>3.503694809481531</v>
      </c>
      <c r="L21" s="41">
        <f t="shared" si="10"/>
        <v>-0.14197664627991297</v>
      </c>
      <c r="M21" s="41">
        <f t="shared" si="11"/>
        <v>-4.1957504398716747E-2</v>
      </c>
      <c r="N21" s="41">
        <f t="shared" si="6"/>
        <v>3.3191106219687292</v>
      </c>
      <c r="O21" s="41">
        <f t="shared" si="12"/>
        <v>2045.1942669327445</v>
      </c>
      <c r="P21" s="41">
        <f t="shared" si="15"/>
        <v>1.6296254927821077E-2</v>
      </c>
      <c r="R21" s="65">
        <f t="shared" si="13"/>
        <v>3502.816108187943</v>
      </c>
      <c r="S21" s="65">
        <f t="shared" si="7"/>
        <v>3234.7919073523531</v>
      </c>
      <c r="T21" s="65">
        <f t="shared" si="7"/>
        <v>2989.6198203880294</v>
      </c>
      <c r="U21" s="65">
        <f t="shared" si="7"/>
        <v>2765.1553819071646</v>
      </c>
      <c r="V21" s="65">
        <f t="shared" si="7"/>
        <v>2559.4734201760989</v>
      </c>
      <c r="W21" s="65">
        <f t="shared" si="7"/>
        <v>2370.8438199697362</v>
      </c>
      <c r="X21" s="65">
        <f t="shared" si="7"/>
        <v>2197.7101608125454</v>
      </c>
      <c r="Y21" s="65">
        <f t="shared" si="7"/>
        <v>2038.6708665824574</v>
      </c>
    </row>
    <row r="22" spans="1:25" x14ac:dyDescent="0.25">
      <c r="A22" s="21">
        <v>10</v>
      </c>
      <c r="B22" s="22">
        <f>B$2*'Cost Distribution By Year'!C29</f>
        <v>3.7695255474452547</v>
      </c>
      <c r="C22" s="25">
        <f t="shared" si="14"/>
        <v>6.02</v>
      </c>
      <c r="D22" s="23">
        <f>FishHarvestTimeTrends!AC31*((1+D$10)^MIN($A22,20))</f>
        <v>-0.19428149710205203</v>
      </c>
      <c r="E22" s="23">
        <f>FishHarvestTimeTrends!AD31*((1+E$10)^MIN($A22,20))</f>
        <v>-6.6597232335975212E-2</v>
      </c>
      <c r="F22" s="23">
        <f t="shared" si="14"/>
        <v>5.7057014249999991</v>
      </c>
      <c r="G22" s="27">
        <f t="shared" si="8"/>
        <v>3515.7815367775743</v>
      </c>
      <c r="H22" s="22">
        <f t="shared" si="16"/>
        <v>2.8000000000000001E-2</v>
      </c>
      <c r="I22" s="22"/>
      <c r="J22" s="41">
        <f t="shared" si="9"/>
        <v>2.0503721387884566</v>
      </c>
      <c r="K22" s="41">
        <f t="shared" si="6"/>
        <v>3.2744811303565706</v>
      </c>
      <c r="L22" s="41">
        <f t="shared" si="10"/>
        <v>-0.10567626183357047</v>
      </c>
      <c r="M22" s="41">
        <f t="shared" si="11"/>
        <v>-3.6224481830253036E-2</v>
      </c>
      <c r="N22" s="41">
        <f t="shared" si="6"/>
        <v>3.1035235301679558</v>
      </c>
      <c r="O22" s="41">
        <f t="shared" si="12"/>
        <v>1912.3522094076734</v>
      </c>
      <c r="P22" s="41">
        <f t="shared" si="15"/>
        <v>1.5230144792356145E-2</v>
      </c>
      <c r="R22" s="65">
        <f>(($D22/((1+R$10)^$M$7))+$G22+$H22+IF($M$3="Yes",$E22/((1+R$10)^$M$7),0)+IF($M$4="Yes",$F22)-($B22*(1+$M$5))-$C22)/((1+R$10)^($A22-1))</f>
        <v>3504.6282748364574</v>
      </c>
      <c r="S22" s="65">
        <f t="shared" si="7"/>
        <v>3204.421200840196</v>
      </c>
      <c r="T22" s="65">
        <f t="shared" si="7"/>
        <v>2932.516163895616</v>
      </c>
      <c r="U22" s="65">
        <f t="shared" si="7"/>
        <v>2686.0057504792403</v>
      </c>
      <c r="V22" s="65">
        <f t="shared" si="7"/>
        <v>2462.3053390346149</v>
      </c>
      <c r="W22" s="65">
        <f t="shared" si="7"/>
        <v>2259.1146339885772</v>
      </c>
      <c r="X22" s="65">
        <f t="shared" si="7"/>
        <v>2074.3840911195812</v>
      </c>
      <c r="Y22" s="65">
        <f t="shared" si="7"/>
        <v>1906.2855738980204</v>
      </c>
    </row>
    <row r="23" spans="1:25" x14ac:dyDescent="0.25">
      <c r="A23" s="21">
        <v>11</v>
      </c>
      <c r="B23" s="22">
        <f>B$2*'Cost Distribution By Year'!C30</f>
        <v>1.4808850364963502</v>
      </c>
      <c r="C23" s="25">
        <f t="shared" si="14"/>
        <v>6.02</v>
      </c>
      <c r="D23" s="23">
        <f>FishHarvestTimeTrends!AC32*((1+D$10)^MIN($A23,20))</f>
        <v>8.6167725856419811E-3</v>
      </c>
      <c r="E23" s="23">
        <f>FishHarvestTimeTrends!AD32*((1+E$10)^MIN($A23,20))</f>
        <v>-3.3324567397867599E-2</v>
      </c>
      <c r="F23" s="23">
        <f t="shared" si="14"/>
        <v>5.7085542757124985</v>
      </c>
      <c r="H23" s="22">
        <f t="shared" si="16"/>
        <v>2.8000000000000001E-2</v>
      </c>
      <c r="I23" s="22"/>
      <c r="J23" s="41">
        <f>B23/((1+$M$9)^($A23-1))</f>
        <v>0.75280686003581532</v>
      </c>
      <c r="K23" s="41">
        <f>C23/((1+$M$9)^($A23-1))</f>
        <v>3.0602627386510011</v>
      </c>
      <c r="L23" s="41">
        <f>D23/((1+$M$9)^(($A23+$M$7)-1))</f>
        <v>4.3803302443969428E-3</v>
      </c>
      <c r="M23" s="41">
        <f t="shared" si="11"/>
        <v>-1.694052024740169E-2</v>
      </c>
      <c r="N23" s="41">
        <f>F23/((1+$M$9)^($A23-1))</f>
        <v>2.9019395251710653</v>
      </c>
      <c r="P23" s="41">
        <f>H23/((1+$M$9)^($A23-1))</f>
        <v>1.4233780179772098E-2</v>
      </c>
      <c r="R23" s="65">
        <f>(($D23/((1+R$10)^$M$7))+$G23+$H23+IF($M$3="Yes",$E23/((1+R$10)^$M$7),0)+IF($M$4="Yes",$F23)-($B23*(1+$M$5))-$C23)/((1+R$10)^($A23-1))</f>
        <v>-7.9418583422574809</v>
      </c>
      <c r="S23" s="65">
        <f t="shared" si="7"/>
        <v>-7.189660753265338</v>
      </c>
      <c r="T23" s="65">
        <f t="shared" si="7"/>
        <v>-6.515089988920244</v>
      </c>
      <c r="U23" s="65">
        <f t="shared" si="7"/>
        <v>-5.9094884654455848</v>
      </c>
      <c r="V23" s="65">
        <f t="shared" si="7"/>
        <v>-5.3652349299194091</v>
      </c>
      <c r="W23" s="65">
        <f t="shared" si="7"/>
        <v>-4.8756120940551115</v>
      </c>
      <c r="X23" s="65">
        <f t="shared" si="7"/>
        <v>-4.4346922173163339</v>
      </c>
      <c r="Y23" s="65">
        <f t="shared" si="7"/>
        <v>-4.0372380665207936</v>
      </c>
    </row>
    <row r="24" spans="1:25" x14ac:dyDescent="0.25">
      <c r="A24" s="21">
        <v>12</v>
      </c>
      <c r="B24" s="22">
        <f>B$2*'Cost Distribution By Year'!C31</f>
        <v>1.4584473844282235</v>
      </c>
      <c r="C24" s="25">
        <f t="shared" si="14"/>
        <v>6.02</v>
      </c>
      <c r="D24" s="23">
        <f>FishHarvestTimeTrends!AC33*((1+D$10)^MIN($A24,20))</f>
        <v>0.21183980384499437</v>
      </c>
      <c r="E24" s="23">
        <f>FishHarvestTimeTrends!AD33*((1+E$10)^MIN($A24,20))</f>
        <v>-1.8613145513795979E-5</v>
      </c>
      <c r="F24" s="23">
        <f t="shared" si="14"/>
        <v>5.7114085528503544</v>
      </c>
      <c r="H24" s="22">
        <f t="shared" si="16"/>
        <v>2.8000000000000001E-2</v>
      </c>
      <c r="I24" s="22"/>
      <c r="J24" s="41">
        <f t="shared" si="9"/>
        <v>0.69289784625216633</v>
      </c>
      <c r="K24" s="41">
        <f t="shared" si="6"/>
        <v>2.8600586342532717</v>
      </c>
      <c r="L24" s="41">
        <f t="shared" ref="L24:L77" si="17">D24/((1+$M$9)^(($A24+$M$7)-1))</f>
        <v>0.10064356479491621</v>
      </c>
      <c r="M24" s="41">
        <f t="shared" ref="M24:M76" si="18">E24/((1+$M$9)^(($A24+$M$7)-1))</f>
        <v>-8.8429713517183956E-6</v>
      </c>
      <c r="N24" s="41">
        <f t="shared" si="6"/>
        <v>2.7134490606856545</v>
      </c>
      <c r="P24" s="41">
        <f t="shared" si="15"/>
        <v>1.3302598298852426E-2</v>
      </c>
      <c r="R24" s="65">
        <f>(($D24/((1+R$10)^$M$7))+$G24+$H24+IF($M$3="Yes",$E24/((1+R$10)^$M$7),0)+IF($M$4="Yes",$F24)-($B24*(1+$M$5))-$C24)/((1+R$10)^($A24-1))</f>
        <v>-7.6761604090572098</v>
      </c>
      <c r="S24" s="65">
        <f t="shared" si="7"/>
        <v>-6.8803246341091544</v>
      </c>
      <c r="T24" s="65">
        <f t="shared" si="7"/>
        <v>-6.1736520991559409</v>
      </c>
      <c r="U24" s="65">
        <f t="shared" si="7"/>
        <v>-5.5454216020879867</v>
      </c>
      <c r="V24" s="65">
        <f t="shared" si="7"/>
        <v>-4.9862874293444577</v>
      </c>
      <c r="W24" s="65">
        <f t="shared" si="7"/>
        <v>-4.4880920108810258</v>
      </c>
      <c r="X24" s="65">
        <f t="shared" si="7"/>
        <v>-4.0437055463963771</v>
      </c>
      <c r="Y24" s="65">
        <f t="shared" si="7"/>
        <v>-3.6468885142586709</v>
      </c>
    </row>
    <row r="25" spans="1:25" x14ac:dyDescent="0.25">
      <c r="A25" s="21">
        <v>13</v>
      </c>
      <c r="B25" s="22">
        <f>B$2*'Cost Distribution By Year'!C32</f>
        <v>0.80775547445255469</v>
      </c>
      <c r="C25" s="25">
        <f t="shared" si="14"/>
        <v>6.02</v>
      </c>
      <c r="D25" s="23">
        <f>FishHarvestTimeTrends!AC34*((1+D$10)^MIN($A25,20))</f>
        <v>0.41538798643962715</v>
      </c>
      <c r="E25" s="23">
        <f>FishHarvestTimeTrends!AD34*((1+E$10)^MIN($A25,20))</f>
        <v>3.3320655392234194E-2</v>
      </c>
      <c r="F25" s="23">
        <f t="shared" si="14"/>
        <v>5.7142642571267794</v>
      </c>
      <c r="H25" s="22">
        <f t="shared" si="16"/>
        <v>2.8000000000000001E-2</v>
      </c>
      <c r="I25" s="22"/>
      <c r="J25" s="41">
        <f t="shared" si="9"/>
        <v>0.35865309079910851</v>
      </c>
      <c r="K25" s="41">
        <f t="shared" si="6"/>
        <v>2.6729519946292264</v>
      </c>
      <c r="L25" s="41">
        <f t="shared" si="17"/>
        <v>0.18443723370412282</v>
      </c>
      <c r="M25" s="41">
        <f t="shared" si="18"/>
        <v>1.4794769483891275E-2</v>
      </c>
      <c r="N25" s="41">
        <f t="shared" si="6"/>
        <v>2.537201668426166</v>
      </c>
      <c r="P25" s="41">
        <f t="shared" si="15"/>
        <v>1.2432334858740589E-2</v>
      </c>
      <c r="R25" s="65">
        <f t="shared" si="13"/>
        <v>-6.5933734749564596</v>
      </c>
      <c r="S25" s="65">
        <f t="shared" si="7"/>
        <v>-5.8512841822339245</v>
      </c>
      <c r="T25" s="65">
        <f t="shared" si="7"/>
        <v>-5.1988299890642793</v>
      </c>
      <c r="U25" s="65">
        <f t="shared" si="7"/>
        <v>-4.6244594979324889</v>
      </c>
      <c r="V25" s="65">
        <f t="shared" si="7"/>
        <v>-4.1182016192372659</v>
      </c>
      <c r="W25" s="65">
        <f t="shared" si="7"/>
        <v>-3.6714370628751589</v>
      </c>
      <c r="X25" s="65">
        <f t="shared" si="7"/>
        <v>-3.2767046196745881</v>
      </c>
      <c r="Y25" s="65">
        <f t="shared" si="7"/>
        <v>-2.927536674621313</v>
      </c>
    </row>
    <row r="26" spans="1:25" x14ac:dyDescent="0.25">
      <c r="A26" s="21">
        <v>14</v>
      </c>
      <c r="B26" s="22">
        <f>B$2*'Cost Distribution By Year'!C33</f>
        <v>0.7404425182481752</v>
      </c>
      <c r="C26" s="25">
        <f t="shared" si="14"/>
        <v>6.02</v>
      </c>
      <c r="D26" s="23">
        <f>FishHarvestTimeTrends!AC35*((1+D$10)^MIN($A26,20))</f>
        <v>0.61926171054893731</v>
      </c>
      <c r="E26" s="23">
        <f>FishHarvestTimeTrends!AD35*((1+E$10)^MIN($A26,20))</f>
        <v>6.6693263203173231E-2</v>
      </c>
      <c r="F26" s="23">
        <f t="shared" si="14"/>
        <v>5.7171213892553423</v>
      </c>
      <c r="H26" s="22">
        <f t="shared" si="16"/>
        <v>2.8000000000000001E-2</v>
      </c>
      <c r="I26" s="22"/>
      <c r="J26" s="41">
        <f t="shared" si="9"/>
        <v>0.30725732077805246</v>
      </c>
      <c r="K26" s="41">
        <f t="shared" si="6"/>
        <v>2.4980859762889964</v>
      </c>
      <c r="L26" s="41">
        <f t="shared" si="17"/>
        <v>0.25697159381645118</v>
      </c>
      <c r="M26" s="41">
        <f t="shared" si="18"/>
        <v>2.76753331429897E-2</v>
      </c>
      <c r="N26" s="41">
        <f t="shared" si="6"/>
        <v>2.3724021208040922</v>
      </c>
      <c r="P26" s="41">
        <f t="shared" si="15"/>
        <v>1.1619004540879054E-2</v>
      </c>
      <c r="R26" s="65">
        <f t="shared" si="13"/>
        <v>-6.2686202999705163</v>
      </c>
      <c r="S26" s="65">
        <f t="shared" si="7"/>
        <v>-5.5080022066240097</v>
      </c>
      <c r="T26" s="65">
        <f t="shared" si="7"/>
        <v>-4.8458473792543018</v>
      </c>
      <c r="U26" s="65">
        <f t="shared" si="7"/>
        <v>-4.2686253931733598</v>
      </c>
      <c r="V26" s="65">
        <f t="shared" si="7"/>
        <v>-3.764770907980084</v>
      </c>
      <c r="W26" s="65">
        <f t="shared" si="7"/>
        <v>-3.3243831841628766</v>
      </c>
      <c r="X26" s="65">
        <f t="shared" si="7"/>
        <v>-2.938973812247371</v>
      </c>
      <c r="Y26" s="65">
        <f t="shared" si="7"/>
        <v>-2.6012545618001441</v>
      </c>
    </row>
    <row r="27" spans="1:25" x14ac:dyDescent="0.25">
      <c r="A27" s="21">
        <v>15</v>
      </c>
      <c r="B27" s="22">
        <f>B$2*'Cost Distribution By Year'!C34</f>
        <v>0.60581660583941599</v>
      </c>
      <c r="C27" s="25">
        <f t="shared" si="14"/>
        <v>6.02</v>
      </c>
      <c r="D27" s="23">
        <f>FishHarvestTimeTrends!AC36*((1+D$10)^MIN($A27,20))</f>
        <v>0.82346136676851034</v>
      </c>
      <c r="E27" s="23">
        <f>FishHarvestTimeTrends!AD36*((1+E$10)^MIN($A27,20))</f>
        <v>0.10009923529175935</v>
      </c>
      <c r="F27" s="23">
        <f t="shared" si="14"/>
        <v>5.7199799499499697</v>
      </c>
      <c r="H27" s="22">
        <f t="shared" si="16"/>
        <v>2.8000000000000001E-2</v>
      </c>
      <c r="I27" s="22"/>
      <c r="J27" s="41">
        <f t="shared" si="9"/>
        <v>0.23494612463912251</v>
      </c>
      <c r="K27" s="41">
        <f t="shared" si="6"/>
        <v>2.3346597909242957</v>
      </c>
      <c r="L27" s="41">
        <f t="shared" si="17"/>
        <v>0.31935251534451914</v>
      </c>
      <c r="M27" s="41">
        <f t="shared" si="18"/>
        <v>3.8820209258794147E-2</v>
      </c>
      <c r="N27" s="41">
        <f t="shared" si="6"/>
        <v>2.2183068428640134</v>
      </c>
      <c r="P27" s="41">
        <f t="shared" si="15"/>
        <v>1.0858882748485097E-2</v>
      </c>
      <c r="R27" s="65">
        <f t="shared" si="13"/>
        <v>-5.8560009855309705</v>
      </c>
      <c r="S27" s="65">
        <f t="shared" si="7"/>
        <v>-5.0945040072163854</v>
      </c>
      <c r="T27" s="65">
        <f t="shared" si="7"/>
        <v>-4.4381168908983319</v>
      </c>
      <c r="U27" s="65">
        <f t="shared" si="7"/>
        <v>-3.8715065224259071</v>
      </c>
      <c r="V27" s="65">
        <f t="shared" si="7"/>
        <v>-3.3816946541240736</v>
      </c>
      <c r="W27" s="65">
        <f t="shared" si="7"/>
        <v>-2.9576784305018684</v>
      </c>
      <c r="X27" s="65">
        <f t="shared" si="7"/>
        <v>-2.5901148833086634</v>
      </c>
      <c r="Y27" s="65">
        <f t="shared" si="7"/>
        <v>-2.2710581456033565</v>
      </c>
    </row>
    <row r="28" spans="1:25" x14ac:dyDescent="0.25">
      <c r="A28" s="21">
        <v>16</v>
      </c>
      <c r="B28" s="22">
        <f>B$2*'Cost Distribution By Year'!C35</f>
        <v>0.58337895377128934</v>
      </c>
      <c r="C28" s="25">
        <f t="shared" si="14"/>
        <v>6.02</v>
      </c>
      <c r="D28" s="23">
        <f>FishHarvestTimeTrends!AC37*((1+D$10)^MIN($A28,20))</f>
        <v>0.96530840130180551</v>
      </c>
      <c r="E28" s="23">
        <f>FishHarvestTimeTrends!AD37*((1+E$10)^MIN($A28,20))</f>
        <v>0.12312041225906903</v>
      </c>
      <c r="F28" s="23">
        <f t="shared" si="14"/>
        <v>5.7228399399249446</v>
      </c>
      <c r="H28" s="22">
        <f t="shared" si="16"/>
        <v>2.8000000000000001E-2</v>
      </c>
      <c r="I28" s="22"/>
      <c r="J28" s="41">
        <f t="shared" si="9"/>
        <v>0.21144337973752797</v>
      </c>
      <c r="K28" s="41">
        <f t="shared" si="6"/>
        <v>2.1819250382470052</v>
      </c>
      <c r="L28" s="41">
        <f t="shared" si="17"/>
        <v>0.34987218777916901</v>
      </c>
      <c r="M28" s="41">
        <f t="shared" si="18"/>
        <v>4.4624503360025956E-2</v>
      </c>
      <c r="N28" s="41">
        <f t="shared" si="6"/>
        <v>2.0742205572761168</v>
      </c>
      <c r="P28" s="41">
        <f t="shared" si="15"/>
        <v>1.0148488549986071E-2</v>
      </c>
      <c r="R28" s="65">
        <f t="shared" si="13"/>
        <v>-5.6619638263418013</v>
      </c>
      <c r="S28" s="65">
        <f t="shared" si="7"/>
        <v>-4.8769295683167897</v>
      </c>
      <c r="T28" s="65">
        <f t="shared" si="7"/>
        <v>-4.206922523634117</v>
      </c>
      <c r="U28" s="65">
        <f t="shared" si="7"/>
        <v>-3.6341991276655197</v>
      </c>
      <c r="V28" s="65">
        <f t="shared" si="7"/>
        <v>-3.1438875284142309</v>
      </c>
      <c r="W28" s="65">
        <f t="shared" si="7"/>
        <v>-2.7235014092429792</v>
      </c>
      <c r="X28" s="65">
        <f t="shared" si="7"/>
        <v>-2.3625396798809444</v>
      </c>
      <c r="Y28" s="65">
        <f t="shared" si="7"/>
        <v>-2.0521562522166104</v>
      </c>
    </row>
    <row r="29" spans="1:25" x14ac:dyDescent="0.25">
      <c r="A29" s="21">
        <v>17</v>
      </c>
      <c r="B29" s="22">
        <f>B$2*'Cost Distribution By Year'!C36</f>
        <v>0.26925182481751819</v>
      </c>
      <c r="C29" s="25">
        <f t="shared" si="14"/>
        <v>6.02</v>
      </c>
      <c r="D29" s="23">
        <f>FishHarvestTimeTrends!AC38*((1+D$10)^MIN($A29,20))</f>
        <v>1.1073818640750788</v>
      </c>
      <c r="E29" s="23">
        <f>FishHarvestTimeTrends!AD38*((1+E$10)^MIN($A29,20))</f>
        <v>0.14616458537853716</v>
      </c>
      <c r="F29" s="23">
        <f t="shared" si="14"/>
        <v>5.7257013598949067</v>
      </c>
      <c r="H29" s="22">
        <f t="shared" si="16"/>
        <v>2.8000000000000001E-2</v>
      </c>
      <c r="I29" s="22"/>
      <c r="J29" s="41">
        <f t="shared" si="9"/>
        <v>9.1204908585562058E-2</v>
      </c>
      <c r="K29" s="41">
        <f t="shared" si="6"/>
        <v>2.0391822787355189</v>
      </c>
      <c r="L29" s="41">
        <f t="shared" si="17"/>
        <v>0.37510855033471863</v>
      </c>
      <c r="M29" s="41">
        <f t="shared" si="18"/>
        <v>4.9511002040305271E-2</v>
      </c>
      <c r="N29" s="41">
        <f t="shared" si="6"/>
        <v>1.9394931472474346</v>
      </c>
      <c r="P29" s="41">
        <f t="shared" si="15"/>
        <v>9.4845687383047408E-3</v>
      </c>
      <c r="R29" s="65">
        <f t="shared" si="13"/>
        <v>-5.0884809228091576</v>
      </c>
      <c r="S29" s="65">
        <f t="shared" si="13"/>
        <v>-4.3395647233028631</v>
      </c>
      <c r="T29" s="65">
        <f t="shared" si="13"/>
        <v>-3.7066826263850756</v>
      </c>
      <c r="U29" s="65">
        <f t="shared" si="13"/>
        <v>-3.1709730819469257</v>
      </c>
      <c r="V29" s="65">
        <f t="shared" si="13"/>
        <v>-2.7167815665092423</v>
      </c>
      <c r="W29" s="65">
        <f t="shared" si="13"/>
        <v>-2.3310917401723081</v>
      </c>
      <c r="X29" s="65">
        <f t="shared" si="13"/>
        <v>-2.0030616050071717</v>
      </c>
      <c r="Y29" s="65">
        <f t="shared" si="13"/>
        <v>-1.7236445387834212</v>
      </c>
    </row>
    <row r="30" spans="1:25" x14ac:dyDescent="0.25">
      <c r="A30" s="21">
        <v>18</v>
      </c>
      <c r="B30" s="22">
        <f>B$2*'Cost Distribution By Year'!C37</f>
        <v>0.26925182481751819</v>
      </c>
      <c r="C30" s="25">
        <f t="shared" si="14"/>
        <v>6.02</v>
      </c>
      <c r="D30" s="23">
        <f>FishHarvestTimeTrends!AC39*((1+D$10)^MIN($A30,20))</f>
        <v>1.2496820265914128</v>
      </c>
      <c r="E30" s="23">
        <f>FishHarvestTimeTrends!AD39*((1+E$10)^MIN($A30,20))</f>
        <v>0.1692317718910217</v>
      </c>
      <c r="F30" s="23">
        <f t="shared" si="14"/>
        <v>5.728564210574854</v>
      </c>
      <c r="H30" s="22">
        <f t="shared" si="16"/>
        <v>2.8000000000000001E-2</v>
      </c>
      <c r="I30" s="22"/>
      <c r="J30" s="41">
        <f t="shared" si="9"/>
        <v>8.5238232322955187E-2</v>
      </c>
      <c r="K30" s="41">
        <f t="shared" si="6"/>
        <v>1.905777830593943</v>
      </c>
      <c r="L30" s="41">
        <f t="shared" si="17"/>
        <v>0.39561732584213039</v>
      </c>
      <c r="M30" s="41">
        <f t="shared" si="18"/>
        <v>5.3574445033561527E-2</v>
      </c>
      <c r="N30" s="41">
        <f t="shared" si="6"/>
        <v>1.8135167231972509</v>
      </c>
      <c r="O30" s="41"/>
      <c r="P30" s="41">
        <f t="shared" si="15"/>
        <v>8.8640829329950845E-3</v>
      </c>
      <c r="R30" s="65">
        <f t="shared" ref="R30:Y45" si="19">(($D30/((1+R$10)^$M$7))+$G30+$H30+IF($M$3="Yes",$E30/((1+R$10)^$M$7),0)+IF($M$4="Yes",$F30)-($B30*(1+$M$5))-$C30)/((1+R$10)^($A30-1))</f>
        <v>-4.9231135737803386</v>
      </c>
      <c r="S30" s="65">
        <f t="shared" si="19"/>
        <v>-4.1569662692835578</v>
      </c>
      <c r="T30" s="65">
        <f t="shared" si="19"/>
        <v>-3.5159034051568741</v>
      </c>
      <c r="U30" s="65">
        <f t="shared" si="19"/>
        <v>-2.9785646768987304</v>
      </c>
      <c r="V30" s="65">
        <f t="shared" si="19"/>
        <v>-2.5273947950685209</v>
      </c>
      <c r="W30" s="65">
        <f t="shared" si="19"/>
        <v>-2.1479381449724118</v>
      </c>
      <c r="X30" s="65">
        <f t="shared" si="19"/>
        <v>-1.8282692100137206</v>
      </c>
      <c r="Y30" s="65">
        <f t="shared" si="19"/>
        <v>-1.5585316788050978</v>
      </c>
    </row>
    <row r="31" spans="1:25" x14ac:dyDescent="0.25">
      <c r="A31" s="21">
        <v>19</v>
      </c>
      <c r="B31" s="22">
        <f>B$2*'Cost Distribution By Year'!C38</f>
        <v>0.22437652068126518</v>
      </c>
      <c r="C31" s="25">
        <f t="shared" ref="C31:F46" si="20">C30*(1+C$10)</f>
        <v>6.02</v>
      </c>
      <c r="D31" s="23">
        <f>FishHarvestTimeTrends!AC40*((1+D$10)^MIN($A31,20))</f>
        <v>1.39220916064338</v>
      </c>
      <c r="E31" s="23">
        <f>FishHarvestTimeTrends!AD40*((1+E$10)^MIN($A31,20))</f>
        <v>0.19232198904887243</v>
      </c>
      <c r="F31" s="23">
        <f t="shared" si="20"/>
        <v>5.7314284926801413</v>
      </c>
      <c r="H31" s="22">
        <f t="shared" si="16"/>
        <v>2.8000000000000001E-2</v>
      </c>
      <c r="I31" s="22"/>
      <c r="J31" s="41">
        <f t="shared" si="9"/>
        <v>6.638491613937321E-2</v>
      </c>
      <c r="K31" s="41">
        <f t="shared" si="6"/>
        <v>1.7811007762560214</v>
      </c>
      <c r="L31" s="41">
        <f t="shared" si="17"/>
        <v>0.41190445460675551</v>
      </c>
      <c r="M31" s="41">
        <f t="shared" si="18"/>
        <v>5.690113687475893E-2</v>
      </c>
      <c r="N31" s="41">
        <f t="shared" si="6"/>
        <v>1.6957228799615414</v>
      </c>
      <c r="O31" s="41"/>
      <c r="P31" s="41">
        <f t="shared" si="15"/>
        <v>8.2841896570047518E-3</v>
      </c>
      <c r="R31" s="65">
        <f t="shared" si="19"/>
        <v>-4.6991583271933912</v>
      </c>
      <c r="S31" s="65">
        <f t="shared" si="19"/>
        <v>-3.9285777236588437</v>
      </c>
      <c r="T31" s="65">
        <f t="shared" si="19"/>
        <v>-3.290159757232229</v>
      </c>
      <c r="U31" s="65">
        <f t="shared" si="19"/>
        <v>-2.7602602617285497</v>
      </c>
      <c r="V31" s="65">
        <f t="shared" si="19"/>
        <v>-2.3196366953871594</v>
      </c>
      <c r="W31" s="65">
        <f t="shared" si="19"/>
        <v>-1.9525973454413845</v>
      </c>
      <c r="X31" s="65">
        <f t="shared" si="19"/>
        <v>-1.6463209434653026</v>
      </c>
      <c r="Y31" s="65">
        <f t="shared" si="19"/>
        <v>-1.3903113860986871</v>
      </c>
    </row>
    <row r="32" spans="1:25" x14ac:dyDescent="0.25">
      <c r="A32" s="21">
        <v>20</v>
      </c>
      <c r="C32" s="25">
        <f t="shared" si="20"/>
        <v>6.02</v>
      </c>
      <c r="D32" s="23">
        <f>FishHarvestTimeTrends!AC41*((1+D$10)^MIN($A32,20))</f>
        <v>1.5349635383133331</v>
      </c>
      <c r="E32" s="23">
        <f>FishHarvestTimeTrends!AD41*((1+E$10)^MIN($A32,20))</f>
        <v>0.215435254115938</v>
      </c>
      <c r="F32" s="23">
        <f t="shared" si="20"/>
        <v>5.7342942069264815</v>
      </c>
      <c r="H32" s="22">
        <f t="shared" si="16"/>
        <v>2.8000000000000001E-2</v>
      </c>
      <c r="I32" s="22"/>
      <c r="J32" s="41"/>
      <c r="K32" s="41">
        <f t="shared" si="6"/>
        <v>1.6645801647252536</v>
      </c>
      <c r="L32" s="41">
        <f t="shared" si="17"/>
        <v>0.42443020921143959</v>
      </c>
      <c r="M32" s="41">
        <f t="shared" si="18"/>
        <v>5.9569642987364613E-2</v>
      </c>
      <c r="N32" s="41">
        <f t="shared" si="6"/>
        <v>1.5855801321509553</v>
      </c>
      <c r="O32" s="41"/>
      <c r="P32" s="41">
        <f t="shared" si="15"/>
        <v>7.7422333243035062E-3</v>
      </c>
      <c r="R32" s="65">
        <f t="shared" si="19"/>
        <v>-4.2416012075707279</v>
      </c>
      <c r="S32" s="65">
        <f t="shared" si="19"/>
        <v>-3.5109426231909913</v>
      </c>
      <c r="T32" s="65">
        <f t="shared" si="19"/>
        <v>-2.911565539555053</v>
      </c>
      <c r="U32" s="65">
        <f t="shared" si="19"/>
        <v>-2.4189258999861738</v>
      </c>
      <c r="V32" s="65">
        <f t="shared" si="19"/>
        <v>-2.013243879011994</v>
      </c>
      <c r="W32" s="65">
        <f t="shared" si="19"/>
        <v>-1.6785456299585677</v>
      </c>
      <c r="X32" s="65">
        <f t="shared" si="19"/>
        <v>-1.4019043844514525</v>
      </c>
      <c r="Y32" s="65">
        <f t="shared" si="19"/>
        <v>-1.1728380792021458</v>
      </c>
    </row>
    <row r="33" spans="1:25" x14ac:dyDescent="0.25">
      <c r="A33" s="21">
        <v>21</v>
      </c>
      <c r="C33" s="25">
        <f>C32</f>
        <v>6.02</v>
      </c>
      <c r="D33" s="23">
        <f>FishHarvestTimeTrends!AC42*((1+D$10)^MIN($A33,20))</f>
        <v>1.5772550471010494</v>
      </c>
      <c r="E33" s="23">
        <f>FishHarvestTimeTrends!AD42*((1+E$10)^MIN($A33,20))</f>
        <v>0.22230750690404252</v>
      </c>
      <c r="F33" s="23">
        <f t="shared" si="20"/>
        <v>5.7371613540299444</v>
      </c>
      <c r="H33" s="22">
        <f t="shared" si="16"/>
        <v>2.8000000000000001E-2</v>
      </c>
      <c r="I33" s="22"/>
      <c r="J33" s="41"/>
      <c r="K33" s="41">
        <f t="shared" si="6"/>
        <v>1.5556823969394895</v>
      </c>
      <c r="L33" s="41">
        <f t="shared" si="17"/>
        <v>0.4075926764549947</v>
      </c>
      <c r="M33" s="41">
        <f t="shared" si="18"/>
        <v>5.7448484252179903E-2</v>
      </c>
      <c r="N33" s="41">
        <f t="shared" si="6"/>
        <v>1.4825915160906831</v>
      </c>
      <c r="O33" s="41"/>
      <c r="P33" s="41">
        <f t="shared" si="15"/>
        <v>7.2357320787883239E-3</v>
      </c>
      <c r="R33" s="65">
        <f t="shared" si="19"/>
        <v>-4.1924374459949076</v>
      </c>
      <c r="S33" s="65">
        <f t="shared" si="19"/>
        <v>-3.4358889261001404</v>
      </c>
      <c r="T33" s="65">
        <f t="shared" si="19"/>
        <v>-2.8213902170033336</v>
      </c>
      <c r="U33" s="65">
        <f t="shared" si="19"/>
        <v>-2.3212509647902624</v>
      </c>
      <c r="V33" s="65">
        <f t="shared" si="19"/>
        <v>-1.9133737231175603</v>
      </c>
      <c r="W33" s="65">
        <f t="shared" si="19"/>
        <v>-1.5800855809984242</v>
      </c>
      <c r="X33" s="65">
        <f t="shared" si="19"/>
        <v>-1.3072218128354349</v>
      </c>
      <c r="Y33" s="65">
        <f t="shared" si="19"/>
        <v>-1.0834055041535264</v>
      </c>
    </row>
    <row r="34" spans="1:25" x14ac:dyDescent="0.25">
      <c r="A34" s="21">
        <v>22</v>
      </c>
      <c r="C34" s="25">
        <f t="shared" ref="C34:C97" si="21">C33</f>
        <v>6.02</v>
      </c>
      <c r="D34" s="23">
        <f>FishHarvestTimeTrends!AC43*((1+D$10)^MIN($A34,20))</f>
        <v>1.6195465558887661</v>
      </c>
      <c r="E34" s="23">
        <f>FishHarvestTimeTrends!AD43*((1+E$10)^MIN($A34,20))</f>
        <v>0.22917975969214707</v>
      </c>
      <c r="F34" s="23">
        <f t="shared" si="20"/>
        <v>5.7400299347069588</v>
      </c>
      <c r="H34" s="22">
        <f t="shared" si="16"/>
        <v>2.8000000000000001E-2</v>
      </c>
      <c r="I34" s="22"/>
      <c r="J34" s="41"/>
      <c r="K34" s="41">
        <f t="shared" si="6"/>
        <v>1.4539087821864387</v>
      </c>
      <c r="L34" s="41">
        <f t="shared" si="17"/>
        <v>0.39114168783496295</v>
      </c>
      <c r="M34" s="41">
        <f t="shared" si="18"/>
        <v>5.5349911182024959E-2</v>
      </c>
      <c r="N34" s="41">
        <f t="shared" si="6"/>
        <v>1.3862923475221758</v>
      </c>
      <c r="O34" s="41"/>
      <c r="P34" s="41">
        <f t="shared" si="15"/>
        <v>6.7623664287741339E-3</v>
      </c>
      <c r="R34" s="65">
        <f t="shared" si="19"/>
        <v>-4.1432736844190865</v>
      </c>
      <c r="S34" s="65">
        <f t="shared" si="19"/>
        <v>-3.3619772645145498</v>
      </c>
      <c r="T34" s="65">
        <f t="shared" si="19"/>
        <v>-2.7336317792500462</v>
      </c>
      <c r="U34" s="65">
        <f t="shared" si="19"/>
        <v>-2.2272137689525562</v>
      </c>
      <c r="V34" s="65">
        <f t="shared" si="19"/>
        <v>-1.818207715488656</v>
      </c>
      <c r="W34" s="65">
        <f t="shared" si="19"/>
        <v>-1.4871964536400204</v>
      </c>
      <c r="X34" s="65">
        <f t="shared" si="19"/>
        <v>-1.2187663392307482</v>
      </c>
      <c r="Y34" s="65">
        <f t="shared" si="19"/>
        <v>-1.0006548167406766</v>
      </c>
    </row>
    <row r="35" spans="1:25" x14ac:dyDescent="0.25">
      <c r="A35" s="21">
        <v>23</v>
      </c>
      <c r="C35" s="25">
        <f t="shared" si="21"/>
        <v>6.02</v>
      </c>
      <c r="D35" s="23">
        <f>FishHarvestTimeTrends!AC44*((1+D$10)^MIN($A35,20))</f>
        <v>1.6618380646764821</v>
      </c>
      <c r="E35" s="23">
        <f>FishHarvestTimeTrends!AD44*((1+E$10)^MIN($A35,20))</f>
        <v>0.23605201248025157</v>
      </c>
      <c r="F35" s="23">
        <f t="shared" si="20"/>
        <v>5.7428999496743121</v>
      </c>
      <c r="H35" s="22">
        <f t="shared" si="16"/>
        <v>2.8000000000000001E-2</v>
      </c>
      <c r="I35" s="22"/>
      <c r="J35" s="41"/>
      <c r="K35" s="41">
        <f t="shared" si="6"/>
        <v>1.3587932543798493</v>
      </c>
      <c r="L35" s="41">
        <f t="shared" si="17"/>
        <v>0.37509872959369894</v>
      </c>
      <c r="M35" s="41">
        <f t="shared" si="18"/>
        <v>5.3280046883879377E-2</v>
      </c>
      <c r="N35" s="41">
        <f t="shared" si="6"/>
        <v>1.2962481249494737</v>
      </c>
      <c r="O35" s="41"/>
      <c r="P35" s="41">
        <f t="shared" si="15"/>
        <v>6.319968625022555E-3</v>
      </c>
      <c r="R35" s="65">
        <f t="shared" si="19"/>
        <v>-4.0941099228432662</v>
      </c>
      <c r="S35" s="65">
        <f t="shared" si="19"/>
        <v>-3.2891923813540336</v>
      </c>
      <c r="T35" s="65">
        <f t="shared" si="19"/>
        <v>-2.6482301159811228</v>
      </c>
      <c r="U35" s="65">
        <f t="shared" si="19"/>
        <v>-2.1366852665208813</v>
      </c>
      <c r="V35" s="65">
        <f t="shared" si="19"/>
        <v>-1.7275317354833999</v>
      </c>
      <c r="W35" s="65">
        <f t="shared" si="19"/>
        <v>-1.3995709493384301</v>
      </c>
      <c r="X35" s="65">
        <f t="shared" si="19"/>
        <v>-1.1361363708915555</v>
      </c>
      <c r="Y35" s="65">
        <f t="shared" si="19"/>
        <v>-0.92409450927724845</v>
      </c>
    </row>
    <row r="36" spans="1:25" x14ac:dyDescent="0.25">
      <c r="A36" s="21">
        <v>24</v>
      </c>
      <c r="C36" s="25">
        <f t="shared" si="21"/>
        <v>6.02</v>
      </c>
      <c r="D36" s="23">
        <f>FishHarvestTimeTrends!AC45*((1+D$10)^MIN($A36,20))</f>
        <v>1.7041295734641988</v>
      </c>
      <c r="E36" s="23">
        <f>FishHarvestTimeTrends!AD45*((1+E$10)^MIN($A36,20))</f>
        <v>0.24292426526835609</v>
      </c>
      <c r="F36" s="23">
        <f t="shared" si="20"/>
        <v>5.7457713996491488</v>
      </c>
      <c r="H36" s="22">
        <f t="shared" si="16"/>
        <v>2.8000000000000001E-2</v>
      </c>
      <c r="I36" s="22"/>
      <c r="J36" s="41"/>
      <c r="K36" s="41">
        <f t="shared" si="6"/>
        <v>1.2699002377381767</v>
      </c>
      <c r="L36" s="41">
        <f t="shared" si="17"/>
        <v>0.3594808223386784</v>
      </c>
      <c r="M36" s="41">
        <f t="shared" si="18"/>
        <v>5.1244116647285273E-2</v>
      </c>
      <c r="N36" s="41">
        <f t="shared" si="6"/>
        <v>1.2120525691700452</v>
      </c>
      <c r="O36" s="41"/>
      <c r="P36" s="41">
        <f t="shared" si="15"/>
        <v>5.9065127336659397E-3</v>
      </c>
      <c r="R36" s="65">
        <f t="shared" si="19"/>
        <v>-4.0449461612674451</v>
      </c>
      <c r="S36" s="65">
        <f t="shared" si="19"/>
        <v>-3.2175192097055181</v>
      </c>
      <c r="T36" s="65">
        <f t="shared" si="19"/>
        <v>-2.5651265449360294</v>
      </c>
      <c r="U36" s="65">
        <f t="shared" si="19"/>
        <v>-2.0495408427565835</v>
      </c>
      <c r="V36" s="65">
        <f t="shared" si="19"/>
        <v>-1.6411411744793043</v>
      </c>
      <c r="W36" s="65">
        <f t="shared" si="19"/>
        <v>-1.3169184036015256</v>
      </c>
      <c r="X36" s="65">
        <f t="shared" si="19"/>
        <v>-1.0589558268595134</v>
      </c>
      <c r="Y36" s="65">
        <f t="shared" si="19"/>
        <v>-0.85326878601854728</v>
      </c>
    </row>
    <row r="37" spans="1:25" x14ac:dyDescent="0.25">
      <c r="A37" s="21">
        <v>25</v>
      </c>
      <c r="C37" s="25">
        <f t="shared" si="21"/>
        <v>6.02</v>
      </c>
      <c r="D37" s="23">
        <f>FishHarvestTimeTrends!AC46*((1+D$10)^MIN($A37,20))</f>
        <v>1.7464210822519153</v>
      </c>
      <c r="E37" s="23">
        <f>FishHarvestTimeTrends!AD46*((1+E$10)^MIN($A37,20))</f>
        <v>0.24979651805646064</v>
      </c>
      <c r="F37" s="23">
        <f t="shared" si="20"/>
        <v>5.7486442853489734</v>
      </c>
      <c r="H37" s="22">
        <f t="shared" si="16"/>
        <v>2.8000000000000001E-2</v>
      </c>
      <c r="I37" s="22"/>
      <c r="J37" s="41"/>
      <c r="K37" s="41">
        <f t="shared" si="6"/>
        <v>1.186822652091754</v>
      </c>
      <c r="L37" s="41">
        <f t="shared" si="17"/>
        <v>0.34430101337328395</v>
      </c>
      <c r="M37" s="41">
        <f t="shared" si="18"/>
        <v>4.9246539209809689E-2</v>
      </c>
      <c r="N37" s="41">
        <f t="shared" si="6"/>
        <v>1.1333257901445142</v>
      </c>
      <c r="O37" s="41"/>
      <c r="P37" s="41">
        <f t="shared" si="15"/>
        <v>5.5201053585662982E-3</v>
      </c>
      <c r="R37" s="65">
        <f t="shared" si="19"/>
        <v>-3.9957823996916235</v>
      </c>
      <c r="S37" s="65">
        <f t="shared" si="19"/>
        <v>-3.1469428705529956</v>
      </c>
      <c r="T37" s="65">
        <f t="shared" si="19"/>
        <v>-2.4842637790161244</v>
      </c>
      <c r="U37" s="65">
        <f t="shared" si="19"/>
        <v>-1.9656601654799515</v>
      </c>
      <c r="V37" s="65">
        <f t="shared" si="19"/>
        <v>-1.5588405209259915</v>
      </c>
      <c r="W37" s="65">
        <f t="shared" si="19"/>
        <v>-1.2389638986165752</v>
      </c>
      <c r="X37" s="65">
        <f t="shared" si="19"/>
        <v>-0.98687253653489948</v>
      </c>
      <c r="Y37" s="65">
        <f t="shared" si="19"/>
        <v>-0.78775499415009398</v>
      </c>
    </row>
    <row r="38" spans="1:25" x14ac:dyDescent="0.25">
      <c r="A38" s="21">
        <v>26</v>
      </c>
      <c r="C38" s="25">
        <f t="shared" si="21"/>
        <v>6.02</v>
      </c>
      <c r="D38" s="23">
        <f>FishHarvestTimeTrends!AC47*((1+D$10)^MIN($A38,20))</f>
        <v>1.760188261198198</v>
      </c>
      <c r="E38" s="23">
        <f>FishHarvestTimeTrends!AD47*((1+E$10)^MIN($A38,20))</f>
        <v>0.25174364840002228</v>
      </c>
      <c r="F38" s="23">
        <f t="shared" si="20"/>
        <v>5.751518607491648</v>
      </c>
      <c r="H38" s="22">
        <f t="shared" si="16"/>
        <v>2.8000000000000001E-2</v>
      </c>
      <c r="I38" s="22"/>
      <c r="J38" s="41"/>
      <c r="K38" s="41">
        <f t="shared" si="6"/>
        <v>1.1091800486838821</v>
      </c>
      <c r="L38" s="41">
        <f t="shared" si="17"/>
        <v>0.32431323941006901</v>
      </c>
      <c r="M38" s="41">
        <f t="shared" si="18"/>
        <v>4.6383560164151967E-2</v>
      </c>
      <c r="N38" s="41">
        <f t="shared" si="6"/>
        <v>1.0597125729341927</v>
      </c>
      <c r="O38" s="41"/>
      <c r="P38" s="41">
        <f t="shared" si="15"/>
        <v>5.1589769706227081E-3</v>
      </c>
      <c r="R38" s="65">
        <f t="shared" si="19"/>
        <v>-3.9800680904017791</v>
      </c>
      <c r="S38" s="65">
        <f t="shared" si="19"/>
        <v>-3.1035314978618356</v>
      </c>
      <c r="T38" s="65">
        <f t="shared" si="19"/>
        <v>-2.4259743679044226</v>
      </c>
      <c r="U38" s="65">
        <f t="shared" si="19"/>
        <v>-1.9009026860165084</v>
      </c>
      <c r="V38" s="65">
        <f t="shared" si="19"/>
        <v>-1.4929904148245554</v>
      </c>
      <c r="W38" s="65">
        <f t="shared" si="19"/>
        <v>-1.1753251386414645</v>
      </c>
      <c r="X38" s="65">
        <f t="shared" si="19"/>
        <v>-0.92735041437586807</v>
      </c>
      <c r="Y38" s="65">
        <f t="shared" si="19"/>
        <v>-0.7333242721390385</v>
      </c>
    </row>
    <row r="39" spans="1:25" x14ac:dyDescent="0.25">
      <c r="A39" s="21">
        <v>27</v>
      </c>
      <c r="C39" s="25">
        <f t="shared" si="21"/>
        <v>6.02</v>
      </c>
      <c r="D39" s="23">
        <f>FishHarvestTimeTrends!AC48*((1+D$10)^MIN($A39,20))</f>
        <v>1.7739554401444804</v>
      </c>
      <c r="E39" s="23">
        <f>FishHarvestTimeTrends!AD48*((1+E$10)^MIN($A39,20))</f>
        <v>0.25369077874358398</v>
      </c>
      <c r="F39" s="23">
        <f t="shared" si="20"/>
        <v>5.7543943667953936</v>
      </c>
      <c r="H39" s="22">
        <f t="shared" si="16"/>
        <v>2.8000000000000001E-2</v>
      </c>
      <c r="I39" s="22"/>
      <c r="J39" s="41"/>
      <c r="K39" s="41">
        <f t="shared" si="6"/>
        <v>1.0366168679288619</v>
      </c>
      <c r="L39" s="41">
        <f t="shared" si="17"/>
        <v>0.30546713159600286</v>
      </c>
      <c r="M39" s="41">
        <f t="shared" si="18"/>
        <v>4.36844087182073E-2</v>
      </c>
      <c r="N39" s="41">
        <f t="shared" si="6"/>
        <v>0.99088077497257943</v>
      </c>
      <c r="O39" s="41"/>
      <c r="P39" s="41">
        <f t="shared" si="15"/>
        <v>4.8214738043202889E-3</v>
      </c>
      <c r="R39" s="65">
        <f t="shared" si="19"/>
        <v>-3.9643537811119351</v>
      </c>
      <c r="S39" s="65">
        <f t="shared" si="19"/>
        <v>-3.0606712627467041</v>
      </c>
      <c r="T39" s="65">
        <f t="shared" si="19"/>
        <v>-2.3690156973365033</v>
      </c>
      <c r="U39" s="65">
        <f t="shared" si="19"/>
        <v>-1.8382499460025032</v>
      </c>
      <c r="V39" s="65">
        <f t="shared" si="19"/>
        <v>-1.4298997243981919</v>
      </c>
      <c r="W39" s="65">
        <f t="shared" si="19"/>
        <v>-1.1149377710027215</v>
      </c>
      <c r="X39" s="65">
        <f t="shared" si="19"/>
        <v>-0.87140471870945257</v>
      </c>
      <c r="Y39" s="65">
        <f t="shared" si="19"/>
        <v>-0.68264385381033155</v>
      </c>
    </row>
    <row r="40" spans="1:25" x14ac:dyDescent="0.25">
      <c r="A40" s="21">
        <v>28</v>
      </c>
      <c r="C40" s="25">
        <f t="shared" si="21"/>
        <v>6.02</v>
      </c>
      <c r="D40" s="23">
        <f>FishHarvestTimeTrends!AC49*((1+D$10)^MIN($A40,20))</f>
        <v>1.7877226190907629</v>
      </c>
      <c r="E40" s="23">
        <f>FishHarvestTimeTrends!AD49*((1+E$10)^MIN($A40,20))</f>
        <v>0.25563790908714551</v>
      </c>
      <c r="F40" s="23">
        <f t="shared" si="20"/>
        <v>5.757271563978791</v>
      </c>
      <c r="H40" s="22">
        <f t="shared" si="16"/>
        <v>2.8000000000000001E-2</v>
      </c>
      <c r="I40" s="22"/>
      <c r="J40" s="41"/>
      <c r="K40" s="41">
        <f t="shared" si="6"/>
        <v>0.96880081114846894</v>
      </c>
      <c r="L40" s="41">
        <f t="shared" si="17"/>
        <v>0.28769885772152765</v>
      </c>
      <c r="M40" s="41">
        <f t="shared" si="18"/>
        <v>4.1139902605303182E-2</v>
      </c>
      <c r="N40" s="41">
        <f t="shared" si="6"/>
        <v>0.92651982743931349</v>
      </c>
      <c r="O40" s="41"/>
      <c r="P40" s="41">
        <f t="shared" si="15"/>
        <v>4.5060502844114832E-3</v>
      </c>
      <c r="R40" s="65">
        <f t="shared" si="19"/>
        <v>-3.9486394718220912</v>
      </c>
      <c r="S40" s="65">
        <f t="shared" si="19"/>
        <v>-3.0183555071919499</v>
      </c>
      <c r="T40" s="65">
        <f t="shared" si="19"/>
        <v>-2.3133579917935836</v>
      </c>
      <c r="U40" s="65">
        <f t="shared" si="19"/>
        <v>-1.7776342753781214</v>
      </c>
      <c r="V40" s="65">
        <f t="shared" si="19"/>
        <v>-1.369453598302222</v>
      </c>
      <c r="W40" s="65">
        <f t="shared" si="19"/>
        <v>-1.0576364448655335</v>
      </c>
      <c r="X40" s="65">
        <f t="shared" si="19"/>
        <v>-0.81882127918135572</v>
      </c>
      <c r="Y40" s="65">
        <f t="shared" si="19"/>
        <v>-0.63545600053722662</v>
      </c>
    </row>
    <row r="41" spans="1:25" x14ac:dyDescent="0.25">
      <c r="A41" s="21">
        <v>29</v>
      </c>
      <c r="C41" s="25">
        <f t="shared" si="21"/>
        <v>6.02</v>
      </c>
      <c r="D41" s="23">
        <f>FishHarvestTimeTrends!AC50*((1+D$10)^MIN($A41,20))</f>
        <v>1.8014897980370457</v>
      </c>
      <c r="E41" s="23">
        <f>FishHarvestTimeTrends!AD50*((1+E$10)^MIN($A41,20))</f>
        <v>0.25758503943070721</v>
      </c>
      <c r="F41" s="23">
        <f t="shared" si="20"/>
        <v>5.7601501997607798</v>
      </c>
      <c r="H41" s="22">
        <f t="shared" si="16"/>
        <v>2.8000000000000001E-2</v>
      </c>
      <c r="I41" s="22"/>
      <c r="J41" s="41"/>
      <c r="K41" s="41">
        <f t="shared" si="6"/>
        <v>0.90542131883034493</v>
      </c>
      <c r="L41" s="41">
        <f t="shared" si="17"/>
        <v>0.27094805129536775</v>
      </c>
      <c r="M41" s="41">
        <f t="shared" si="18"/>
        <v>3.8741359819321815E-2</v>
      </c>
      <c r="N41" s="41">
        <f t="shared" si="6"/>
        <v>0.86633933397479745</v>
      </c>
      <c r="O41" s="41"/>
      <c r="P41" s="41">
        <f t="shared" si="15"/>
        <v>4.2112619480481166E-3</v>
      </c>
      <c r="R41" s="65">
        <f t="shared" si="19"/>
        <v>-3.9329251625322468</v>
      </c>
      <c r="S41" s="65">
        <f t="shared" si="19"/>
        <v>-2.9765776509960129</v>
      </c>
      <c r="T41" s="65">
        <f t="shared" si="19"/>
        <v>-2.2589721317977762</v>
      </c>
      <c r="U41" s="65">
        <f t="shared" si="19"/>
        <v>-1.7189901605018627</v>
      </c>
      <c r="V41" s="65">
        <f t="shared" si="19"/>
        <v>-1.3115419379349387</v>
      </c>
      <c r="W41" s="65">
        <f t="shared" si="19"/>
        <v>-1.0032641843219039</v>
      </c>
      <c r="X41" s="65">
        <f t="shared" si="19"/>
        <v>-0.76939871231311996</v>
      </c>
      <c r="Y41" s="65">
        <f t="shared" si="19"/>
        <v>-0.59152064576760732</v>
      </c>
    </row>
    <row r="42" spans="1:25" x14ac:dyDescent="0.25">
      <c r="A42" s="21">
        <v>30</v>
      </c>
      <c r="C42" s="25">
        <f t="shared" si="21"/>
        <v>6.02</v>
      </c>
      <c r="D42" s="23">
        <f>FishHarvestTimeTrends!AC51*((1+D$10)^MIN($A42,20))</f>
        <v>1.8152569769833287</v>
      </c>
      <c r="E42" s="23">
        <f>FishHarvestTimeTrends!AD51*((1+E$10)^MIN($A42,20))</f>
        <v>0.25953216977426885</v>
      </c>
      <c r="F42" s="23">
        <f t="shared" si="20"/>
        <v>5.7630302748606601</v>
      </c>
      <c r="H42" s="22">
        <f t="shared" si="16"/>
        <v>2.8000000000000001E-2</v>
      </c>
      <c r="I42" s="22"/>
      <c r="J42" s="41"/>
      <c r="K42" s="41">
        <f t="shared" si="6"/>
        <v>0.84618814843957468</v>
      </c>
      <c r="L42" s="41">
        <f t="shared" si="17"/>
        <v>0.25515763127832936</v>
      </c>
      <c r="M42" s="41">
        <f t="shared" si="18"/>
        <v>3.6480572458769754E-2</v>
      </c>
      <c r="N42" s="41">
        <f t="shared" si="6"/>
        <v>0.81006776041288298</v>
      </c>
      <c r="O42" s="41"/>
      <c r="P42" s="41">
        <f t="shared" si="15"/>
        <v>3.9357588299515104E-3</v>
      </c>
      <c r="R42" s="65">
        <f t="shared" si="19"/>
        <v>-3.9172108532424019</v>
      </c>
      <c r="S42" s="65">
        <f t="shared" si="19"/>
        <v>-2.9353311908832427</v>
      </c>
      <c r="T42" s="65">
        <f t="shared" si="19"/>
        <v>-2.2058296396327184</v>
      </c>
      <c r="U42" s="65">
        <f t="shared" si="19"/>
        <v>-1.6622541759409144</v>
      </c>
      <c r="V42" s="65">
        <f t="shared" si="19"/>
        <v>-1.2560592017404313</v>
      </c>
      <c r="W42" s="65">
        <f t="shared" si="19"/>
        <v>-0.95167196572377699</v>
      </c>
      <c r="X42" s="65">
        <f t="shared" si="19"/>
        <v>-0.7229476601303475</v>
      </c>
      <c r="Y42" s="65">
        <f t="shared" si="19"/>
        <v>-0.55061418587252409</v>
      </c>
    </row>
    <row r="43" spans="1:25" x14ac:dyDescent="0.25">
      <c r="A43" s="21">
        <v>31</v>
      </c>
      <c r="C43" s="25">
        <f t="shared" si="21"/>
        <v>6.02</v>
      </c>
      <c r="D43" s="23">
        <f>FishHarvestTimeTrends!AC52*((1+D$10)^MIN($A43,20))</f>
        <v>1.8175671943521008</v>
      </c>
      <c r="E43" s="23">
        <f>FishHarvestTimeTrends!AD52*((1+E$10)^MIN($A43,20))</f>
        <v>0.25986654218280919</v>
      </c>
      <c r="F43" s="23">
        <f t="shared" si="20"/>
        <v>5.7659117899980901</v>
      </c>
      <c r="H43" s="22">
        <f t="shared" si="16"/>
        <v>2.8000000000000001E-2</v>
      </c>
      <c r="I43" s="22"/>
      <c r="J43" s="41"/>
      <c r="K43" s="41">
        <f t="shared" si="6"/>
        <v>0.79083004527063061</v>
      </c>
      <c r="L43" s="41">
        <f t="shared" si="17"/>
        <v>0.23876856255679152</v>
      </c>
      <c r="M43" s="41">
        <f t="shared" si="18"/>
        <v>3.413791849148725E-2</v>
      </c>
      <c r="N43" s="41">
        <f t="shared" si="6"/>
        <v>0.75745120961970969</v>
      </c>
      <c r="O43" s="41"/>
      <c r="P43" s="41">
        <f t="shared" si="15"/>
        <v>3.6782792803285148E-3</v>
      </c>
      <c r="R43" s="65">
        <f t="shared" si="19"/>
        <v>-3.9145662634650895</v>
      </c>
      <c r="S43" s="65">
        <f t="shared" si="19"/>
        <v>-2.9043064240610583</v>
      </c>
      <c r="T43" s="65">
        <f t="shared" si="19"/>
        <v>-2.1611180770419445</v>
      </c>
      <c r="U43" s="65">
        <f t="shared" si="19"/>
        <v>-1.612749469795274</v>
      </c>
      <c r="V43" s="65">
        <f t="shared" si="19"/>
        <v>-1.2069338560452456</v>
      </c>
      <c r="W43" s="65">
        <f t="shared" si="19"/>
        <v>-0.9057423546348482</v>
      </c>
      <c r="X43" s="65">
        <f t="shared" si="19"/>
        <v>-0.68156564459025926</v>
      </c>
      <c r="Y43" s="65">
        <f t="shared" si="19"/>
        <v>-0.51424528494202326</v>
      </c>
    </row>
    <row r="44" spans="1:25" x14ac:dyDescent="0.25">
      <c r="A44" s="21">
        <v>32</v>
      </c>
      <c r="C44" s="25">
        <f t="shared" si="21"/>
        <v>6.02</v>
      </c>
      <c r="D44" s="23">
        <f>FishHarvestTimeTrends!AC53*((1+D$10)^MIN($A44,20))</f>
        <v>1.8198774117208731</v>
      </c>
      <c r="E44" s="23">
        <f>FishHarvestTimeTrends!AD53*((1+E$10)^MIN($A44,20))</f>
        <v>0.26020091459134953</v>
      </c>
      <c r="F44" s="23">
        <f t="shared" si="20"/>
        <v>5.7687947458930884</v>
      </c>
      <c r="H44" s="22">
        <f t="shared" si="16"/>
        <v>2.8000000000000001E-2</v>
      </c>
      <c r="I44" s="22"/>
      <c r="J44" s="41"/>
      <c r="K44" s="41">
        <f t="shared" si="6"/>
        <v>0.73909350025292564</v>
      </c>
      <c r="L44" s="41">
        <f t="shared" si="17"/>
        <v>0.22343182163787623</v>
      </c>
      <c r="M44" s="41">
        <f t="shared" si="18"/>
        <v>3.1945648626965632E-2</v>
      </c>
      <c r="N44" s="41">
        <f t="shared" si="6"/>
        <v>0.70825227591076578</v>
      </c>
      <c r="O44" s="41"/>
      <c r="P44" s="41">
        <f t="shared" si="15"/>
        <v>3.4376441872229105E-3</v>
      </c>
      <c r="R44" s="65">
        <f t="shared" si="19"/>
        <v>-3.9119216736877771</v>
      </c>
      <c r="S44" s="65">
        <f t="shared" si="19"/>
        <v>-2.8736082597001245</v>
      </c>
      <c r="T44" s="65">
        <f t="shared" si="19"/>
        <v>-2.1173118392280363</v>
      </c>
      <c r="U44" s="65">
        <f t="shared" si="19"/>
        <v>-1.5647183823521067</v>
      </c>
      <c r="V44" s="65">
        <f t="shared" si="19"/>
        <v>-1.1597293073536235</v>
      </c>
      <c r="W44" s="65">
        <f t="shared" si="19"/>
        <v>-0.86202900590422094</v>
      </c>
      <c r="X44" s="65">
        <f t="shared" si="19"/>
        <v>-0.64255207048860963</v>
      </c>
      <c r="Y44" s="65">
        <f t="shared" si="19"/>
        <v>-0.48027838580086091</v>
      </c>
    </row>
    <row r="45" spans="1:25" x14ac:dyDescent="0.25">
      <c r="A45" s="21">
        <v>33</v>
      </c>
      <c r="C45" s="25">
        <f t="shared" si="21"/>
        <v>6.02</v>
      </c>
      <c r="D45" s="23">
        <f>FishHarvestTimeTrends!AC54*((1+D$10)^MIN($A45,20))</f>
        <v>1.8221876290896453</v>
      </c>
      <c r="E45" s="23">
        <f>FishHarvestTimeTrends!AD54*((1+E$10)^MIN($A45,20))</f>
        <v>0.26053528699988981</v>
      </c>
      <c r="F45" s="23">
        <f t="shared" si="20"/>
        <v>5.7716791432660344</v>
      </c>
      <c r="H45" s="22">
        <f t="shared" si="16"/>
        <v>2.8000000000000001E-2</v>
      </c>
      <c r="I45" s="22"/>
      <c r="J45" s="41"/>
      <c r="K45" s="41">
        <f t="shared" si="6"/>
        <v>0.69074158902142591</v>
      </c>
      <c r="L45" s="41">
        <f t="shared" si="17"/>
        <v>0.2090798635236821</v>
      </c>
      <c r="M45" s="41">
        <f t="shared" si="18"/>
        <v>2.9894112647584244E-2</v>
      </c>
      <c r="N45" s="41">
        <f t="shared" si="6"/>
        <v>0.66224897387730952</v>
      </c>
      <c r="O45" s="41"/>
      <c r="P45" s="41">
        <f t="shared" si="15"/>
        <v>3.2127515768438416E-3</v>
      </c>
      <c r="R45" s="65">
        <f t="shared" si="19"/>
        <v>-3.9092770839104647</v>
      </c>
      <c r="S45" s="65">
        <f t="shared" si="19"/>
        <v>-2.8432332717706026</v>
      </c>
      <c r="T45" s="65">
        <f t="shared" si="19"/>
        <v>-2.0743926134018151</v>
      </c>
      <c r="U45" s="65">
        <f t="shared" si="19"/>
        <v>-1.518117068385396</v>
      </c>
      <c r="V45" s="65">
        <f t="shared" si="19"/>
        <v>-1.1143704726796331</v>
      </c>
      <c r="W45" s="65">
        <f t="shared" si="19"/>
        <v>-0.82042499570432303</v>
      </c>
      <c r="X45" s="65">
        <f t="shared" si="19"/>
        <v>-0.60577139982697903</v>
      </c>
      <c r="Y45" s="65">
        <f t="shared" si="19"/>
        <v>-0.44855486127331573</v>
      </c>
    </row>
    <row r="46" spans="1:25" x14ac:dyDescent="0.25">
      <c r="A46" s="21">
        <v>34</v>
      </c>
      <c r="C46" s="25">
        <f t="shared" si="21"/>
        <v>6.02</v>
      </c>
      <c r="D46" s="23">
        <f>FishHarvestTimeTrends!AC55*((1+D$10)^MIN($A46,20))</f>
        <v>1.8244978464584176</v>
      </c>
      <c r="E46" s="23">
        <f>FishHarvestTimeTrends!AD55*((1+E$10)^MIN($A46,20))</f>
        <v>0.26086965940843015</v>
      </c>
      <c r="F46" s="23">
        <f t="shared" si="20"/>
        <v>5.7745649828376671</v>
      </c>
      <c r="H46" s="22">
        <f t="shared" si="16"/>
        <v>2.8000000000000001E-2</v>
      </c>
      <c r="I46" s="22"/>
      <c r="J46" s="41"/>
      <c r="K46" s="41">
        <f t="shared" si="6"/>
        <v>0.64555288693591206</v>
      </c>
      <c r="L46" s="41">
        <f t="shared" si="17"/>
        <v>0.19564947707468205</v>
      </c>
      <c r="M46" s="41">
        <f t="shared" si="18"/>
        <v>2.7974279359651199E-2</v>
      </c>
      <c r="N46" s="41">
        <f t="shared" si="6"/>
        <v>0.61923373678901683</v>
      </c>
      <c r="O46" s="41"/>
      <c r="P46" s="41">
        <f t="shared" si="15"/>
        <v>3.0025715671437771E-3</v>
      </c>
      <c r="R46" s="65">
        <f t="shared" ref="R46:Y61" si="22">(($D46/((1+R$10)^$M$7))+$G46+$H46+IF($M$3="Yes",$E46/((1+R$10)^$M$7),0)+IF($M$4="Yes",$F46)-($B46*(1+$M$5))-$C46)/((1+R$10)^($A46-1))</f>
        <v>-3.9066324941331518</v>
      </c>
      <c r="S46" s="65">
        <f t="shared" si="22"/>
        <v>-2.8131780700681235</v>
      </c>
      <c r="T46" s="65">
        <f t="shared" si="22"/>
        <v>-2.0323424568547352</v>
      </c>
      <c r="U46" s="65">
        <f t="shared" si="22"/>
        <v>-1.4729029866356944</v>
      </c>
      <c r="V46" s="65">
        <f t="shared" si="22"/>
        <v>-1.0707852032359593</v>
      </c>
      <c r="W46" s="65">
        <f t="shared" si="22"/>
        <v>-0.7808285578910269</v>
      </c>
      <c r="X46" s="65">
        <f t="shared" si="22"/>
        <v>-0.57109585007528085</v>
      </c>
      <c r="Y46" s="65">
        <f t="shared" si="22"/>
        <v>-0.41892655893443503</v>
      </c>
    </row>
    <row r="47" spans="1:25" x14ac:dyDescent="0.25">
      <c r="A47" s="21">
        <v>35</v>
      </c>
      <c r="C47" s="25">
        <f t="shared" si="21"/>
        <v>6.02</v>
      </c>
      <c r="D47" s="23">
        <f>FishHarvestTimeTrends!AC56*((1+D$10)^MIN($A47,20))</f>
        <v>1.82680806382719</v>
      </c>
      <c r="E47" s="23">
        <f>FishHarvestTimeTrends!AD56*((1+E$10)^MIN($A47,20))</f>
        <v>0.26120403181697049</v>
      </c>
      <c r="F47" s="23">
        <f t="shared" ref="F47:F62" si="23">F46*(1+F$10)</f>
        <v>5.7774522653290852</v>
      </c>
      <c r="H47" s="22">
        <f t="shared" si="16"/>
        <v>2.8000000000000001E-2</v>
      </c>
      <c r="I47" s="22"/>
      <c r="J47" s="41"/>
      <c r="K47" s="41">
        <f t="shared" si="6"/>
        <v>0.60332045508029164</v>
      </c>
      <c r="L47" s="41">
        <f t="shared" si="17"/>
        <v>0.18308150704527687</v>
      </c>
      <c r="M47" s="41">
        <f t="shared" si="18"/>
        <v>2.6177696901099938E-2</v>
      </c>
      <c r="N47" s="41">
        <f t="shared" si="6"/>
        <v>0.57901248005365547</v>
      </c>
      <c r="O47" s="41"/>
      <c r="P47" s="41">
        <f t="shared" si="15"/>
        <v>2.8061416515362406E-3</v>
      </c>
      <c r="R47" s="65">
        <f t="shared" si="22"/>
        <v>-3.903987904355839</v>
      </c>
      <c r="S47" s="65">
        <f t="shared" si="22"/>
        <v>-2.7834392998402184</v>
      </c>
      <c r="T47" s="65">
        <f t="shared" si="22"/>
        <v>-1.9911437894865871</v>
      </c>
      <c r="U47" s="65">
        <f t="shared" si="22"/>
        <v>-1.4290348610464085</v>
      </c>
      <c r="V47" s="65">
        <f t="shared" si="22"/>
        <v>-1.0289041697958228</v>
      </c>
      <c r="W47" s="65">
        <f t="shared" si="22"/>
        <v>-0.74314283525336389</v>
      </c>
      <c r="X47" s="65">
        <f t="shared" si="22"/>
        <v>-0.53840495045622672</v>
      </c>
      <c r="Y47" s="65">
        <f t="shared" si="22"/>
        <v>-0.39125510948237857</v>
      </c>
    </row>
    <row r="48" spans="1:25" x14ac:dyDescent="0.25">
      <c r="A48" s="21">
        <v>36</v>
      </c>
      <c r="C48" s="25">
        <f t="shared" si="21"/>
        <v>6.02</v>
      </c>
      <c r="D48" s="23">
        <f>FishHarvestTimeTrends!AC57*((1+D$10)^MIN($A48,20))</f>
        <v>1.8291182811959621</v>
      </c>
      <c r="E48" s="23">
        <f>FishHarvestTimeTrends!AD57*((1+E$10)^MIN($A48,20))</f>
        <v>0.26153840422551083</v>
      </c>
      <c r="F48" s="23">
        <f t="shared" si="23"/>
        <v>5.7803409914617498</v>
      </c>
      <c r="H48" s="22">
        <f t="shared" si="16"/>
        <v>2.8000000000000001E-2</v>
      </c>
      <c r="I48" s="22"/>
      <c r="J48" s="41"/>
      <c r="K48" s="41">
        <f t="shared" si="6"/>
        <v>0.56385089259840337</v>
      </c>
      <c r="L48" s="41">
        <f t="shared" si="17"/>
        <v>0.17132059394026589</v>
      </c>
      <c r="M48" s="41">
        <f t="shared" si="18"/>
        <v>2.4496455593241914E-2</v>
      </c>
      <c r="N48" s="41">
        <f t="shared" si="6"/>
        <v>0.54140372550811422</v>
      </c>
      <c r="O48" s="41"/>
      <c r="P48" s="41">
        <f t="shared" si="15"/>
        <v>2.6225622911553647E-3</v>
      </c>
      <c r="R48" s="65">
        <f t="shared" si="22"/>
        <v>-3.9013433145785266</v>
      </c>
      <c r="S48" s="65">
        <f t="shared" si="22"/>
        <v>-2.7540136414166438</v>
      </c>
      <c r="T48" s="65">
        <f t="shared" si="22"/>
        <v>-1.9507793864839509</v>
      </c>
      <c r="U48" s="65">
        <f t="shared" si="22"/>
        <v>-1.386472643151953</v>
      </c>
      <c r="V48" s="65">
        <f t="shared" si="22"/>
        <v>-0.98866075253268515</v>
      </c>
      <c r="W48" s="65">
        <f t="shared" si="22"/>
        <v>-0.70727564275831023</v>
      </c>
      <c r="X48" s="65">
        <f t="shared" si="22"/>
        <v>-0.50758512361331432</v>
      </c>
      <c r="Y48" s="65">
        <f t="shared" si="22"/>
        <v>-0.36541128077374019</v>
      </c>
    </row>
    <row r="49" spans="1:25" x14ac:dyDescent="0.25">
      <c r="A49" s="21">
        <v>37</v>
      </c>
      <c r="C49" s="25">
        <f t="shared" si="21"/>
        <v>6.02</v>
      </c>
      <c r="D49" s="23">
        <f>FishHarvestTimeTrends!AC58*((1+D$10)^MIN($A49,20))</f>
        <v>1.8314284985647347</v>
      </c>
      <c r="E49" s="23">
        <f>FishHarvestTimeTrends!AD58*((1+E$10)^MIN($A49,20))</f>
        <v>0.26187277663405112</v>
      </c>
      <c r="F49" s="23">
        <f t="shared" si="23"/>
        <v>5.7832311619574801</v>
      </c>
      <c r="H49" s="22">
        <f t="shared" si="16"/>
        <v>2.8000000000000001E-2</v>
      </c>
      <c r="I49" s="22"/>
      <c r="J49" s="41"/>
      <c r="K49" s="41">
        <f t="shared" si="6"/>
        <v>0.52696345102654518</v>
      </c>
      <c r="L49" s="41">
        <f t="shared" si="17"/>
        <v>0.16031493055017224</v>
      </c>
      <c r="M49" s="41">
        <f t="shared" si="18"/>
        <v>2.2923153173585252E-2</v>
      </c>
      <c r="N49" s="41">
        <f t="shared" si="6"/>
        <v>0.50623778258959651</v>
      </c>
      <c r="O49" s="41"/>
      <c r="P49" s="41">
        <f t="shared" si="15"/>
        <v>2.4509927954723034E-3</v>
      </c>
      <c r="R49" s="65">
        <f t="shared" si="22"/>
        <v>-3.8986987248012137</v>
      </c>
      <c r="S49" s="65">
        <f t="shared" si="22"/>
        <v>-2.7248978098435463</v>
      </c>
      <c r="T49" s="65">
        <f t="shared" si="22"/>
        <v>-1.9112323711463597</v>
      </c>
      <c r="U49" s="65">
        <f t="shared" si="22"/>
        <v>-1.345177475583575</v>
      </c>
      <c r="V49" s="65">
        <f t="shared" si="22"/>
        <v>-0.94999093516287192</v>
      </c>
      <c r="W49" s="65">
        <f t="shared" si="22"/>
        <v>-0.67313924221232457</v>
      </c>
      <c r="X49" s="65">
        <f t="shared" si="22"/>
        <v>-0.47852929121039472</v>
      </c>
      <c r="Y49" s="65">
        <f t="shared" si="22"/>
        <v>-0.3412743745073154</v>
      </c>
    </row>
    <row r="50" spans="1:25" x14ac:dyDescent="0.25">
      <c r="A50" s="21">
        <v>38</v>
      </c>
      <c r="C50" s="25">
        <f t="shared" si="21"/>
        <v>6.02</v>
      </c>
      <c r="D50" s="23">
        <f>FishHarvestTimeTrends!AC59*((1+D$10)^MIN($A50,20))</f>
        <v>1.8337387159335068</v>
      </c>
      <c r="E50" s="23">
        <f>FishHarvestTimeTrends!AD59*((1+E$10)^MIN($A50,20))</f>
        <v>0.26220714904259146</v>
      </c>
      <c r="F50" s="23">
        <f t="shared" si="23"/>
        <v>5.7861227775384583</v>
      </c>
      <c r="H50" s="22">
        <f t="shared" si="16"/>
        <v>2.8000000000000001E-2</v>
      </c>
      <c r="I50" s="22"/>
      <c r="J50" s="41"/>
      <c r="K50" s="41">
        <f t="shared" si="6"/>
        <v>0.49248920656686462</v>
      </c>
      <c r="L50" s="41">
        <f t="shared" si="17"/>
        <v>0.15001603409651729</v>
      </c>
      <c r="M50" s="41">
        <f t="shared" si="18"/>
        <v>2.1450862257167025E-2</v>
      </c>
      <c r="N50" s="41">
        <f t="shared" si="6"/>
        <v>0.47335598269242168</v>
      </c>
      <c r="O50" s="41"/>
      <c r="P50" s="41">
        <f t="shared" si="15"/>
        <v>2.290647472404022E-3</v>
      </c>
      <c r="R50" s="65">
        <f t="shared" si="22"/>
        <v>-3.8960541350239013</v>
      </c>
      <c r="S50" s="65">
        <f t="shared" si="22"/>
        <v>-2.696088554521439</v>
      </c>
      <c r="T50" s="65">
        <f t="shared" si="22"/>
        <v>-1.8724862078571922</v>
      </c>
      <c r="U50" s="65">
        <f t="shared" si="22"/>
        <v>-1.3051116566596399</v>
      </c>
      <c r="V50" s="65">
        <f t="shared" si="22"/>
        <v>-0.9128332032230847</v>
      </c>
      <c r="W50" s="65">
        <f t="shared" si="22"/>
        <v>-0.64065012778918029</v>
      </c>
      <c r="X50" s="65">
        <f t="shared" si="22"/>
        <v>-0.4511365020939147</v>
      </c>
      <c r="Y50" s="65">
        <f t="shared" si="22"/>
        <v>-0.3187316627407763</v>
      </c>
    </row>
    <row r="51" spans="1:25" x14ac:dyDescent="0.25">
      <c r="A51" s="21">
        <v>39</v>
      </c>
      <c r="C51" s="25">
        <f t="shared" si="21"/>
        <v>6.02</v>
      </c>
      <c r="D51" s="23">
        <f>FishHarvestTimeTrends!AC60*((1+D$10)^MIN($A51,20))</f>
        <v>1.8360489333022791</v>
      </c>
      <c r="E51" s="23">
        <f>FishHarvestTimeTrends!AD60*((1+E$10)^MIN($A51,20))</f>
        <v>0.2625415214511318</v>
      </c>
      <c r="F51" s="23">
        <f t="shared" si="23"/>
        <v>5.7890158389272273</v>
      </c>
      <c r="H51" s="22">
        <f t="shared" si="16"/>
        <v>2.8000000000000001E-2</v>
      </c>
      <c r="I51" s="22"/>
      <c r="J51" s="41"/>
      <c r="K51" s="41">
        <f t="shared" si="6"/>
        <v>0.46027028651108848</v>
      </c>
      <c r="L51" s="41">
        <f t="shared" si="17"/>
        <v>0.14037853298661437</v>
      </c>
      <c r="M51" s="41">
        <f t="shared" si="18"/>
        <v>2.0073099883616198E-2</v>
      </c>
      <c r="N51" s="41">
        <f t="shared" si="6"/>
        <v>0.44260996325585783</v>
      </c>
      <c r="O51" s="41"/>
      <c r="P51" s="41">
        <f t="shared" si="15"/>
        <v>2.1407920302841327E-3</v>
      </c>
      <c r="R51" s="65">
        <f t="shared" si="22"/>
        <v>-3.8934095452465884</v>
      </c>
      <c r="S51" s="65">
        <f t="shared" si="22"/>
        <v>-2.6675826588469365</v>
      </c>
      <c r="T51" s="65">
        <f t="shared" si="22"/>
        <v>-1.8345246951963785</v>
      </c>
      <c r="U51" s="65">
        <f t="shared" si="22"/>
        <v>-1.2662386060281672</v>
      </c>
      <c r="V51" s="65">
        <f t="shared" si="22"/>
        <v>-0.87712844632132436</v>
      </c>
      <c r="W51" s="65">
        <f t="shared" si="22"/>
        <v>-0.60972882190018518</v>
      </c>
      <c r="X51" s="65">
        <f t="shared" si="22"/>
        <v>-0.42531158172721995</v>
      </c>
      <c r="Y51" s="65">
        <f t="shared" si="22"/>
        <v>-0.29767786161057375</v>
      </c>
    </row>
    <row r="52" spans="1:25" x14ac:dyDescent="0.25">
      <c r="A52" s="21">
        <v>40</v>
      </c>
      <c r="C52" s="25">
        <f t="shared" si="21"/>
        <v>6.02</v>
      </c>
      <c r="D52" s="23">
        <f>FishHarvestTimeTrends!AC61*((1+D$10)^MIN($A52,20))</f>
        <v>1.8383591506710515</v>
      </c>
      <c r="E52" s="23">
        <f>FishHarvestTimeTrends!AD61*((1+E$10)^MIN($A52,20))</f>
        <v>0.26287589385967214</v>
      </c>
      <c r="F52" s="23">
        <f t="shared" si="23"/>
        <v>5.7919103468466906</v>
      </c>
      <c r="H52" s="22">
        <f t="shared" si="16"/>
        <v>2.8000000000000001E-2</v>
      </c>
      <c r="I52" s="22"/>
      <c r="J52" s="41"/>
      <c r="K52" s="41">
        <f t="shared" si="6"/>
        <v>0.43015914627204527</v>
      </c>
      <c r="L52" s="41">
        <f t="shared" si="17"/>
        <v>0.13135996724153851</v>
      </c>
      <c r="M52" s="41">
        <f t="shared" si="18"/>
        <v>1.8783799016308535E-2</v>
      </c>
      <c r="N52" s="41">
        <f t="shared" si="6"/>
        <v>0.41386099835279044</v>
      </c>
      <c r="O52" s="41"/>
      <c r="P52" s="41">
        <f t="shared" si="15"/>
        <v>2.0007402152188154E-3</v>
      </c>
      <c r="R52" s="65">
        <f t="shared" si="22"/>
        <v>-3.890764955469276</v>
      </c>
      <c r="S52" s="65">
        <f t="shared" si="22"/>
        <v>-2.6393769398582236</v>
      </c>
      <c r="T52" s="65">
        <f t="shared" si="22"/>
        <v>-1.7973319591920618</v>
      </c>
      <c r="U52" s="65">
        <f t="shared" si="22"/>
        <v>-1.2285228313303653</v>
      </c>
      <c r="V52" s="65">
        <f t="shared" si="22"/>
        <v>-0.84281986420605592</v>
      </c>
      <c r="W52" s="65">
        <f t="shared" si="22"/>
        <v>-0.58029968090812545</v>
      </c>
      <c r="X52" s="65">
        <f t="shared" si="22"/>
        <v>-0.40096480168012788</v>
      </c>
      <c r="Y52" s="65">
        <f t="shared" si="22"/>
        <v>-0.27801463979897945</v>
      </c>
    </row>
    <row r="53" spans="1:25" x14ac:dyDescent="0.25">
      <c r="A53" s="21">
        <v>41</v>
      </c>
      <c r="C53" s="25">
        <f t="shared" si="21"/>
        <v>6.02</v>
      </c>
      <c r="D53" s="23">
        <f>FishHarvestTimeTrends!AC62*((1+D$10)^MIN($A53,20))</f>
        <v>1.8384617055526467</v>
      </c>
      <c r="E53" s="23">
        <f>FishHarvestTimeTrends!AD62*((1+E$10)^MIN($A53,20))</f>
        <v>0.26288528915839238</v>
      </c>
      <c r="F53" s="23">
        <f t="shared" si="23"/>
        <v>5.7948063020201133</v>
      </c>
      <c r="H53" s="22">
        <f t="shared" si="16"/>
        <v>2.8000000000000001E-2</v>
      </c>
      <c r="I53" s="22"/>
      <c r="J53" s="41"/>
      <c r="K53" s="41">
        <f t="shared" si="6"/>
        <v>0.40201789371219188</v>
      </c>
      <c r="L53" s="41">
        <f t="shared" si="17"/>
        <v>0.12277317317887025</v>
      </c>
      <c r="M53" s="41">
        <f t="shared" si="18"/>
        <v>1.7555579773318508E-2</v>
      </c>
      <c r="N53" s="41">
        <f t="shared" si="6"/>
        <v>0.38697937275884747</v>
      </c>
      <c r="O53" s="41"/>
      <c r="P53" s="41">
        <f t="shared" si="15"/>
        <v>1.8698506684287997E-3</v>
      </c>
      <c r="R53" s="65">
        <f t="shared" si="22"/>
        <v>-3.8906530052889607</v>
      </c>
      <c r="S53" s="65">
        <f t="shared" si="22"/>
        <v>-2.6131693032191268</v>
      </c>
      <c r="T53" s="65">
        <f t="shared" si="22"/>
        <v>-1.7620394549070053</v>
      </c>
      <c r="U53" s="65">
        <f t="shared" si="22"/>
        <v>-1.1927062938485011</v>
      </c>
      <c r="V53" s="65">
        <f t="shared" si="22"/>
        <v>-0.81038039758663805</v>
      </c>
      <c r="W53" s="65">
        <f t="shared" si="22"/>
        <v>-0.55265046072989688</v>
      </c>
      <c r="X53" s="65">
        <f t="shared" si="22"/>
        <v>-0.37825779678886473</v>
      </c>
      <c r="Y53" s="65">
        <f t="shared" si="22"/>
        <v>-0.25981929009157434</v>
      </c>
    </row>
    <row r="54" spans="1:25" x14ac:dyDescent="0.25">
      <c r="A54" s="21">
        <v>42</v>
      </c>
      <c r="C54" s="25">
        <f t="shared" si="21"/>
        <v>6.02</v>
      </c>
      <c r="D54" s="23">
        <f>FishHarvestTimeTrends!AC63*((1+D$10)^MIN($A54,20))</f>
        <v>1.8385642604342414</v>
      </c>
      <c r="E54" s="23">
        <f>FishHarvestTimeTrends!AD63*((1+E$10)^MIN($A54,20))</f>
        <v>0.26289468445711273</v>
      </c>
      <c r="F54" s="23">
        <f t="shared" si="23"/>
        <v>5.7977037051711227</v>
      </c>
      <c r="H54" s="22">
        <f t="shared" si="16"/>
        <v>2.8000000000000001E-2</v>
      </c>
      <c r="I54" s="22"/>
      <c r="J54" s="41"/>
      <c r="K54" s="41">
        <f t="shared" si="6"/>
        <v>0.37571765767494569</v>
      </c>
      <c r="L54" s="41">
        <f t="shared" si="17"/>
        <v>0.11474768395601695</v>
      </c>
      <c r="M54" s="41">
        <f t="shared" si="18"/>
        <v>1.640767027565122E-2</v>
      </c>
      <c r="N54" s="41">
        <f t="shared" si="6"/>
        <v>0.3618437966777821</v>
      </c>
      <c r="O54" s="41"/>
      <c r="P54" s="41">
        <f t="shared" si="15"/>
        <v>1.747523989185794E-3</v>
      </c>
      <c r="R54" s="65">
        <f t="shared" si="22"/>
        <v>-3.8905410551086455</v>
      </c>
      <c r="S54" s="65">
        <f t="shared" si="22"/>
        <v>-2.587221892603091</v>
      </c>
      <c r="T54" s="65">
        <f t="shared" si="22"/>
        <v>-1.7274399546503552</v>
      </c>
      <c r="U54" s="65">
        <f t="shared" si="22"/>
        <v>-1.157933956072718</v>
      </c>
      <c r="V54" s="65">
        <f t="shared" si="22"/>
        <v>-0.77918949960627915</v>
      </c>
      <c r="W54" s="65">
        <f t="shared" si="22"/>
        <v>-0.52631862732395263</v>
      </c>
      <c r="X54" s="65">
        <f t="shared" si="22"/>
        <v>-0.35683671013907564</v>
      </c>
      <c r="Y54" s="65">
        <f t="shared" si="22"/>
        <v>-0.24281477945409172</v>
      </c>
    </row>
    <row r="55" spans="1:25" x14ac:dyDescent="0.25">
      <c r="A55" s="21">
        <v>43</v>
      </c>
      <c r="C55" s="25">
        <f t="shared" si="21"/>
        <v>6.02</v>
      </c>
      <c r="D55" s="23">
        <f>FishHarvestTimeTrends!AC64*((1+D$10)^MIN($A55,20))</f>
        <v>1.838666815315837</v>
      </c>
      <c r="E55" s="23">
        <f>FishHarvestTimeTrends!AD64*((1+E$10)^MIN($A55,20))</f>
        <v>0.26290407975583302</v>
      </c>
      <c r="F55" s="23">
        <f t="shared" si="23"/>
        <v>5.8006025570237076</v>
      </c>
      <c r="H55" s="22">
        <f t="shared" si="16"/>
        <v>2.8000000000000001E-2</v>
      </c>
      <c r="I55" s="22"/>
      <c r="J55" s="41"/>
      <c r="K55" s="41">
        <f t="shared" si="6"/>
        <v>0.35113799782705207</v>
      </c>
      <c r="L55" s="41">
        <f t="shared" si="17"/>
        <v>0.10724680800681813</v>
      </c>
      <c r="M55" s="41">
        <f t="shared" si="18"/>
        <v>1.5334819300004455E-2</v>
      </c>
      <c r="N55" s="41">
        <f t="shared" si="6"/>
        <v>0.33834085848235607</v>
      </c>
      <c r="O55" s="41"/>
      <c r="P55" s="41">
        <f t="shared" si="15"/>
        <v>1.6331999898932656E-3</v>
      </c>
      <c r="R55" s="65">
        <f t="shared" si="22"/>
        <v>-3.8904291049283297</v>
      </c>
      <c r="S55" s="65">
        <f t="shared" si="22"/>
        <v>-2.5615321241438256</v>
      </c>
      <c r="T55" s="65">
        <f t="shared" si="22"/>
        <v>-1.6935198506148781</v>
      </c>
      <c r="U55" s="65">
        <f t="shared" si="22"/>
        <v>-1.1241753753052104</v>
      </c>
      <c r="V55" s="65">
        <f t="shared" si="22"/>
        <v>-0.7491991139001688</v>
      </c>
      <c r="W55" s="65">
        <f t="shared" si="22"/>
        <v>-0.5012414119278038</v>
      </c>
      <c r="X55" s="65">
        <f t="shared" si="22"/>
        <v>-0.33662871903344205</v>
      </c>
      <c r="Y55" s="65">
        <f t="shared" si="22"/>
        <v>-0.2269231705303362</v>
      </c>
    </row>
    <row r="56" spans="1:25" x14ac:dyDescent="0.25">
      <c r="A56" s="21">
        <v>44</v>
      </c>
      <c r="C56" s="25">
        <f t="shared" si="21"/>
        <v>6.02</v>
      </c>
      <c r="D56" s="23">
        <f>FishHarvestTimeTrends!AC65*((1+D$10)^MIN($A56,20))</f>
        <v>1.8387693701974319</v>
      </c>
      <c r="E56" s="23">
        <f>FishHarvestTimeTrends!AD65*((1+E$10)^MIN($A56,20))</f>
        <v>0.26291347505455331</v>
      </c>
      <c r="F56" s="23">
        <f t="shared" si="23"/>
        <v>5.8035028583022195</v>
      </c>
      <c r="H56" s="22">
        <f t="shared" si="16"/>
        <v>2.8000000000000001E-2</v>
      </c>
      <c r="I56" s="22"/>
      <c r="J56" s="41"/>
      <c r="K56" s="41">
        <f t="shared" si="6"/>
        <v>0.3281663531093944</v>
      </c>
      <c r="L56" s="41">
        <f t="shared" si="17"/>
        <v>0.10023625223039023</v>
      </c>
      <c r="M56" s="41">
        <f t="shared" si="18"/>
        <v>1.433211898537716E-2</v>
      </c>
      <c r="N56" s="41">
        <f t="shared" si="6"/>
        <v>0.31636451300149265</v>
      </c>
      <c r="O56" s="41"/>
      <c r="P56" s="41">
        <f t="shared" si="15"/>
        <v>1.5263551307413694E-3</v>
      </c>
      <c r="R56" s="65">
        <f t="shared" si="22"/>
        <v>-3.8903171547480144</v>
      </c>
      <c r="S56" s="65">
        <f t="shared" si="22"/>
        <v>-2.5360974396308578</v>
      </c>
      <c r="T56" s="65">
        <f t="shared" si="22"/>
        <v>-1.6602658021953058</v>
      </c>
      <c r="U56" s="65">
        <f t="shared" si="22"/>
        <v>-1.0914009963766762</v>
      </c>
      <c r="V56" s="65">
        <f t="shared" si="22"/>
        <v>-0.72036303375191557</v>
      </c>
      <c r="W56" s="65">
        <f t="shared" si="22"/>
        <v>-0.47735903648474864</v>
      </c>
      <c r="X56" s="65">
        <f t="shared" si="22"/>
        <v>-0.31756512478802196</v>
      </c>
      <c r="Y56" s="65">
        <f t="shared" si="22"/>
        <v>-0.21207162676288563</v>
      </c>
    </row>
    <row r="57" spans="1:25" x14ac:dyDescent="0.25">
      <c r="A57" s="21">
        <v>45</v>
      </c>
      <c r="C57" s="25">
        <f t="shared" si="21"/>
        <v>6.02</v>
      </c>
      <c r="D57" s="23">
        <f>FishHarvestTimeTrends!AC66*((1+D$10)^MIN($A57,20))</f>
        <v>1.8388719250790269</v>
      </c>
      <c r="E57" s="23">
        <f>FishHarvestTimeTrends!AD66*((1+E$10)^MIN($A57,20))</f>
        <v>0.26292287035327361</v>
      </c>
      <c r="F57" s="23">
        <f t="shared" si="23"/>
        <v>5.80640460973137</v>
      </c>
      <c r="H57" s="22">
        <f t="shared" si="16"/>
        <v>2.8000000000000001E-2</v>
      </c>
      <c r="I57" s="22"/>
      <c r="J57" s="41"/>
      <c r="K57" s="41">
        <f t="shared" si="6"/>
        <v>0.3066975262704621</v>
      </c>
      <c r="L57" s="41">
        <f t="shared" si="17"/>
        <v>9.368396520763124E-2</v>
      </c>
      <c r="M57" s="41">
        <f t="shared" si="18"/>
        <v>1.3394982381607714E-2</v>
      </c>
      <c r="N57" s="41">
        <f t="shared" si="6"/>
        <v>0.29581560304485371</v>
      </c>
      <c r="O57" s="41"/>
      <c r="P57" s="41">
        <f t="shared" si="15"/>
        <v>1.426500122188196E-3</v>
      </c>
      <c r="R57" s="65">
        <f t="shared" si="22"/>
        <v>-3.8902052045676991</v>
      </c>
      <c r="S57" s="65">
        <f t="shared" si="22"/>
        <v>-2.5109153062547853</v>
      </c>
      <c r="T57" s="65">
        <f t="shared" si="22"/>
        <v>-1.6276647307415855</v>
      </c>
      <c r="U57" s="65">
        <f t="shared" si="22"/>
        <v>-1.0595821257712723</v>
      </c>
      <c r="V57" s="65">
        <f t="shared" si="22"/>
        <v>-0.69263683090219641</v>
      </c>
      <c r="W57" s="65">
        <f t="shared" si="22"/>
        <v>-0.45461457114754505</v>
      </c>
      <c r="X57" s="65">
        <f t="shared" si="22"/>
        <v>-0.29958111918579977</v>
      </c>
      <c r="Y57" s="65">
        <f t="shared" si="22"/>
        <v>-0.19819207855903495</v>
      </c>
    </row>
    <row r="58" spans="1:25" x14ac:dyDescent="0.25">
      <c r="A58" s="21">
        <v>46</v>
      </c>
      <c r="C58" s="25">
        <f t="shared" si="21"/>
        <v>6.02</v>
      </c>
      <c r="D58" s="23">
        <f>FishHarvestTimeTrends!AC67*((1+D$10)^MIN($A58,20))</f>
        <v>1.838974479960622</v>
      </c>
      <c r="E58" s="23">
        <f>FishHarvestTimeTrends!AD67*((1+E$10)^MIN($A58,20))</f>
        <v>0.26293226565199396</v>
      </c>
      <c r="F58" s="23">
        <f t="shared" si="23"/>
        <v>5.8093078120362351</v>
      </c>
      <c r="H58" s="22">
        <f t="shared" si="16"/>
        <v>2.8000000000000001E-2</v>
      </c>
      <c r="I58" s="22"/>
      <c r="J58" s="41"/>
      <c r="K58" s="41">
        <f t="shared" si="6"/>
        <v>0.28663320212192717</v>
      </c>
      <c r="L58" s="41">
        <f t="shared" si="17"/>
        <v>8.7559990666381884E-2</v>
      </c>
      <c r="M58" s="41">
        <f t="shared" si="18"/>
        <v>1.2519122465947548E-2</v>
      </c>
      <c r="N58" s="41">
        <f t="shared" si="6"/>
        <v>0.27660141200595895</v>
      </c>
      <c r="O58" s="41"/>
      <c r="P58" s="41">
        <f t="shared" si="15"/>
        <v>1.3331776842880334E-3</v>
      </c>
      <c r="R58" s="65">
        <f t="shared" si="22"/>
        <v>-3.8900932543873834</v>
      </c>
      <c r="S58" s="65">
        <f t="shared" si="22"/>
        <v>-2.4859832163550712</v>
      </c>
      <c r="T58" s="65">
        <f t="shared" si="22"/>
        <v>-1.5957038144151565</v>
      </c>
      <c r="U58" s="65">
        <f t="shared" si="22"/>
        <v>-1.0286909065059329</v>
      </c>
      <c r="V58" s="65">
        <f t="shared" si="22"/>
        <v>-0.66597778709749711</v>
      </c>
      <c r="W58" s="65">
        <f t="shared" si="22"/>
        <v>-0.43295379857151545</v>
      </c>
      <c r="X58" s="65">
        <f t="shared" si="22"/>
        <v>-0.28261556415617078</v>
      </c>
      <c r="Y58" s="65">
        <f t="shared" si="22"/>
        <v>-0.18522091130530971</v>
      </c>
    </row>
    <row r="59" spans="1:25" x14ac:dyDescent="0.25">
      <c r="A59" s="21">
        <v>47</v>
      </c>
      <c r="C59" s="25">
        <f t="shared" si="21"/>
        <v>6.02</v>
      </c>
      <c r="D59" s="23">
        <f>FishHarvestTimeTrends!AC68*((1+D$10)^MIN($A59,20))</f>
        <v>1.8390770348422167</v>
      </c>
      <c r="E59" s="23">
        <f>FishHarvestTimeTrends!AD68*((1+E$10)^MIN($A59,20))</f>
        <v>0.26294166095071431</v>
      </c>
      <c r="F59" s="23">
        <f t="shared" si="23"/>
        <v>5.8122124659422534</v>
      </c>
      <c r="H59" s="22">
        <f t="shared" si="16"/>
        <v>2.8000000000000001E-2</v>
      </c>
      <c r="I59" s="22"/>
      <c r="J59" s="41"/>
      <c r="K59" s="41">
        <f t="shared" si="6"/>
        <v>0.26788149731021232</v>
      </c>
      <c r="L59" s="41">
        <f t="shared" si="17"/>
        <v>8.1836330525308726E-2</v>
      </c>
      <c r="M59" s="41">
        <f t="shared" si="18"/>
        <v>1.1700532531679656E-2</v>
      </c>
      <c r="N59" s="41">
        <f t="shared" si="6"/>
        <v>0.25863524552519807</v>
      </c>
      <c r="O59" s="41"/>
      <c r="P59" s="41">
        <f t="shared" si="15"/>
        <v>1.2459604526056387E-3</v>
      </c>
      <c r="R59" s="65">
        <f t="shared" si="22"/>
        <v>-3.8899813042070686</v>
      </c>
      <c r="S59" s="65">
        <f t="shared" si="22"/>
        <v>-2.4612986871703351</v>
      </c>
      <c r="T59" s="65">
        <f t="shared" si="22"/>
        <v>-1.5643704831462262</v>
      </c>
      <c r="U59" s="65">
        <f t="shared" si="22"/>
        <v>-0.99870029374205849</v>
      </c>
      <c r="V59" s="65">
        <f t="shared" si="22"/>
        <v>-0.64034482827348171</v>
      </c>
      <c r="W59" s="65">
        <f t="shared" si="22"/>
        <v>-0.41232508467359424</v>
      </c>
      <c r="X59" s="65">
        <f t="shared" si="22"/>
        <v>-0.26661078393136556</v>
      </c>
      <c r="Y59" s="65">
        <f t="shared" si="22"/>
        <v>-0.17309867380061827</v>
      </c>
    </row>
    <row r="60" spans="1:25" x14ac:dyDescent="0.25">
      <c r="A60" s="21">
        <v>48</v>
      </c>
      <c r="C60" s="25">
        <f t="shared" si="21"/>
        <v>6.02</v>
      </c>
      <c r="D60" s="23">
        <f>FishHarvestTimeTrends!AC69*((1+D$10)^MIN($A60,20))</f>
        <v>1.8391795897238123</v>
      </c>
      <c r="E60" s="23">
        <f>FishHarvestTimeTrends!AD69*((1+E$10)^MIN($A60,20))</f>
        <v>0.2629510562494346</v>
      </c>
      <c r="F60" s="23">
        <f t="shared" si="23"/>
        <v>5.8151185721752245</v>
      </c>
      <c r="H60" s="22">
        <f t="shared" si="16"/>
        <v>2.8000000000000001E-2</v>
      </c>
      <c r="I60" s="22"/>
      <c r="J60" s="41"/>
      <c r="K60" s="41">
        <f t="shared" si="6"/>
        <v>0.25035653954225451</v>
      </c>
      <c r="L60" s="41">
        <f t="shared" si="17"/>
        <v>7.6486816890364961E-2</v>
      </c>
      <c r="M60" s="41">
        <f t="shared" si="18"/>
        <v>1.0935467859067967E-2</v>
      </c>
      <c r="N60" s="41">
        <f t="shared" si="6"/>
        <v>0.24183604032519687</v>
      </c>
      <c r="O60" s="41"/>
      <c r="P60" s="41">
        <f t="shared" si="15"/>
        <v>1.1644490211267652E-3</v>
      </c>
      <c r="R60" s="65">
        <f t="shared" si="22"/>
        <v>-3.8898693540267528</v>
      </c>
      <c r="S60" s="65">
        <f t="shared" si="22"/>
        <v>-2.4368592605911248</v>
      </c>
      <c r="T60" s="65">
        <f t="shared" si="22"/>
        <v>-1.5336524136900667</v>
      </c>
      <c r="U60" s="65">
        <f t="shared" si="22"/>
        <v>-0.96958403110821689</v>
      </c>
      <c r="V60" s="65">
        <f t="shared" si="22"/>
        <v>-0.61569846127158345</v>
      </c>
      <c r="W60" s="65">
        <f t="shared" si="22"/>
        <v>-0.3926792555492355</v>
      </c>
      <c r="X60" s="65">
        <f t="shared" si="22"/>
        <v>-0.25151236897323254</v>
      </c>
      <c r="Y60" s="65">
        <f t="shared" si="22"/>
        <v>-0.16176980577169481</v>
      </c>
    </row>
    <row r="61" spans="1:25" x14ac:dyDescent="0.25">
      <c r="A61" s="21">
        <v>49</v>
      </c>
      <c r="C61" s="25">
        <f t="shared" si="21"/>
        <v>6.02</v>
      </c>
      <c r="D61" s="23">
        <f>FishHarvestTimeTrends!AC70*((1+D$10)^MIN($A61,20))</f>
        <v>1.8392821446054073</v>
      </c>
      <c r="E61" s="23">
        <f>FishHarvestTimeTrends!AD70*((1+E$10)^MIN($A61,20))</f>
        <v>0.26296045154815489</v>
      </c>
      <c r="F61" s="23">
        <f t="shared" si="23"/>
        <v>5.8180261314613118</v>
      </c>
      <c r="H61" s="22">
        <f t="shared" si="16"/>
        <v>2.8000000000000001E-2</v>
      </c>
      <c r="I61" s="22"/>
      <c r="J61" s="41"/>
      <c r="K61" s="41">
        <f t="shared" si="6"/>
        <v>0.23397807433855561</v>
      </c>
      <c r="L61" s="41">
        <f t="shared" si="17"/>
        <v>7.1486992418614947E-2</v>
      </c>
      <c r="M61" s="41">
        <f t="shared" si="18"/>
        <v>1.0220428584789757E-2</v>
      </c>
      <c r="N61" s="41">
        <f t="shared" si="6"/>
        <v>0.22612799845360698</v>
      </c>
      <c r="O61" s="41"/>
      <c r="P61" s="41">
        <f t="shared" si="15"/>
        <v>1.0882701132025844E-3</v>
      </c>
      <c r="R61" s="65">
        <f t="shared" si="22"/>
        <v>-3.8897574038464375</v>
      </c>
      <c r="S61" s="65">
        <f t="shared" si="22"/>
        <v>-2.4126625029151412</v>
      </c>
      <c r="T61" s="65">
        <f t="shared" si="22"/>
        <v>-1.5035375247803817</v>
      </c>
      <c r="U61" s="65">
        <f t="shared" si="22"/>
        <v>-0.9413166277131384</v>
      </c>
      <c r="V61" s="65">
        <f t="shared" si="22"/>
        <v>-0.59200071299132018</v>
      </c>
      <c r="W61" s="65">
        <f t="shared" si="22"/>
        <v>-0.37396948025378735</v>
      </c>
      <c r="X61" s="65">
        <f t="shared" si="22"/>
        <v>-0.23726899100381593</v>
      </c>
      <c r="Y61" s="65">
        <f t="shared" si="22"/>
        <v>-0.15118238322194832</v>
      </c>
    </row>
    <row r="62" spans="1:25" x14ac:dyDescent="0.25">
      <c r="A62" s="21">
        <v>50</v>
      </c>
      <c r="C62" s="25">
        <f t="shared" si="21"/>
        <v>6.02</v>
      </c>
      <c r="D62" s="23">
        <f>FishHarvestTimeTrends!AC71*((1+D$10)^MIN($A62,20))</f>
        <v>1.8393846994870022</v>
      </c>
      <c r="E62" s="23">
        <f>FishHarvestTimeTrends!AD71*((1+E$10)^MIN($A62,20))</f>
        <v>0.26296984684687519</v>
      </c>
      <c r="F62" s="23">
        <f t="shared" si="23"/>
        <v>5.8209351445270423</v>
      </c>
      <c r="H62" s="22">
        <f t="shared" si="16"/>
        <v>2.8000000000000001E-2</v>
      </c>
      <c r="I62" s="22"/>
      <c r="J62" s="41"/>
      <c r="K62" s="41">
        <f t="shared" si="6"/>
        <v>0.21867109751266881</v>
      </c>
      <c r="L62" s="41">
        <f t="shared" si="17"/>
        <v>6.6813998502464E-2</v>
      </c>
      <c r="M62" s="41">
        <f t="shared" si="18"/>
        <v>9.552143691485819E-3</v>
      </c>
      <c r="N62" s="41">
        <f t="shared" si="6"/>
        <v>0.21144024528302224</v>
      </c>
      <c r="O62" s="41"/>
      <c r="P62" s="41">
        <f t="shared" si="15"/>
        <v>1.0170748721519481E-3</v>
      </c>
      <c r="R62" s="65">
        <f t="shared" ref="R62:Y77" si="24">(($D62/((1+R$10)^$M$7))+$G62+$H62+IF($M$3="Yes",$E62/((1+R$10)^$M$7),0)+IF($M$4="Yes",$F62)-($B62*(1+$M$5))-$C62)/((1+R$10)^($A62-1))</f>
        <v>-3.8896454536661222</v>
      </c>
      <c r="S62" s="65">
        <f t="shared" si="24"/>
        <v>-2.3887060046049027</v>
      </c>
      <c r="T62" s="65">
        <f t="shared" si="24"/>
        <v>-1.4740139723778471</v>
      </c>
      <c r="U62" s="65">
        <f t="shared" si="24"/>
        <v>-0.91387333582887009</v>
      </c>
      <c r="V62" s="65">
        <f t="shared" si="24"/>
        <v>-0.56921507188458076</v>
      </c>
      <c r="W62" s="65">
        <f t="shared" si="24"/>
        <v>-0.35615115916890505</v>
      </c>
      <c r="X62" s="65">
        <f t="shared" si="24"/>
        <v>-0.22383222851090884</v>
      </c>
      <c r="Y62" s="65">
        <f t="shared" si="24"/>
        <v>-0.14128788044656704</v>
      </c>
    </row>
    <row r="63" spans="1:25" x14ac:dyDescent="0.25">
      <c r="A63" s="21">
        <v>51</v>
      </c>
      <c r="C63" s="25">
        <f t="shared" si="21"/>
        <v>6.02</v>
      </c>
      <c r="D63" s="23">
        <f>FishHarvestTimeTrends!AC72*((1+D$10)^MIN($A63,20))</f>
        <v>1.8393860142990097</v>
      </c>
      <c r="E63" s="23">
        <f>FishHarvestTimeTrends!AD72*((1+E$10)^MIN($A63,20))</f>
        <v>0.26296998552618545</v>
      </c>
      <c r="F63" s="23">
        <f t="shared" ref="F63:F78" si="25">F62*(1+F$10)</f>
        <v>5.8238456120993058</v>
      </c>
      <c r="H63" s="22">
        <f t="shared" si="16"/>
        <v>2.8000000000000001E-2</v>
      </c>
      <c r="I63" s="22"/>
      <c r="J63" s="41"/>
      <c r="K63" s="41">
        <f t="shared" si="6"/>
        <v>0.20436551169408299</v>
      </c>
      <c r="L63" s="41">
        <f t="shared" si="17"/>
        <v>6.2443033889560962E-2</v>
      </c>
      <c r="M63" s="41">
        <f t="shared" si="18"/>
        <v>8.9272418026984206E-3</v>
      </c>
      <c r="N63" s="41">
        <f t="shared" si="6"/>
        <v>0.19770650972491938</v>
      </c>
      <c r="O63" s="41"/>
      <c r="P63" s="41">
        <f t="shared" si="15"/>
        <v>9.5053726369340934E-4</v>
      </c>
      <c r="R63" s="65">
        <f t="shared" si="24"/>
        <v>-3.8896440001748043</v>
      </c>
      <c r="S63" s="65">
        <f t="shared" si="24"/>
        <v>-2.3650545663247109</v>
      </c>
      <c r="T63" s="65">
        <f t="shared" si="24"/>
        <v>-1.4451111976127893</v>
      </c>
      <c r="U63" s="65">
        <f t="shared" si="24"/>
        <v>-0.88725533430161196</v>
      </c>
      <c r="V63" s="65">
        <f t="shared" si="24"/>
        <v>-0.54732197997983978</v>
      </c>
      <c r="W63" s="65">
        <f t="shared" si="24"/>
        <v>-0.33919145341100193</v>
      </c>
      <c r="X63" s="65">
        <f t="shared" si="24"/>
        <v>-0.21116240081960994</v>
      </c>
      <c r="Y63" s="65">
        <f t="shared" si="24"/>
        <v>-0.13204469873813018</v>
      </c>
    </row>
    <row r="64" spans="1:25" x14ac:dyDescent="0.25">
      <c r="A64" s="21">
        <v>52</v>
      </c>
      <c r="C64" s="25">
        <f t="shared" si="21"/>
        <v>6.02</v>
      </c>
      <c r="D64" s="23">
        <f>FishHarvestTimeTrends!AC73*((1+D$10)^MIN($A64,20))</f>
        <v>1.8393873291110174</v>
      </c>
      <c r="E64" s="23">
        <f>FishHarvestTimeTrends!AD73*((1+E$10)^MIN($A64,20))</f>
        <v>0.26297012420549565</v>
      </c>
      <c r="F64" s="23">
        <f t="shared" si="25"/>
        <v>5.8267575349053553</v>
      </c>
      <c r="H64" s="22">
        <f t="shared" si="16"/>
        <v>2.8000000000000001E-2</v>
      </c>
      <c r="I64" s="22"/>
      <c r="J64" s="41"/>
      <c r="K64" s="41">
        <f t="shared" si="6"/>
        <v>0.19099580532157284</v>
      </c>
      <c r="L64" s="41">
        <f t="shared" si="17"/>
        <v>5.8358017312600624E-2</v>
      </c>
      <c r="M64" s="41">
        <f t="shared" si="18"/>
        <v>8.3432210378974556E-3</v>
      </c>
      <c r="N64" s="41">
        <f t="shared" si="6"/>
        <v>0.18486482521474934</v>
      </c>
      <c r="O64" s="41"/>
      <c r="P64" s="41">
        <f t="shared" si="15"/>
        <v>8.8835258289103667E-4</v>
      </c>
      <c r="R64" s="65">
        <f t="shared" si="24"/>
        <v>-3.8896425466834863</v>
      </c>
      <c r="S64" s="65">
        <f t="shared" si="24"/>
        <v>-2.3416373094510483</v>
      </c>
      <c r="T64" s="65">
        <f t="shared" si="24"/>
        <v>-1.4167751545100378</v>
      </c>
      <c r="U64" s="65">
        <f t="shared" si="24"/>
        <v>-0.86141262402907948</v>
      </c>
      <c r="V64" s="65">
        <f t="shared" si="24"/>
        <v>-0.52627093793776447</v>
      </c>
      <c r="W64" s="65">
        <f t="shared" si="24"/>
        <v>-0.32303935872489703</v>
      </c>
      <c r="X64" s="65">
        <f t="shared" si="24"/>
        <v>-0.19920973765278049</v>
      </c>
      <c r="Y64" s="65">
        <f t="shared" si="24"/>
        <v>-0.12340621438818374</v>
      </c>
    </row>
    <row r="65" spans="1:25" x14ac:dyDescent="0.25">
      <c r="A65" s="21">
        <v>53</v>
      </c>
      <c r="C65" s="25">
        <f t="shared" si="21"/>
        <v>6.02</v>
      </c>
      <c r="D65" s="23">
        <f>FishHarvestTimeTrends!AC74*((1+D$10)^MIN($A65,20))</f>
        <v>1.8393886439230247</v>
      </c>
      <c r="E65" s="23">
        <f>FishHarvestTimeTrends!AD74*((1+E$10)^MIN($A65,20))</f>
        <v>0.26297026288480585</v>
      </c>
      <c r="F65" s="23">
        <f t="shared" si="25"/>
        <v>5.8296709136728078</v>
      </c>
      <c r="H65" s="22">
        <f t="shared" si="16"/>
        <v>2.8000000000000001E-2</v>
      </c>
      <c r="I65" s="22"/>
      <c r="J65" s="41"/>
      <c r="K65" s="41">
        <f t="shared" si="6"/>
        <v>0.17850075263698398</v>
      </c>
      <c r="L65" s="41">
        <f t="shared" si="17"/>
        <v>5.4540242081757687E-2</v>
      </c>
      <c r="M65" s="41">
        <f t="shared" si="18"/>
        <v>7.7974069511766416E-3</v>
      </c>
      <c r="N65" s="41">
        <f t="shared" si="6"/>
        <v>0.17285725011902497</v>
      </c>
      <c r="O65" s="41"/>
      <c r="P65" s="41">
        <f t="shared" si="15"/>
        <v>8.3023605877666977E-4</v>
      </c>
      <c r="R65" s="65">
        <f t="shared" si="24"/>
        <v>-3.8896410931921688</v>
      </c>
      <c r="S65" s="65">
        <f t="shared" si="24"/>
        <v>-2.3184519152694896</v>
      </c>
      <c r="T65" s="65">
        <f t="shared" si="24"/>
        <v>-1.3889947304764392</v>
      </c>
      <c r="U65" s="65">
        <f t="shared" si="24"/>
        <v>-0.83632262343132424</v>
      </c>
      <c r="V65" s="65">
        <f t="shared" si="24"/>
        <v>-0.50602955892262425</v>
      </c>
      <c r="W65" s="65">
        <f t="shared" si="24"/>
        <v>-0.30765641715309011</v>
      </c>
      <c r="X65" s="65">
        <f t="shared" si="24"/>
        <v>-0.18793364453923531</v>
      </c>
      <c r="Y65" s="65">
        <f t="shared" si="24"/>
        <v>-0.11533286754527299</v>
      </c>
    </row>
    <row r="66" spans="1:25" x14ac:dyDescent="0.25">
      <c r="A66" s="21">
        <v>54</v>
      </c>
      <c r="C66" s="25">
        <f t="shared" si="21"/>
        <v>6.02</v>
      </c>
      <c r="D66" s="23">
        <f>FishHarvestTimeTrends!AC75*((1+D$10)^MIN($A66,20))</f>
        <v>1.839389958735032</v>
      </c>
      <c r="E66" s="23">
        <f>FishHarvestTimeTrends!AD75*((1+E$10)^MIN($A66,20))</f>
        <v>0.26297040156411611</v>
      </c>
      <c r="F66" s="23">
        <f t="shared" si="25"/>
        <v>5.8325857491296436</v>
      </c>
      <c r="H66" s="22">
        <f t="shared" si="16"/>
        <v>2.8000000000000001E-2</v>
      </c>
      <c r="I66" s="22"/>
      <c r="J66" s="41"/>
      <c r="K66" s="41">
        <f t="shared" si="6"/>
        <v>0.16682313330559251</v>
      </c>
      <c r="L66" s="41">
        <f t="shared" si="17"/>
        <v>5.0972225296847598E-2</v>
      </c>
      <c r="M66" s="41">
        <f t="shared" si="18"/>
        <v>7.2873000590624147E-3</v>
      </c>
      <c r="N66" s="41">
        <f t="shared" si="6"/>
        <v>0.16162960630288267</v>
      </c>
      <c r="O66" s="41"/>
      <c r="P66" s="41">
        <f t="shared" si="15"/>
        <v>7.7592155025856977E-4</v>
      </c>
      <c r="R66" s="65">
        <f t="shared" si="24"/>
        <v>-3.8896396397008512</v>
      </c>
      <c r="S66" s="65">
        <f t="shared" si="24"/>
        <v>-2.2954960880240378</v>
      </c>
      <c r="T66" s="65">
        <f t="shared" si="24"/>
        <v>-1.3617590308168961</v>
      </c>
      <c r="U66" s="65">
        <f t="shared" si="24"/>
        <v>-0.81196340865251082</v>
      </c>
      <c r="V66" s="65">
        <f t="shared" si="24"/>
        <v>-0.48656670175785305</v>
      </c>
      <c r="W66" s="65">
        <f t="shared" si="24"/>
        <v>-0.29300600208307687</v>
      </c>
      <c r="X66" s="65">
        <f t="shared" si="24"/>
        <v>-0.1772958248223552</v>
      </c>
      <c r="Y66" s="65">
        <f t="shared" si="24"/>
        <v>-0.1077876863994239</v>
      </c>
    </row>
    <row r="67" spans="1:25" x14ac:dyDescent="0.25">
      <c r="A67" s="21">
        <v>55</v>
      </c>
      <c r="C67" s="25">
        <f t="shared" si="21"/>
        <v>6.02</v>
      </c>
      <c r="D67" s="23">
        <f>FishHarvestTimeTrends!AC76*((1+D$10)^MIN($A67,20))</f>
        <v>1.8393912735470395</v>
      </c>
      <c r="E67" s="23">
        <f>FishHarvestTimeTrends!AD76*((1+E$10)^MIN($A67,20))</f>
        <v>0.26297054024342631</v>
      </c>
      <c r="F67" s="23">
        <f t="shared" si="25"/>
        <v>5.8355020420042081</v>
      </c>
      <c r="H67" s="22">
        <f t="shared" si="16"/>
        <v>2.8000000000000001E-2</v>
      </c>
      <c r="I67" s="22"/>
      <c r="J67" s="41"/>
      <c r="K67" s="41">
        <f t="shared" si="6"/>
        <v>0.15590947037905842</v>
      </c>
      <c r="L67" s="41">
        <f t="shared" si="17"/>
        <v>4.7637627787139654E-2</v>
      </c>
      <c r="M67" s="41">
        <f t="shared" si="18"/>
        <v>6.8105643944597121E-3</v>
      </c>
      <c r="N67" s="41">
        <f t="shared" si="6"/>
        <v>0.15113123467853656</v>
      </c>
      <c r="O67" s="41"/>
      <c r="P67" s="41">
        <f t="shared" si="15"/>
        <v>7.2516032734445783E-4</v>
      </c>
      <c r="R67" s="65">
        <f t="shared" si="24"/>
        <v>-3.8896381862095337</v>
      </c>
      <c r="S67" s="65">
        <f t="shared" si="24"/>
        <v>-2.2727675546898007</v>
      </c>
      <c r="T67" s="65">
        <f t="shared" si="24"/>
        <v>-1.3350573744617729</v>
      </c>
      <c r="U67" s="65">
        <f t="shared" si="24"/>
        <v>-0.7883136944036645</v>
      </c>
      <c r="V67" s="65">
        <f t="shared" si="24"/>
        <v>-0.46785242301563446</v>
      </c>
      <c r="W67" s="65">
        <f t="shared" si="24"/>
        <v>-0.27905323103979257</v>
      </c>
      <c r="X67" s="65">
        <f t="shared" si="24"/>
        <v>-0.16726014959430202</v>
      </c>
      <c r="Y67" s="65">
        <f t="shared" si="24"/>
        <v>-0.10073611787011461</v>
      </c>
    </row>
    <row r="68" spans="1:25" x14ac:dyDescent="0.25">
      <c r="A68" s="21">
        <v>56</v>
      </c>
      <c r="C68" s="25">
        <f t="shared" si="21"/>
        <v>6.02</v>
      </c>
      <c r="D68" s="23">
        <f>FishHarvestTimeTrends!AC77*((1+D$10)^MIN($A68,20))</f>
        <v>1.839392588359047</v>
      </c>
      <c r="E68" s="23">
        <f>FishHarvestTimeTrends!AD77*((1+E$10)^MIN($A68,20))</f>
        <v>0.26297067892273651</v>
      </c>
      <c r="F68" s="23">
        <f t="shared" si="25"/>
        <v>5.83841979302521</v>
      </c>
      <c r="H68" s="22">
        <f t="shared" si="16"/>
        <v>2.8000000000000001E-2</v>
      </c>
      <c r="I68" s="22"/>
      <c r="J68" s="41"/>
      <c r="K68" s="41">
        <f t="shared" si="6"/>
        <v>0.14570978540098917</v>
      </c>
      <c r="L68" s="41">
        <f t="shared" si="17"/>
        <v>4.4521179288698802E-2</v>
      </c>
      <c r="M68" s="41">
        <f t="shared" si="18"/>
        <v>6.3650168093993967E-3</v>
      </c>
      <c r="N68" s="41">
        <f t="shared" si="6"/>
        <v>0.14131476663165965</v>
      </c>
      <c r="O68" s="41"/>
      <c r="P68" s="41">
        <f t="shared" si="15"/>
        <v>6.7771993209762415E-4</v>
      </c>
      <c r="R68" s="65">
        <f t="shared" si="24"/>
        <v>-3.8896367327182162</v>
      </c>
      <c r="S68" s="65">
        <f t="shared" si="24"/>
        <v>-2.250264064747928</v>
      </c>
      <c r="T68" s="65">
        <f t="shared" si="24"/>
        <v>-1.3088792897780863</v>
      </c>
      <c r="U68" s="65">
        <f t="shared" si="24"/>
        <v>-0.76535281536340671</v>
      </c>
      <c r="V68" s="65">
        <f t="shared" si="24"/>
        <v>-0.449857930949211</v>
      </c>
      <c r="W68" s="65">
        <f t="shared" si="24"/>
        <v>-0.26576488263082765</v>
      </c>
      <c r="X68" s="65">
        <f t="shared" si="24"/>
        <v>-0.15779253499249293</v>
      </c>
      <c r="Y68" s="65">
        <f t="shared" si="24"/>
        <v>-9.4145869370793361E-2</v>
      </c>
    </row>
    <row r="69" spans="1:25" x14ac:dyDescent="0.25">
      <c r="A69" s="21">
        <v>57</v>
      </c>
      <c r="C69" s="25">
        <f t="shared" si="21"/>
        <v>6.02</v>
      </c>
      <c r="D69" s="23">
        <f>FishHarvestTimeTrends!AC78*((1+D$10)^MIN($A69,20))</f>
        <v>1.8393939031710542</v>
      </c>
      <c r="E69" s="23">
        <f>FishHarvestTimeTrends!AD78*((1+E$10)^MIN($A69,20))</f>
        <v>0.26297081760204677</v>
      </c>
      <c r="F69" s="23">
        <f t="shared" si="25"/>
        <v>5.841339002921722</v>
      </c>
      <c r="H69" s="22">
        <f t="shared" si="16"/>
        <v>2.8000000000000001E-2</v>
      </c>
      <c r="I69" s="22"/>
      <c r="J69" s="41"/>
      <c r="K69" s="41">
        <f t="shared" si="6"/>
        <v>0.13617736953363474</v>
      </c>
      <c r="L69" s="41">
        <f t="shared" si="17"/>
        <v>4.1608608516617844E-2</v>
      </c>
      <c r="M69" s="41">
        <f t="shared" si="18"/>
        <v>5.9486169776006622E-3</v>
      </c>
      <c r="N69" s="41">
        <f t="shared" si="6"/>
        <v>0.13213591029436958</v>
      </c>
      <c r="O69" s="41"/>
      <c r="P69" s="41">
        <f t="shared" si="15"/>
        <v>6.3338311410992914E-4</v>
      </c>
      <c r="R69" s="65">
        <f t="shared" si="24"/>
        <v>-3.8896352792268987</v>
      </c>
      <c r="S69" s="65">
        <f t="shared" si="24"/>
        <v>-2.2279833899627608</v>
      </c>
      <c r="T69" s="65">
        <f t="shared" si="24"/>
        <v>-1.2832145104628248</v>
      </c>
      <c r="U69" s="65">
        <f t="shared" si="24"/>
        <v>-0.74306070812041991</v>
      </c>
      <c r="V69" s="65">
        <f t="shared" si="24"/>
        <v>-0.43255554119704548</v>
      </c>
      <c r="W69" s="65">
        <f t="shared" si="24"/>
        <v>-0.25310931744666265</v>
      </c>
      <c r="X69" s="65">
        <f t="shared" si="24"/>
        <v>-0.14886082644160117</v>
      </c>
      <c r="Y69" s="65">
        <f t="shared" si="24"/>
        <v>-8.7986760925306315E-2</v>
      </c>
    </row>
    <row r="70" spans="1:25" x14ac:dyDescent="0.25">
      <c r="A70" s="21">
        <v>58</v>
      </c>
      <c r="C70" s="25">
        <f t="shared" si="21"/>
        <v>6.02</v>
      </c>
      <c r="D70" s="23">
        <f>FishHarvestTimeTrends!AC79*((1+D$10)^MIN($A70,20))</f>
        <v>1.8393952179830615</v>
      </c>
      <c r="E70" s="23">
        <f>FishHarvestTimeTrends!AD79*((1+E$10)^MIN($A70,20))</f>
        <v>0.26297095628135703</v>
      </c>
      <c r="F70" s="23">
        <f t="shared" si="25"/>
        <v>5.844259672423183</v>
      </c>
      <c r="H70" s="22">
        <f t="shared" si="16"/>
        <v>2.8000000000000001E-2</v>
      </c>
      <c r="I70" s="22"/>
      <c r="J70" s="41"/>
      <c r="K70" s="41">
        <f t="shared" si="6"/>
        <v>0.12726856965760255</v>
      </c>
      <c r="L70" s="41">
        <f t="shared" si="17"/>
        <v>3.8886577811916664E-2</v>
      </c>
      <c r="M70" s="41">
        <f t="shared" si="18"/>
        <v>5.5594580510664859E-3</v>
      </c>
      <c r="N70" s="41">
        <f t="shared" si="6"/>
        <v>0.12355325070048297</v>
      </c>
      <c r="O70" s="41"/>
      <c r="P70" s="41">
        <f t="shared" si="15"/>
        <v>5.9194683561675612E-4</v>
      </c>
      <c r="R70" s="65">
        <f t="shared" si="24"/>
        <v>-3.8896338257355811</v>
      </c>
      <c r="S70" s="65">
        <f t="shared" si="24"/>
        <v>-2.2059233241612088</v>
      </c>
      <c r="T70" s="65">
        <f t="shared" si="24"/>
        <v>-1.2580529715167976</v>
      </c>
      <c r="U70" s="65">
        <f t="shared" si="24"/>
        <v>-0.72141789364186826</v>
      </c>
      <c r="V70" s="65">
        <f t="shared" si="24"/>
        <v>-0.4159186341906837</v>
      </c>
      <c r="W70" s="65">
        <f t="shared" si="24"/>
        <v>-0.24105640272758622</v>
      </c>
      <c r="X70" s="65">
        <f t="shared" si="24"/>
        <v>-0.14043468944793655</v>
      </c>
      <c r="Y70" s="65">
        <f t="shared" si="24"/>
        <v>-8.2230586959002649E-2</v>
      </c>
    </row>
    <row r="71" spans="1:25" x14ac:dyDescent="0.25">
      <c r="A71" s="21">
        <v>59</v>
      </c>
      <c r="C71" s="25">
        <f t="shared" si="21"/>
        <v>6.02</v>
      </c>
      <c r="D71" s="23">
        <f>FishHarvestTimeTrends!AC80*((1+D$10)^MIN($A71,20))</f>
        <v>1.8393965327950688</v>
      </c>
      <c r="E71" s="23">
        <f>FishHarvestTimeTrends!AD80*((1+E$10)^MIN($A71,20))</f>
        <v>0.26297109496066717</v>
      </c>
      <c r="F71" s="23">
        <f t="shared" si="25"/>
        <v>5.847181802259394</v>
      </c>
      <c r="H71" s="22">
        <f t="shared" si="16"/>
        <v>2.8000000000000001E-2</v>
      </c>
      <c r="I71" s="22"/>
      <c r="J71" s="41"/>
      <c r="K71" s="41">
        <f t="shared" si="6"/>
        <v>0.11894258846504914</v>
      </c>
      <c r="L71" s="41">
        <f t="shared" si="17"/>
        <v>3.6342622063834241E-2</v>
      </c>
      <c r="M71" s="41">
        <f t="shared" si="18"/>
        <v>5.1957579279252484E-3</v>
      </c>
      <c r="N71" s="41">
        <f t="shared" si="6"/>
        <v>0.11552806292133945</v>
      </c>
      <c r="O71" s="41"/>
      <c r="P71" s="41">
        <f t="shared" si="15"/>
        <v>5.5322134169790305E-4</v>
      </c>
      <c r="R71" s="65">
        <f t="shared" si="24"/>
        <v>-3.8896323722442636</v>
      </c>
      <c r="S71" s="65">
        <f t="shared" si="24"/>
        <v>-2.184081683014294</v>
      </c>
      <c r="T71" s="65">
        <f t="shared" si="24"/>
        <v>-1.2333848052974261</v>
      </c>
      <c r="U71" s="65">
        <f t="shared" si="24"/>
        <v>-0.70040546025245443</v>
      </c>
      <c r="V71" s="65">
        <f t="shared" si="24"/>
        <v>-0.3999216142007922</v>
      </c>
      <c r="W71" s="65">
        <f t="shared" si="24"/>
        <v>-0.22957744061793059</v>
      </c>
      <c r="X71" s="65">
        <f t="shared" si="24"/>
        <v>-0.13248550657531533</v>
      </c>
      <c r="Y71" s="65">
        <f t="shared" si="24"/>
        <v>-7.6850987131591747E-2</v>
      </c>
    </row>
    <row r="72" spans="1:25" x14ac:dyDescent="0.25">
      <c r="A72" s="21">
        <v>60</v>
      </c>
      <c r="C72" s="25">
        <f t="shared" si="21"/>
        <v>6.02</v>
      </c>
      <c r="D72" s="23">
        <f>FishHarvestTimeTrends!AC81*((1+D$10)^MIN($A72,20))</f>
        <v>1.8393978476070763</v>
      </c>
      <c r="E72" s="23">
        <f>FishHarvestTimeTrends!AD81*((1+E$10)^MIN($A72,20))</f>
        <v>0.26297123363997749</v>
      </c>
      <c r="F72" s="23">
        <f t="shared" si="25"/>
        <v>5.8501053931605238</v>
      </c>
      <c r="H72" s="22">
        <f t="shared" si="16"/>
        <v>2.8000000000000001E-2</v>
      </c>
      <c r="I72" s="22"/>
      <c r="J72" s="41"/>
      <c r="K72" s="41">
        <f t="shared" si="6"/>
        <v>0.11116129763088702</v>
      </c>
      <c r="L72" s="41">
        <f t="shared" si="17"/>
        <v>3.3965091627817801E-2</v>
      </c>
      <c r="M72" s="41">
        <f t="shared" si="18"/>
        <v>4.8558510915307418E-3</v>
      </c>
      <c r="N72" s="41">
        <f t="shared" si="6"/>
        <v>0.1080241373390655</v>
      </c>
      <c r="O72" s="41"/>
      <c r="P72" s="41">
        <f t="shared" si="15"/>
        <v>5.170292913064513E-4</v>
      </c>
      <c r="R72" s="65">
        <f t="shared" si="24"/>
        <v>-3.8896309187529456</v>
      </c>
      <c r="S72" s="65">
        <f t="shared" si="24"/>
        <v>-2.1624563038208664</v>
      </c>
      <c r="T72" s="65">
        <f t="shared" si="24"/>
        <v>-1.2092003376489351</v>
      </c>
      <c r="U72" s="65">
        <f t="shared" si="24"/>
        <v>-0.68000504710923526</v>
      </c>
      <c r="V72" s="65">
        <f t="shared" si="24"/>
        <v>-0.38453986995836159</v>
      </c>
      <c r="W72" s="65">
        <f t="shared" si="24"/>
        <v>-0.21864509983679634</v>
      </c>
      <c r="X72" s="65">
        <f t="shared" si="24"/>
        <v>-0.12498628025252038</v>
      </c>
      <c r="Y72" s="65">
        <f t="shared" si="24"/>
        <v>-7.1823325620232012E-2</v>
      </c>
    </row>
    <row r="73" spans="1:25" x14ac:dyDescent="0.25">
      <c r="A73" s="21">
        <v>61</v>
      </c>
      <c r="C73" s="25">
        <f t="shared" si="21"/>
        <v>6.02</v>
      </c>
      <c r="D73" s="23">
        <f>FishHarvestTimeTrends!AC82*((1+D$10)^MIN($A73,20))</f>
        <v>1.8393991624190837</v>
      </c>
      <c r="E73" s="23">
        <f>FishHarvestTimeTrends!AD82*((1+E$10)^MIN($A73,20))</f>
        <v>0.26297137231928763</v>
      </c>
      <c r="F73" s="23">
        <f t="shared" si="25"/>
        <v>5.8530304458571036</v>
      </c>
      <c r="H73" s="22">
        <f t="shared" si="16"/>
        <v>2.8000000000000001E-2</v>
      </c>
      <c r="I73" s="22"/>
      <c r="J73" s="41"/>
      <c r="K73" s="41">
        <f t="shared" si="6"/>
        <v>0.10388906320643648</v>
      </c>
      <c r="L73" s="41">
        <f t="shared" si="17"/>
        <v>3.1743098977811052E-2</v>
      </c>
      <c r="M73" s="41">
        <f t="shared" si="18"/>
        <v>4.5381809834488061E-3</v>
      </c>
      <c r="N73" s="41">
        <f t="shared" si="6"/>
        <v>0.10100761626891126</v>
      </c>
      <c r="O73" s="41"/>
      <c r="P73" s="41">
        <f t="shared" si="15"/>
        <v>4.8320494514621622E-4</v>
      </c>
      <c r="R73" s="65">
        <f t="shared" si="24"/>
        <v>-3.8896294652616281</v>
      </c>
      <c r="S73" s="65">
        <f t="shared" si="24"/>
        <v>-2.1410450452934566</v>
      </c>
      <c r="T73" s="65">
        <f t="shared" si="24"/>
        <v>-1.1854900841084208</v>
      </c>
      <c r="U73" s="65">
        <f t="shared" si="24"/>
        <v>-0.66019882815776254</v>
      </c>
      <c r="V73" s="65">
        <f t="shared" si="24"/>
        <v>-0.36974973679049544</v>
      </c>
      <c r="W73" s="65">
        <f t="shared" si="24"/>
        <v>-0.20823335060257761</v>
      </c>
      <c r="X73" s="65">
        <f t="shared" si="24"/>
        <v>-0.11791154108226054</v>
      </c>
      <c r="Y73" s="65">
        <f t="shared" si="24"/>
        <v>-6.7124578300030407E-2</v>
      </c>
    </row>
    <row r="74" spans="1:25" x14ac:dyDescent="0.25">
      <c r="A74" s="21">
        <v>62</v>
      </c>
      <c r="C74" s="25">
        <f t="shared" si="21"/>
        <v>6.02</v>
      </c>
      <c r="D74" s="23">
        <f>FishHarvestTimeTrends!AC83*((1+D$10)^MIN($A74,20))</f>
        <v>1.8394004772310912</v>
      </c>
      <c r="E74" s="23">
        <f>FishHarvestTimeTrends!AD83*((1+E$10)^MIN($A74,20))</f>
        <v>0.26297151099859789</v>
      </c>
      <c r="F74" s="23">
        <f t="shared" si="25"/>
        <v>5.8559569610800315</v>
      </c>
      <c r="H74" s="22">
        <f t="shared" si="16"/>
        <v>2.8000000000000001E-2</v>
      </c>
      <c r="I74" s="22"/>
      <c r="J74" s="41"/>
      <c r="K74" s="41">
        <f t="shared" si="6"/>
        <v>9.7092582435921948E-2</v>
      </c>
      <c r="L74" s="41">
        <f t="shared" si="17"/>
        <v>2.9666468848543837E-2</v>
      </c>
      <c r="M74" s="41">
        <f t="shared" si="18"/>
        <v>4.2412928754037077E-3</v>
      </c>
      <c r="N74" s="41">
        <f t="shared" si="6"/>
        <v>9.444684119350065E-2</v>
      </c>
      <c r="O74" s="41"/>
      <c r="P74" s="41">
        <f t="shared" si="15"/>
        <v>4.5159340667870674E-4</v>
      </c>
      <c r="R74" s="65">
        <f t="shared" si="24"/>
        <v>-3.8896280117703106</v>
      </c>
      <c r="S74" s="65">
        <f t="shared" si="24"/>
        <v>-2.1198457873462564</v>
      </c>
      <c r="T74" s="65">
        <f t="shared" si="24"/>
        <v>-1.1622447461863166</v>
      </c>
      <c r="U74" s="65">
        <f t="shared" si="24"/>
        <v>-0.64096949655552427</v>
      </c>
      <c r="V74" s="65">
        <f t="shared" si="24"/>
        <v>-0.35552846021252682</v>
      </c>
      <c r="W74" s="65">
        <f t="shared" si="24"/>
        <v>-0.19831740265634154</v>
      </c>
      <c r="X74" s="65">
        <f t="shared" si="24"/>
        <v>-0.11123726134022065</v>
      </c>
      <c r="Y74" s="65">
        <f t="shared" si="24"/>
        <v>-6.2733227305295694E-2</v>
      </c>
    </row>
    <row r="75" spans="1:25" x14ac:dyDescent="0.25">
      <c r="A75" s="21">
        <v>63</v>
      </c>
      <c r="C75" s="25">
        <f t="shared" si="21"/>
        <v>6.02</v>
      </c>
      <c r="D75" s="23">
        <f>FishHarvestTimeTrends!AC84*((1+D$10)^MIN($A75,20))</f>
        <v>1.8394017920430983</v>
      </c>
      <c r="E75" s="23">
        <f>FishHarvestTimeTrends!AD84*((1+E$10)^MIN($A75,20))</f>
        <v>0.26297164967790809</v>
      </c>
      <c r="F75" s="23">
        <f t="shared" si="25"/>
        <v>5.8588849395605713</v>
      </c>
      <c r="H75" s="22">
        <f t="shared" si="16"/>
        <v>2.8000000000000001E-2</v>
      </c>
      <c r="I75" s="22"/>
      <c r="J75" s="41"/>
      <c r="K75" s="41">
        <f t="shared" si="6"/>
        <v>9.0740731248525192E-2</v>
      </c>
      <c r="L75" s="41">
        <f t="shared" si="17"/>
        <v>2.7725691639508044E-2</v>
      </c>
      <c r="M75" s="41">
        <f t="shared" si="18"/>
        <v>3.9638272075422547E-3</v>
      </c>
      <c r="N75" s="41">
        <f t="shared" si="6"/>
        <v>8.8312209919717208E-2</v>
      </c>
      <c r="O75" s="41"/>
      <c r="P75" s="41">
        <f t="shared" si="15"/>
        <v>4.2204991278383812E-4</v>
      </c>
      <c r="R75" s="65">
        <f t="shared" si="24"/>
        <v>-3.8896265582789931</v>
      </c>
      <c r="S75" s="65">
        <f t="shared" si="24"/>
        <v>-2.0988564308851889</v>
      </c>
      <c r="T75" s="65">
        <f t="shared" si="24"/>
        <v>-1.1394552077197855</v>
      </c>
      <c r="U75" s="65">
        <f t="shared" si="24"/>
        <v>-0.62230024954907848</v>
      </c>
      <c r="V75" s="65">
        <f t="shared" si="24"/>
        <v>-0.34185416092045157</v>
      </c>
      <c r="W75" s="65">
        <f t="shared" si="24"/>
        <v>-0.18887364623649863</v>
      </c>
      <c r="X75" s="65">
        <f t="shared" si="24"/>
        <v>-0.10494077337042299</v>
      </c>
      <c r="Y75" s="65">
        <f t="shared" si="24"/>
        <v>-5.8629162488691051E-2</v>
      </c>
    </row>
    <row r="76" spans="1:25" x14ac:dyDescent="0.25">
      <c r="A76" s="21">
        <v>64</v>
      </c>
      <c r="C76" s="25">
        <f t="shared" si="21"/>
        <v>6.02</v>
      </c>
      <c r="D76" s="23">
        <f>FishHarvestTimeTrends!AC85*((1+D$10)^MIN($A76,20))</f>
        <v>1.8394031068551058</v>
      </c>
      <c r="E76" s="23">
        <f>FishHarvestTimeTrends!AD85*((1+E$10)^MIN($A76,20))</f>
        <v>0.26297178835721835</v>
      </c>
      <c r="F76" s="23">
        <f t="shared" si="25"/>
        <v>5.8618143820303512</v>
      </c>
      <c r="H76" s="22">
        <f t="shared" si="16"/>
        <v>2.8000000000000001E-2</v>
      </c>
      <c r="I76" s="22"/>
      <c r="J76" s="41"/>
      <c r="K76" s="41">
        <f t="shared" si="6"/>
        <v>8.4804421727593615E-2</v>
      </c>
      <c r="L76" s="41">
        <f t="shared" si="17"/>
        <v>2.5911879867240258E-2</v>
      </c>
      <c r="M76" s="41">
        <f t="shared" si="18"/>
        <v>3.7045133625091429E-3</v>
      </c>
      <c r="N76" s="41">
        <f t="shared" si="6"/>
        <v>8.2576043013716863E-2</v>
      </c>
      <c r="O76" s="41"/>
      <c r="P76" s="41">
        <f t="shared" si="15"/>
        <v>3.9443917082601686E-4</v>
      </c>
      <c r="R76" s="65">
        <f t="shared" si="24"/>
        <v>-3.8896251047876755</v>
      </c>
      <c r="S76" s="65">
        <f t="shared" si="24"/>
        <v>-2.0780748976000649</v>
      </c>
      <c r="T76" s="65">
        <f t="shared" si="24"/>
        <v>-1.1171125312976222</v>
      </c>
      <c r="U76" s="65">
        <f t="shared" si="24"/>
        <v>-0.60417477379166495</v>
      </c>
      <c r="V76" s="65">
        <f t="shared" si="24"/>
        <v>-0.32870580112981918</v>
      </c>
      <c r="W76" s="65">
        <f t="shared" si="24"/>
        <v>-0.17987959586422261</v>
      </c>
      <c r="X76" s="65">
        <f t="shared" si="24"/>
        <v>-9.9000692599747281E-2</v>
      </c>
      <c r="Y76" s="65">
        <f t="shared" si="24"/>
        <v>-5.4793589327018201E-2</v>
      </c>
    </row>
    <row r="77" spans="1:25" x14ac:dyDescent="0.25">
      <c r="A77" s="21">
        <v>65</v>
      </c>
      <c r="C77" s="25">
        <f t="shared" si="21"/>
        <v>6.02</v>
      </c>
      <c r="D77" s="23">
        <f>FishHarvestTimeTrends!AC86*((1+D$10)^MIN($A77,20))</f>
        <v>1.8394044216671133</v>
      </c>
      <c r="E77" s="23">
        <f>FishHarvestTimeTrends!AD86*((1+E$10)^MIN($A77,20))</f>
        <v>0.26297192703652855</v>
      </c>
      <c r="F77" s="23">
        <f t="shared" si="25"/>
        <v>5.8647452892213661</v>
      </c>
      <c r="H77" s="22">
        <f t="shared" si="16"/>
        <v>2.8000000000000001E-2</v>
      </c>
      <c r="I77" s="22"/>
      <c r="J77" s="41"/>
      <c r="K77" s="41">
        <f t="shared" ref="K77:N112" si="26">C77/((1+$M$9)^($A77-1))</f>
        <v>7.9256468904293109E-2</v>
      </c>
      <c r="L77" s="41">
        <f t="shared" si="17"/>
        <v>2.4216727466491499E-2</v>
      </c>
      <c r="M77" s="41">
        <f t="shared" ref="M77:M112" si="27">E77/((1+$M$9)^(($A77+$M$7)-1))</f>
        <v>3.4621638468227017E-3</v>
      </c>
      <c r="N77" s="41">
        <f t="shared" si="26"/>
        <v>7.7212458911424045E-2</v>
      </c>
      <c r="O77" s="41"/>
      <c r="P77" s="41">
        <f t="shared" si="15"/>
        <v>3.6863473908973544E-4</v>
      </c>
      <c r="R77" s="65">
        <f t="shared" si="24"/>
        <v>-3.8896236512963576</v>
      </c>
      <c r="S77" s="65">
        <f t="shared" si="24"/>
        <v>-2.057499129758789</v>
      </c>
      <c r="T77" s="65">
        <f t="shared" si="24"/>
        <v>-1.0952079547552509</v>
      </c>
      <c r="U77" s="65">
        <f t="shared" si="24"/>
        <v>-0.58657723108846394</v>
      </c>
      <c r="V77" s="65">
        <f t="shared" si="24"/>
        <v>-0.31606315220929382</v>
      </c>
      <c r="W77" s="65">
        <f t="shared" si="24"/>
        <v>-0.17131383680577683</v>
      </c>
      <c r="X77" s="65">
        <f t="shared" si="24"/>
        <v>-9.3396844910147131E-2</v>
      </c>
      <c r="Y77" s="65">
        <f t="shared" si="24"/>
        <v>-5.1208942851889171E-2</v>
      </c>
    </row>
    <row r="78" spans="1:25" x14ac:dyDescent="0.25">
      <c r="A78" s="21">
        <v>66</v>
      </c>
      <c r="C78" s="25">
        <f t="shared" si="21"/>
        <v>6.02</v>
      </c>
      <c r="D78" s="23">
        <f>FishHarvestTimeTrends!AC87*((1+D$10)^MIN($A78,20))</f>
        <v>1.8394057364791205</v>
      </c>
      <c r="E78" s="23">
        <f>FishHarvestTimeTrends!AD87*((1+E$10)^MIN($A78,20))</f>
        <v>0.26297206571583881</v>
      </c>
      <c r="F78" s="23">
        <f t="shared" si="25"/>
        <v>5.8676776618659767</v>
      </c>
      <c r="H78" s="22">
        <f t="shared" si="16"/>
        <v>2.8000000000000001E-2</v>
      </c>
      <c r="I78" s="22"/>
      <c r="J78" s="41"/>
      <c r="K78" s="41">
        <f t="shared" si="26"/>
        <v>7.4071466265694483E-2</v>
      </c>
      <c r="L78" s="41">
        <f t="shared" ref="L78:L112" si="28">D78/((1+$M$9)^(($A78+$M$7)-1))</f>
        <v>2.2632471753909984E-2</v>
      </c>
      <c r="M78" s="41">
        <f t="shared" si="27"/>
        <v>3.2356688529054404E-3</v>
      </c>
      <c r="N78" s="41">
        <f t="shared" si="26"/>
        <v>7.2197257141009108E-2</v>
      </c>
      <c r="O78" s="41"/>
      <c r="P78" s="41">
        <f t="shared" si="15"/>
        <v>3.4451844774741628E-4</v>
      </c>
      <c r="R78" s="65">
        <f t="shared" ref="R78:Y93" si="29">(($D78/((1+R$10)^$M$7))+$G78+$H78+IF($M$3="Yes",$E78/((1+R$10)^$M$7),0)+IF($M$4="Yes",$F78)-($B78*(1+$M$5))-$C78)/((1+R$10)^($A78-1))</f>
        <v>-3.88962219780504</v>
      </c>
      <c r="S78" s="65">
        <f t="shared" si="29"/>
        <v>-2.0371270900036169</v>
      </c>
      <c r="T78" s="65">
        <f t="shared" si="29"/>
        <v>-1.0737328877384564</v>
      </c>
      <c r="U78" s="65">
        <f t="shared" si="29"/>
        <v>-0.56949224455704661</v>
      </c>
      <c r="V78" s="65">
        <f t="shared" si="29"/>
        <v>-0.3039067635590903</v>
      </c>
      <c r="W78" s="65">
        <f t="shared" si="29"/>
        <v>-0.1631559740842709</v>
      </c>
      <c r="X78" s="65">
        <f t="shared" si="29"/>
        <v>-8.8110198121898006E-2</v>
      </c>
      <c r="Y78" s="65">
        <f t="shared" si="29"/>
        <v>-4.7858807211131643E-2</v>
      </c>
    </row>
    <row r="79" spans="1:25" x14ac:dyDescent="0.25">
      <c r="A79" s="21">
        <v>67</v>
      </c>
      <c r="C79" s="25">
        <f t="shared" si="21"/>
        <v>6.02</v>
      </c>
      <c r="D79" s="23">
        <f>FishHarvestTimeTrends!AC88*((1+D$10)^MIN($A79,20))</f>
        <v>1.839407051291128</v>
      </c>
      <c r="E79" s="23">
        <f>FishHarvestTimeTrends!AD88*((1+E$10)^MIN($A79,20))</f>
        <v>0.26297220439514901</v>
      </c>
      <c r="F79" s="23">
        <f t="shared" ref="F79:F94" si="30">F78*(1+F$10)</f>
        <v>5.8706115006969091</v>
      </c>
      <c r="H79" s="22">
        <f t="shared" si="16"/>
        <v>2.8000000000000001E-2</v>
      </c>
      <c r="I79" s="22"/>
      <c r="J79" s="41"/>
      <c r="K79" s="41">
        <f t="shared" si="26"/>
        <v>6.9225669407191118E-2</v>
      </c>
      <c r="L79" s="41">
        <f t="shared" si="28"/>
        <v>2.1151857880055792E-2</v>
      </c>
      <c r="M79" s="41">
        <f t="shared" si="27"/>
        <v>3.0239911768669232E-3</v>
      </c>
      <c r="N79" s="41">
        <f t="shared" si="26"/>
        <v>6.7507809130448238E-2</v>
      </c>
      <c r="O79" s="41"/>
      <c r="P79" s="41">
        <f t="shared" si="15"/>
        <v>3.2197985770786568E-4</v>
      </c>
      <c r="R79" s="65">
        <f t="shared" si="29"/>
        <v>-3.8896207443137225</v>
      </c>
      <c r="S79" s="65">
        <f t="shared" si="29"/>
        <v>-2.0169567611494137</v>
      </c>
      <c r="T79" s="65">
        <f t="shared" si="29"/>
        <v>-1.0526789083344872</v>
      </c>
      <c r="U79" s="65">
        <f t="shared" si="29"/>
        <v>-0.55290488519092484</v>
      </c>
      <c r="V79" s="65">
        <f t="shared" si="29"/>
        <v>-0.29221793268640345</v>
      </c>
      <c r="W79" s="65">
        <f t="shared" si="29"/>
        <v>-0.15538658391944865</v>
      </c>
      <c r="X79" s="65">
        <f t="shared" si="29"/>
        <v>-8.3122797355176789E-2</v>
      </c>
      <c r="Y79" s="65">
        <f t="shared" si="29"/>
        <v>-4.4727840492560532E-2</v>
      </c>
    </row>
    <row r="80" spans="1:25" x14ac:dyDescent="0.25">
      <c r="A80" s="21">
        <v>68</v>
      </c>
      <c r="C80" s="25">
        <f t="shared" si="21"/>
        <v>6.02</v>
      </c>
      <c r="D80" s="23">
        <f>FishHarvestTimeTrends!AC89*((1+D$10)^MIN($A80,20))</f>
        <v>1.8394083661031355</v>
      </c>
      <c r="E80" s="23">
        <f>FishHarvestTimeTrends!AD89*((1+E$10)^MIN($A80,20))</f>
        <v>0.26297234307445921</v>
      </c>
      <c r="F80" s="23">
        <f t="shared" si="30"/>
        <v>5.8735468064472576</v>
      </c>
      <c r="H80" s="22">
        <f t="shared" si="16"/>
        <v>2.8000000000000001E-2</v>
      </c>
      <c r="I80" s="22"/>
      <c r="J80" s="41"/>
      <c r="K80" s="41">
        <f t="shared" si="26"/>
        <v>6.4696887296440297E-2</v>
      </c>
      <c r="L80" s="41">
        <f t="shared" si="28"/>
        <v>1.9768105606960788E-2</v>
      </c>
      <c r="M80" s="41">
        <f t="shared" si="27"/>
        <v>2.8261614687656346E-3</v>
      </c>
      <c r="N80" s="41">
        <f t="shared" si="26"/>
        <v>6.3122956107489206E-2</v>
      </c>
      <c r="O80" s="41"/>
      <c r="P80" s="41">
        <f t="shared" si="15"/>
        <v>3.0091575486716418E-4</v>
      </c>
      <c r="R80" s="65">
        <f t="shared" si="29"/>
        <v>-3.889619290822405</v>
      </c>
      <c r="S80" s="65">
        <f t="shared" si="29"/>
        <v>-1.9969861459839227</v>
      </c>
      <c r="T80" s="65">
        <f t="shared" si="29"/>
        <v>-1.0320377597692207</v>
      </c>
      <c r="U80" s="65">
        <f t="shared" si="29"/>
        <v>-0.53680065881445793</v>
      </c>
      <c r="V80" s="65">
        <f t="shared" si="29"/>
        <v>-0.28097867643179447</v>
      </c>
      <c r="W80" s="65">
        <f t="shared" si="29"/>
        <v>-0.14798716747988319</v>
      </c>
      <c r="X80" s="65">
        <f t="shared" si="29"/>
        <v>-7.8417704050442127E-2</v>
      </c>
      <c r="Y80" s="65">
        <f t="shared" si="29"/>
        <v>-4.1801704465846704E-2</v>
      </c>
    </row>
    <row r="81" spans="1:25" x14ac:dyDescent="0.25">
      <c r="A81" s="21">
        <v>69</v>
      </c>
      <c r="C81" s="25">
        <f t="shared" si="21"/>
        <v>6.02</v>
      </c>
      <c r="D81" s="23">
        <f>FishHarvestTimeTrends!AC90*((1+D$10)^MIN($A81,20))</f>
        <v>1.8394096809151428</v>
      </c>
      <c r="E81" s="23">
        <f>FishHarvestTimeTrends!AD90*((1+E$10)^MIN($A81,20))</f>
        <v>0.26297248175376947</v>
      </c>
      <c r="F81" s="23">
        <f t="shared" si="30"/>
        <v>5.8764835798504809</v>
      </c>
      <c r="H81" s="22">
        <f t="shared" si="16"/>
        <v>2.8000000000000001E-2</v>
      </c>
      <c r="I81" s="22"/>
      <c r="J81" s="41"/>
      <c r="K81" s="41">
        <f t="shared" si="26"/>
        <v>6.046438065087878E-2</v>
      </c>
      <c r="L81" s="41">
        <f t="shared" si="28"/>
        <v>1.8474878259097122E-2</v>
      </c>
      <c r="M81" s="41">
        <f t="shared" si="27"/>
        <v>2.6412737935990354E-3</v>
      </c>
      <c r="N81" s="41">
        <f t="shared" si="26"/>
        <v>5.9022913631348553E-2</v>
      </c>
      <c r="O81" s="41"/>
      <c r="P81" s="41">
        <f t="shared" si="15"/>
        <v>2.8122967744594784E-4</v>
      </c>
      <c r="R81" s="65">
        <f t="shared" si="29"/>
        <v>-3.8896178373310875</v>
      </c>
      <c r="S81" s="65">
        <f t="shared" si="29"/>
        <v>-1.9772132670700022</v>
      </c>
      <c r="T81" s="65">
        <f t="shared" si="29"/>
        <v>-1.0118013471690916</v>
      </c>
      <c r="U81" s="65">
        <f t="shared" si="29"/>
        <v>-0.52116549341771945</v>
      </c>
      <c r="V81" s="65">
        <f t="shared" si="29"/>
        <v>-0.27017170330226425</v>
      </c>
      <c r="W81" s="65">
        <f t="shared" si="29"/>
        <v>-0.14094010683746583</v>
      </c>
      <c r="X81" s="65">
        <f t="shared" si="29"/>
        <v>-7.397893844051312E-2</v>
      </c>
      <c r="Y81" s="65">
        <f t="shared" si="29"/>
        <v>-3.9066998920736673E-2</v>
      </c>
    </row>
    <row r="82" spans="1:25" x14ac:dyDescent="0.25">
      <c r="A82" s="21">
        <v>70</v>
      </c>
      <c r="C82" s="25">
        <f t="shared" si="21"/>
        <v>6.02</v>
      </c>
      <c r="D82" s="23">
        <f>FishHarvestTimeTrends!AC91*((1+D$10)^MIN($A82,20))</f>
        <v>1.8394109957271503</v>
      </c>
      <c r="E82" s="23">
        <f>FishHarvestTimeTrends!AD91*((1+E$10)^MIN($A82,20))</f>
        <v>0.26297262043307967</v>
      </c>
      <c r="F82" s="23">
        <f t="shared" si="30"/>
        <v>5.8794218216404062</v>
      </c>
      <c r="H82" s="22">
        <f t="shared" si="16"/>
        <v>2.8000000000000001E-2</v>
      </c>
      <c r="I82" s="22"/>
      <c r="J82" s="41"/>
      <c r="K82" s="41">
        <f t="shared" si="26"/>
        <v>5.6508766963438109E-2</v>
      </c>
      <c r="L82" s="41">
        <f t="shared" si="28"/>
        <v>1.7266253705569966E-2</v>
      </c>
      <c r="M82" s="41">
        <f t="shared" si="27"/>
        <v>2.4684814826939471E-3</v>
      </c>
      <c r="N82" s="41">
        <f t="shared" si="26"/>
        <v>5.5189182325387123E-2</v>
      </c>
      <c r="O82" s="41"/>
      <c r="P82" s="41">
        <f t="shared" si="15"/>
        <v>2.6283147424854933E-4</v>
      </c>
      <c r="R82" s="65">
        <f t="shared" si="29"/>
        <v>-3.8896163838397695</v>
      </c>
      <c r="S82" s="65">
        <f t="shared" si="29"/>
        <v>-1.9576361665498305</v>
      </c>
      <c r="T82" s="65">
        <f t="shared" si="29"/>
        <v>-0.99196173438651125</v>
      </c>
      <c r="U82" s="65">
        <f t="shared" si="29"/>
        <v>-0.50598572686025456</v>
      </c>
      <c r="V82" s="65">
        <f t="shared" si="29"/>
        <v>-0.25978038686844968</v>
      </c>
      <c r="W82" s="65">
        <f t="shared" si="29"/>
        <v>-0.13422862301931521</v>
      </c>
      <c r="X82" s="65">
        <f t="shared" si="29"/>
        <v>-6.9791425278965522E-2</v>
      </c>
      <c r="Y82" s="65">
        <f t="shared" si="29"/>
        <v>-3.6511200300925646E-2</v>
      </c>
    </row>
    <row r="83" spans="1:25" x14ac:dyDescent="0.25">
      <c r="A83" s="21">
        <v>71</v>
      </c>
      <c r="C83" s="25">
        <f t="shared" si="21"/>
        <v>6.02</v>
      </c>
      <c r="D83" s="23">
        <f>FishHarvestTimeTrends!AC92*((1+D$10)^MIN($A83,20))</f>
        <v>1.8394123105391578</v>
      </c>
      <c r="E83" s="23">
        <f>FishHarvestTimeTrends!AD92*((1+E$10)^MIN($A83,20))</f>
        <v>0.26297275911238988</v>
      </c>
      <c r="F83" s="23">
        <f t="shared" si="30"/>
        <v>5.8823615325512257</v>
      </c>
      <c r="H83" s="22">
        <f t="shared" si="16"/>
        <v>2.8000000000000001E-2</v>
      </c>
      <c r="I83" s="22"/>
      <c r="J83" s="41"/>
      <c r="K83" s="41">
        <f t="shared" si="26"/>
        <v>5.281193174153094E-2</v>
      </c>
      <c r="L83" s="41">
        <f t="shared" si="28"/>
        <v>1.6136697240652115E-2</v>
      </c>
      <c r="M83" s="41">
        <f t="shared" si="27"/>
        <v>2.3069932564992682E-3</v>
      </c>
      <c r="N83" s="41">
        <f t="shared" si="26"/>
        <v>5.1604464407990484E-2</v>
      </c>
      <c r="O83" s="41"/>
      <c r="P83" s="41">
        <f t="shared" si="15"/>
        <v>2.4563689182107416E-4</v>
      </c>
      <c r="R83" s="65">
        <f t="shared" si="29"/>
        <v>-3.889614930348452</v>
      </c>
      <c r="S83" s="65">
        <f t="shared" si="29"/>
        <v>-1.9382529059510392</v>
      </c>
      <c r="T83" s="65">
        <f t="shared" si="29"/>
        <v>-0.97251114088753488</v>
      </c>
      <c r="U83" s="65">
        <f t="shared" si="29"/>
        <v>-0.49124809493298616</v>
      </c>
      <c r="V83" s="65">
        <f t="shared" si="29"/>
        <v>-0.24978874018501396</v>
      </c>
      <c r="W83" s="65">
        <f t="shared" si="29"/>
        <v>-0.12783673605723006</v>
      </c>
      <c r="X83" s="65">
        <f t="shared" si="29"/>
        <v>-6.5840942640524924E-2</v>
      </c>
      <c r="Y83" s="65">
        <f t="shared" si="29"/>
        <v>-3.412260435255849E-2</v>
      </c>
    </row>
    <row r="84" spans="1:25" x14ac:dyDescent="0.25">
      <c r="A84" s="21">
        <v>72</v>
      </c>
      <c r="C84" s="25">
        <f t="shared" si="21"/>
        <v>6.02</v>
      </c>
      <c r="D84" s="23">
        <f>FishHarvestTimeTrends!AC93*((1+D$10)^MIN($A84,20))</f>
        <v>1.839413625351165</v>
      </c>
      <c r="E84" s="23">
        <f>FishHarvestTimeTrends!AD93*((1+E$10)^MIN($A84,20))</f>
        <v>0.26297289779170013</v>
      </c>
      <c r="F84" s="23">
        <f t="shared" si="30"/>
        <v>5.8853027133175013</v>
      </c>
      <c r="H84" s="22">
        <f t="shared" si="16"/>
        <v>2.8000000000000001E-2</v>
      </c>
      <c r="I84" s="22"/>
      <c r="J84" s="41"/>
      <c r="K84" s="41">
        <f t="shared" si="26"/>
        <v>4.9356945552832654E-2</v>
      </c>
      <c r="L84" s="41">
        <f t="shared" si="28"/>
        <v>1.5081036238471094E-2</v>
      </c>
      <c r="M84" s="41">
        <f t="shared" si="27"/>
        <v>2.1560696010258424E-3</v>
      </c>
      <c r="N84" s="41">
        <f t="shared" si="26"/>
        <v>4.8252585645041569E-2</v>
      </c>
      <c r="O84" s="41"/>
      <c r="P84" s="41">
        <f t="shared" ref="P84:P112" si="31">H84/((1+$M$9)^($A84-1))</f>
        <v>2.2956718861782632E-4</v>
      </c>
      <c r="R84" s="65">
        <f t="shared" si="29"/>
        <v>-3.8896134768571344</v>
      </c>
      <c r="S84" s="65">
        <f t="shared" si="29"/>
        <v>-1.919061565994775</v>
      </c>
      <c r="T84" s="65">
        <f t="shared" si="29"/>
        <v>-0.9534419387005576</v>
      </c>
      <c r="U84" s="65">
        <f t="shared" si="29"/>
        <v>-0.47693971976783567</v>
      </c>
      <c r="V84" s="65">
        <f t="shared" si="29"/>
        <v>-0.24018139119487741</v>
      </c>
      <c r="W84" s="65">
        <f t="shared" si="29"/>
        <v>-0.12174922693956272</v>
      </c>
      <c r="X84" s="65">
        <f t="shared" si="29"/>
        <v>-6.2114073619568631E-2</v>
      </c>
      <c r="Y84" s="65">
        <f t="shared" si="29"/>
        <v>-3.1890272524717891E-2</v>
      </c>
    </row>
    <row r="85" spans="1:25" x14ac:dyDescent="0.25">
      <c r="A85" s="21">
        <v>73</v>
      </c>
      <c r="C85" s="25">
        <f t="shared" si="21"/>
        <v>6.02</v>
      </c>
      <c r="D85" s="23">
        <f>FishHarvestTimeTrends!AC94*((1+D$10)^MIN($A85,20))</f>
        <v>1.8394149401631723</v>
      </c>
      <c r="E85" s="23">
        <f>FishHarvestTimeTrends!AD94*((1+E$10)^MIN($A85,20))</f>
        <v>0.26297303647101039</v>
      </c>
      <c r="F85" s="23">
        <f t="shared" si="30"/>
        <v>5.8882453646741597</v>
      </c>
      <c r="H85" s="22">
        <f t="shared" ref="H85:H112" si="32">B$8</f>
        <v>2.8000000000000001E-2</v>
      </c>
      <c r="I85" s="22"/>
      <c r="J85" s="41"/>
      <c r="K85" s="41">
        <f t="shared" si="26"/>
        <v>4.6127986497974442E-2</v>
      </c>
      <c r="L85" s="41">
        <f t="shared" si="28"/>
        <v>1.4094436465783934E-2</v>
      </c>
      <c r="M85" s="41">
        <f t="shared" si="27"/>
        <v>2.0150193813398853E-3</v>
      </c>
      <c r="N85" s="41">
        <f t="shared" si="26"/>
        <v>4.5118422371835588E-2</v>
      </c>
      <c r="O85" s="41"/>
      <c r="P85" s="41">
        <f t="shared" si="31"/>
        <v>2.1454877440918349E-4</v>
      </c>
      <c r="R85" s="65">
        <f t="shared" si="29"/>
        <v>-3.8896120233658169</v>
      </c>
      <c r="S85" s="65">
        <f t="shared" si="29"/>
        <v>-1.9000602464056511</v>
      </c>
      <c r="T85" s="65">
        <f t="shared" si="29"/>
        <v>-0.93474664942483887</v>
      </c>
      <c r="U85" s="65">
        <f t="shared" si="29"/>
        <v>-0.46304809858493301</v>
      </c>
      <c r="V85" s="65">
        <f t="shared" si="29"/>
        <v>-0.23094355907944802</v>
      </c>
      <c r="W85" s="65">
        <f t="shared" si="29"/>
        <v>-0.11595160137492215</v>
      </c>
      <c r="X85" s="65">
        <f t="shared" si="29"/>
        <v>-5.8598160762691871E-2</v>
      </c>
      <c r="Y85" s="65">
        <f t="shared" si="29"/>
        <v>-2.980398187644144E-2</v>
      </c>
    </row>
    <row r="86" spans="1:25" x14ac:dyDescent="0.25">
      <c r="A86" s="21">
        <v>74</v>
      </c>
      <c r="C86" s="25">
        <f t="shared" si="21"/>
        <v>6.02</v>
      </c>
      <c r="D86" s="23">
        <f>FishHarvestTimeTrends!AC95*((1+D$10)^MIN($A86,20))</f>
        <v>1.83941625497518</v>
      </c>
      <c r="E86" s="23">
        <f>FishHarvestTimeTrends!AD95*((1+E$10)^MIN($A86,20))</f>
        <v>0.26297317515032054</v>
      </c>
      <c r="F86" s="23">
        <f t="shared" si="30"/>
        <v>5.8911894873564963</v>
      </c>
      <c r="H86" s="22">
        <f t="shared" si="32"/>
        <v>2.8000000000000001E-2</v>
      </c>
      <c r="I86" s="22"/>
      <c r="J86" s="41"/>
      <c r="K86" s="41">
        <f t="shared" si="26"/>
        <v>4.3110267755116297E-2</v>
      </c>
      <c r="L86" s="41">
        <f t="shared" si="28"/>
        <v>1.3172379944367655E-2</v>
      </c>
      <c r="M86" s="41">
        <f t="shared" si="27"/>
        <v>1.8831966766018962E-3</v>
      </c>
      <c r="N86" s="41">
        <f t="shared" si="26"/>
        <v>4.2187833255160283E-2</v>
      </c>
      <c r="O86" s="41"/>
      <c r="P86" s="41">
        <f t="shared" si="31"/>
        <v>2.005128732796107E-4</v>
      </c>
      <c r="R86" s="65">
        <f t="shared" si="29"/>
        <v>-3.8896105698744989</v>
      </c>
      <c r="S86" s="65">
        <f t="shared" si="29"/>
        <v>-1.8812470657235965</v>
      </c>
      <c r="T86" s="65">
        <f t="shared" si="29"/>
        <v>-0.91641794129768728</v>
      </c>
      <c r="U86" s="65">
        <f t="shared" si="29"/>
        <v>-0.44956109276758055</v>
      </c>
      <c r="V86" s="65">
        <f t="shared" si="29"/>
        <v>-0.22206103151846751</v>
      </c>
      <c r="W86" s="65">
        <f t="shared" si="29"/>
        <v>-0.11043005528142746</v>
      </c>
      <c r="X86" s="65">
        <f t="shared" si="29"/>
        <v>-5.528126308057861E-2</v>
      </c>
      <c r="Y86" s="65">
        <f t="shared" si="29"/>
        <v>-2.7854178260867134E-2</v>
      </c>
    </row>
    <row r="87" spans="1:25" x14ac:dyDescent="0.25">
      <c r="A87" s="21">
        <v>75</v>
      </c>
      <c r="C87" s="25">
        <f t="shared" si="21"/>
        <v>6.02</v>
      </c>
      <c r="D87" s="23">
        <f>FishHarvestTimeTrends!AC96*((1+D$10)^MIN($A87,20))</f>
        <v>1.8394175697871873</v>
      </c>
      <c r="E87" s="23">
        <f>FishHarvestTimeTrends!AD96*((1+E$10)^MIN($A87,20))</f>
        <v>0.26297331382963085</v>
      </c>
      <c r="F87" s="23">
        <f t="shared" si="30"/>
        <v>5.8941350821001741</v>
      </c>
      <c r="H87" s="22">
        <f t="shared" si="32"/>
        <v>2.8000000000000001E-2</v>
      </c>
      <c r="I87" s="22"/>
      <c r="J87" s="41"/>
      <c r="K87" s="41">
        <f t="shared" si="26"/>
        <v>4.0289969864594675E-2</v>
      </c>
      <c r="L87" s="41">
        <f t="shared" si="28"/>
        <v>1.2310644261649793E-2</v>
      </c>
      <c r="M87" s="41">
        <f t="shared" si="27"/>
        <v>1.7599978221575457E-3</v>
      </c>
      <c r="N87" s="41">
        <f t="shared" si="26"/>
        <v>3.9447595487652205E-2</v>
      </c>
      <c r="O87" s="41"/>
      <c r="P87" s="41">
        <f t="shared" si="31"/>
        <v>1.8739520867253339E-4</v>
      </c>
      <c r="R87" s="65">
        <f t="shared" si="29"/>
        <v>-3.8896091163831814</v>
      </c>
      <c r="S87" s="65">
        <f t="shared" si="29"/>
        <v>-1.862620161117551</v>
      </c>
      <c r="T87" s="65">
        <f t="shared" si="29"/>
        <v>-0.89844862631914946</v>
      </c>
      <c r="U87" s="65">
        <f t="shared" si="29"/>
        <v>-0.43646691725542747</v>
      </c>
      <c r="V87" s="65">
        <f t="shared" si="29"/>
        <v>-0.21352014282448634</v>
      </c>
      <c r="W87" s="65">
        <f t="shared" si="29"/>
        <v>-0.1051714419193429</v>
      </c>
      <c r="X87" s="65">
        <f t="shared" si="29"/>
        <v>-5.2152115493177983E-2</v>
      </c>
      <c r="Y87" s="65">
        <f t="shared" si="29"/>
        <v>-2.6031932572114801E-2</v>
      </c>
    </row>
    <row r="88" spans="1:25" x14ac:dyDescent="0.25">
      <c r="A88" s="21">
        <v>76</v>
      </c>
      <c r="C88" s="25">
        <f t="shared" si="21"/>
        <v>6.02</v>
      </c>
      <c r="D88" s="23">
        <f>FishHarvestTimeTrends!AC97*((1+D$10)^MIN($A88,20))</f>
        <v>1.8394188845991946</v>
      </c>
      <c r="E88" s="23">
        <f>FishHarvestTimeTrends!AD97*((1+E$10)^MIN($A88,20))</f>
        <v>0.262973452508941</v>
      </c>
      <c r="F88" s="23">
        <f t="shared" si="30"/>
        <v>5.897082149641224</v>
      </c>
      <c r="H88" s="22">
        <f t="shared" si="32"/>
        <v>2.8000000000000001E-2</v>
      </c>
      <c r="I88" s="22"/>
      <c r="J88" s="41"/>
      <c r="K88" s="41">
        <f t="shared" si="26"/>
        <v>3.7654177443546419E-2</v>
      </c>
      <c r="L88" s="41">
        <f t="shared" si="28"/>
        <v>1.1505283234835267E-2</v>
      </c>
      <c r="M88" s="41">
        <f t="shared" si="27"/>
        <v>1.6448586451351648E-3</v>
      </c>
      <c r="N88" s="41">
        <f t="shared" si="26"/>
        <v>3.6885345126538342E-2</v>
      </c>
      <c r="O88" s="41"/>
      <c r="P88" s="41">
        <f t="shared" si="31"/>
        <v>1.751357090397508E-4</v>
      </c>
      <c r="R88" s="65">
        <f t="shared" si="29"/>
        <v>-3.8896076628918639</v>
      </c>
      <c r="S88" s="65">
        <f t="shared" si="29"/>
        <v>-1.8441776882010166</v>
      </c>
      <c r="T88" s="65">
        <f t="shared" si="29"/>
        <v>-0.88083165743308134</v>
      </c>
      <c r="U88" s="65">
        <f t="shared" si="29"/>
        <v>-0.42375413024658309</v>
      </c>
      <c r="V88" s="65">
        <f t="shared" si="29"/>
        <v>-0.20530775291832853</v>
      </c>
      <c r="W88" s="65">
        <f t="shared" si="29"/>
        <v>-0.10016324058883681</v>
      </c>
      <c r="X88" s="65">
        <f t="shared" si="29"/>
        <v>-4.9200090570450966E-2</v>
      </c>
      <c r="Y88" s="65">
        <f t="shared" si="29"/>
        <v>-2.4328899854536234E-2</v>
      </c>
    </row>
    <row r="89" spans="1:25" x14ac:dyDescent="0.25">
      <c r="A89" s="21">
        <v>77</v>
      </c>
      <c r="C89" s="25">
        <f t="shared" si="21"/>
        <v>6.02</v>
      </c>
      <c r="D89" s="23">
        <f>FishHarvestTimeTrends!AC98*((1+D$10)^MIN($A89,20))</f>
        <v>1.8394201994112023</v>
      </c>
      <c r="E89" s="23">
        <f>FishHarvestTimeTrends!AD98*((1+E$10)^MIN($A89,20))</f>
        <v>0.26297359118825125</v>
      </c>
      <c r="F89" s="23">
        <f t="shared" si="30"/>
        <v>5.9000306907160445</v>
      </c>
      <c r="H89" s="22">
        <f t="shared" si="32"/>
        <v>2.8000000000000001E-2</v>
      </c>
      <c r="I89" s="22"/>
      <c r="J89" s="41"/>
      <c r="K89" s="41">
        <f t="shared" si="26"/>
        <v>3.5190820040697596E-2</v>
      </c>
      <c r="L89" s="41">
        <f t="shared" si="28"/>
        <v>1.0752608839984005E-2</v>
      </c>
      <c r="M89" s="41">
        <f t="shared" si="27"/>
        <v>1.5372518808906526E-3</v>
      </c>
      <c r="N89" s="41">
        <f t="shared" si="26"/>
        <v>3.4489521307571602E-2</v>
      </c>
      <c r="O89" s="41"/>
      <c r="P89" s="41">
        <f t="shared" si="31"/>
        <v>1.6367823274743068E-4</v>
      </c>
      <c r="R89" s="65">
        <f t="shared" si="29"/>
        <v>-3.8896062094005459</v>
      </c>
      <c r="S89" s="65">
        <f t="shared" si="29"/>
        <v>-1.8259178208494284</v>
      </c>
      <c r="T89" s="65">
        <f t="shared" si="29"/>
        <v>-0.86356012576349095</v>
      </c>
      <c r="U89" s="65">
        <f t="shared" si="29"/>
        <v>-0.41141162319967362</v>
      </c>
      <c r="V89" s="65">
        <f t="shared" si="29"/>
        <v>-0.19741122711319983</v>
      </c>
      <c r="W89" s="65">
        <f t="shared" si="29"/>
        <v>-9.5393526818335087E-2</v>
      </c>
      <c r="X89" s="65">
        <f t="shared" si="29"/>
        <v>-4.6415162438748728E-2</v>
      </c>
      <c r="Y89" s="65">
        <f t="shared" si="29"/>
        <v>-2.2737281087075505E-2</v>
      </c>
    </row>
    <row r="90" spans="1:25" x14ac:dyDescent="0.25">
      <c r="A90" s="21">
        <v>78</v>
      </c>
      <c r="C90" s="25">
        <f t="shared" si="21"/>
        <v>6.02</v>
      </c>
      <c r="D90" s="23">
        <f>FishHarvestTimeTrends!AC99*((1+D$10)^MIN($A90,20))</f>
        <v>1.8394215142232098</v>
      </c>
      <c r="E90" s="23">
        <f>FishHarvestTimeTrends!AD99*((1+E$10)^MIN($A90,20))</f>
        <v>0.26297372986756146</v>
      </c>
      <c r="F90" s="23">
        <f t="shared" si="30"/>
        <v>5.9029807060614026</v>
      </c>
      <c r="H90" s="22">
        <f t="shared" si="32"/>
        <v>2.8000000000000001E-2</v>
      </c>
      <c r="I90" s="22"/>
      <c r="J90" s="41"/>
      <c r="K90" s="41">
        <f t="shared" si="26"/>
        <v>3.2888616860465035E-2</v>
      </c>
      <c r="L90" s="41">
        <f t="shared" si="28"/>
        <v>1.004917432328631E-2</v>
      </c>
      <c r="M90" s="41">
        <f t="shared" si="27"/>
        <v>1.4366847584687144E-3</v>
      </c>
      <c r="N90" s="41">
        <f t="shared" si="26"/>
        <v>3.2249314082453635E-2</v>
      </c>
      <c r="O90" s="41"/>
      <c r="P90" s="41">
        <f t="shared" si="31"/>
        <v>1.5297031097890717E-4</v>
      </c>
      <c r="R90" s="65">
        <f t="shared" si="29"/>
        <v>-3.8896047559092284</v>
      </c>
      <c r="S90" s="65">
        <f t="shared" si="29"/>
        <v>-1.8078387510193403</v>
      </c>
      <c r="T90" s="65">
        <f t="shared" si="29"/>
        <v>-0.84662725790507554</v>
      </c>
      <c r="U90" s="65">
        <f t="shared" si="29"/>
        <v>-0.39942861112710393</v>
      </c>
      <c r="V90" s="65">
        <f t="shared" si="29"/>
        <v>-0.18981841667633795</v>
      </c>
      <c r="W90" s="65">
        <f t="shared" si="29"/>
        <v>-9.0850943972486942E-2</v>
      </c>
      <c r="X90" s="65">
        <f t="shared" si="29"/>
        <v>-4.3787872730238819E-2</v>
      </c>
      <c r="Y90" s="65">
        <f t="shared" si="29"/>
        <v>-2.1249787467731106E-2</v>
      </c>
    </row>
    <row r="91" spans="1:25" x14ac:dyDescent="0.25">
      <c r="A91" s="21">
        <v>79</v>
      </c>
      <c r="C91" s="25">
        <f t="shared" si="21"/>
        <v>6.02</v>
      </c>
      <c r="D91" s="23">
        <f>FishHarvestTimeTrends!AC100*((1+D$10)^MIN($A91,20))</f>
        <v>1.8394228290352168</v>
      </c>
      <c r="E91" s="23">
        <f>FishHarvestTimeTrends!AD100*((1+E$10)^MIN($A91,20))</f>
        <v>0.26297386854687171</v>
      </c>
      <c r="F91" s="23">
        <f t="shared" si="30"/>
        <v>5.9059321964144331</v>
      </c>
      <c r="H91" s="22">
        <f t="shared" si="32"/>
        <v>2.8000000000000001E-2</v>
      </c>
      <c r="I91" s="22"/>
      <c r="J91" s="41"/>
      <c r="K91" s="41">
        <f t="shared" si="26"/>
        <v>3.0737025103238357E-2</v>
      </c>
      <c r="L91" s="41">
        <f t="shared" si="28"/>
        <v>9.3917584171968743E-3</v>
      </c>
      <c r="M91" s="41">
        <f t="shared" si="27"/>
        <v>1.3426967440234054E-3</v>
      </c>
      <c r="N91" s="41">
        <f t="shared" si="26"/>
        <v>3.0154615644387723E-2</v>
      </c>
      <c r="O91" s="41"/>
      <c r="P91" s="41">
        <f t="shared" si="31"/>
        <v>1.429629074569226E-4</v>
      </c>
      <c r="R91" s="65">
        <f t="shared" si="29"/>
        <v>-3.8896033024179109</v>
      </c>
      <c r="S91" s="65">
        <f t="shared" si="29"/>
        <v>-1.789938688569394</v>
      </c>
      <c r="T91" s="65">
        <f t="shared" si="29"/>
        <v>-0.83002641326688109</v>
      </c>
      <c r="U91" s="65">
        <f t="shared" si="29"/>
        <v>-0.3877946231710438</v>
      </c>
      <c r="V91" s="65">
        <f t="shared" si="29"/>
        <v>-0.18251764013829799</v>
      </c>
      <c r="W91" s="65">
        <f t="shared" si="29"/>
        <v>-8.6524676212142881E-2</v>
      </c>
      <c r="X91" s="65">
        <f t="shared" si="29"/>
        <v>-4.1309298459734405E-2</v>
      </c>
      <c r="Y91" s="65">
        <f t="shared" si="29"/>
        <v>-1.9859607034561154E-2</v>
      </c>
    </row>
    <row r="92" spans="1:25" x14ac:dyDescent="0.25">
      <c r="A92" s="21">
        <v>80</v>
      </c>
      <c r="C92" s="25">
        <f t="shared" si="21"/>
        <v>6.02</v>
      </c>
      <c r="D92" s="23">
        <f>FishHarvestTimeTrends!AC101*((1+D$10)^MIN($A92,20))</f>
        <v>1.8394241438472243</v>
      </c>
      <c r="E92" s="23">
        <f>FishHarvestTimeTrends!AD101*((1+E$10)^MIN($A92,20))</f>
        <v>0.26297400722618192</v>
      </c>
      <c r="F92" s="23">
        <f t="shared" si="30"/>
        <v>5.9088851625126404</v>
      </c>
      <c r="H92" s="22">
        <f t="shared" si="32"/>
        <v>2.8000000000000001E-2</v>
      </c>
      <c r="I92" s="22"/>
      <c r="J92" s="41"/>
      <c r="K92" s="41">
        <f t="shared" si="26"/>
        <v>2.8726191685269489E-2</v>
      </c>
      <c r="L92" s="41">
        <f t="shared" si="28"/>
        <v>8.7773505891475222E-3</v>
      </c>
      <c r="M92" s="41">
        <f t="shared" si="27"/>
        <v>1.2548574318642434E-3</v>
      </c>
      <c r="N92" s="41">
        <f t="shared" si="26"/>
        <v>2.8195974721691507E-2</v>
      </c>
      <c r="O92" s="41"/>
      <c r="P92" s="41">
        <f t="shared" si="31"/>
        <v>1.3361019388497439E-4</v>
      </c>
      <c r="R92" s="65">
        <f t="shared" si="29"/>
        <v>-3.8896018489265933</v>
      </c>
      <c r="S92" s="65">
        <f t="shared" si="29"/>
        <v>-1.7722158610830667</v>
      </c>
      <c r="T92" s="65">
        <f t="shared" si="29"/>
        <v>-0.81375108146805275</v>
      </c>
      <c r="U92" s="65">
        <f t="shared" si="29"/>
        <v>-0.37649949345390366</v>
      </c>
      <c r="V92" s="65">
        <f t="shared" si="29"/>
        <v>-0.17549766532111863</v>
      </c>
      <c r="W92" s="65">
        <f t="shared" si="29"/>
        <v>-8.2404422741961955E-2</v>
      </c>
      <c r="X92" s="65">
        <f t="shared" si="29"/>
        <v>-3.8971021719827435E-2</v>
      </c>
      <c r="Y92" s="65">
        <f t="shared" si="29"/>
        <v>-1.8560373470372749E-2</v>
      </c>
    </row>
    <row r="93" spans="1:25" x14ac:dyDescent="0.25">
      <c r="A93" s="21">
        <v>81</v>
      </c>
      <c r="C93" s="25">
        <f t="shared" si="21"/>
        <v>6.02</v>
      </c>
      <c r="D93" s="23">
        <f>FishHarvestTimeTrends!AC102*((1+D$10)^MIN($A93,20))</f>
        <v>1.8394254586592318</v>
      </c>
      <c r="E93" s="23">
        <f>FishHarvestTimeTrends!AD102*((1+E$10)^MIN($A93,20))</f>
        <v>0.26297414590549217</v>
      </c>
      <c r="F93" s="23">
        <f t="shared" si="30"/>
        <v>5.9118396050938964</v>
      </c>
      <c r="H93" s="22">
        <f t="shared" si="32"/>
        <v>2.8000000000000001E-2</v>
      </c>
      <c r="I93" s="22"/>
      <c r="J93" s="41"/>
      <c r="K93" s="41">
        <f t="shared" si="26"/>
        <v>2.6846908117074294E-2</v>
      </c>
      <c r="L93" s="41">
        <f t="shared" si="28"/>
        <v>8.2031372552876479E-3</v>
      </c>
      <c r="M93" s="41">
        <f t="shared" si="27"/>
        <v>1.1727645734702387E-3</v>
      </c>
      <c r="N93" s="41">
        <f t="shared" si="26"/>
        <v>2.6364553933693791E-2</v>
      </c>
      <c r="O93" s="41"/>
      <c r="P93" s="41">
        <f t="shared" si="31"/>
        <v>1.2486934007941531E-4</v>
      </c>
      <c r="R93" s="65">
        <f t="shared" si="29"/>
        <v>-3.8896003954352754</v>
      </c>
      <c r="S93" s="65">
        <f t="shared" si="29"/>
        <v>-1.7546685136931668</v>
      </c>
      <c r="T93" s="65">
        <f t="shared" si="29"/>
        <v>-0.79779487978464636</v>
      </c>
      <c r="U93" s="65">
        <f t="shared" si="29"/>
        <v>-0.36553335219530381</v>
      </c>
      <c r="V93" s="65">
        <f t="shared" si="29"/>
        <v>-0.16874769205771881</v>
      </c>
      <c r="W93" s="65">
        <f t="shared" si="29"/>
        <v>-7.8480373284333105E-2</v>
      </c>
      <c r="X93" s="65">
        <f t="shared" si="29"/>
        <v>-3.6765101091402429E-2</v>
      </c>
      <c r="Y93" s="65">
        <f t="shared" si="29"/>
        <v>-1.7346136948236991E-2</v>
      </c>
    </row>
    <row r="94" spans="1:25" x14ac:dyDescent="0.25">
      <c r="A94" s="21">
        <v>82</v>
      </c>
      <c r="C94" s="25">
        <f t="shared" si="21"/>
        <v>6.02</v>
      </c>
      <c r="D94" s="23">
        <f>FishHarvestTimeTrends!AC103*((1+D$10)^MIN($A94,20))</f>
        <v>1.8394267734712393</v>
      </c>
      <c r="E94" s="23">
        <f>FishHarvestTimeTrends!AD103*((1+E$10)^MIN($A94,20))</f>
        <v>0.26297428458480238</v>
      </c>
      <c r="F94" s="23">
        <f t="shared" si="30"/>
        <v>5.9147955248964434</v>
      </c>
      <c r="H94" s="22">
        <f t="shared" si="32"/>
        <v>2.8000000000000001E-2</v>
      </c>
      <c r="I94" s="22"/>
      <c r="J94" s="41"/>
      <c r="K94" s="41">
        <f t="shared" si="26"/>
        <v>2.5090568333714293E-2</v>
      </c>
      <c r="L94" s="41">
        <f t="shared" si="28"/>
        <v>7.6664888961202214E-3</v>
      </c>
      <c r="M94" s="41">
        <f t="shared" si="27"/>
        <v>1.096042235445949E-3</v>
      </c>
      <c r="N94" s="41">
        <f t="shared" si="26"/>
        <v>2.465208991650527E-2</v>
      </c>
      <c r="O94" s="41"/>
      <c r="P94" s="41">
        <f t="shared" si="31"/>
        <v>1.1670031783122928E-4</v>
      </c>
      <c r="R94" s="65">
        <f t="shared" ref="R94:Y109" si="33">(($D94/((1+R$10)^$M$7))+$G94+$H94+IF($M$3="Yes",$E94/((1+R$10)^$M$7),0)+IF($M$4="Yes",$F94)-($B94*(1+$M$5))-$C94)/((1+R$10)^($A94-1))</f>
        <v>-3.8895989419439578</v>
      </c>
      <c r="S94" s="65">
        <f t="shared" si="33"/>
        <v>-1.7372949089080785</v>
      </c>
      <c r="T94" s="65">
        <f t="shared" si="33"/>
        <v>-0.78215155064650721</v>
      </c>
      <c r="U94" s="65">
        <f t="shared" si="33"/>
        <v>-0.35488661708777647</v>
      </c>
      <c r="V94" s="65">
        <f t="shared" si="33"/>
        <v>-0.16225733557593988</v>
      </c>
      <c r="W94" s="65">
        <f t="shared" si="33"/>
        <v>-7.4743184721213218E-2</v>
      </c>
      <c r="X94" s="65">
        <f t="shared" si="33"/>
        <v>-3.4684044672432988E-2</v>
      </c>
      <c r="Y94" s="65">
        <f t="shared" si="33"/>
        <v>-1.621133688431689E-2</v>
      </c>
    </row>
    <row r="95" spans="1:25" x14ac:dyDescent="0.25">
      <c r="A95" s="21">
        <v>83</v>
      </c>
      <c r="C95" s="25">
        <f t="shared" si="21"/>
        <v>6.02</v>
      </c>
      <c r="D95" s="23">
        <f>FishHarvestTimeTrends!AC104*((1+D$10)^MIN($A95,20))</f>
        <v>1.8394280882832466</v>
      </c>
      <c r="E95" s="23">
        <f>FishHarvestTimeTrends!AD104*((1+E$10)^MIN($A95,20))</f>
        <v>0.26297442326411263</v>
      </c>
      <c r="F95" s="23">
        <f t="shared" ref="F95:F110" si="34">F94*(1+F$10)</f>
        <v>5.9177529226588916</v>
      </c>
      <c r="H95" s="22">
        <f t="shared" si="32"/>
        <v>2.8000000000000001E-2</v>
      </c>
      <c r="I95" s="22"/>
      <c r="J95" s="41"/>
      <c r="K95" s="41">
        <f t="shared" si="26"/>
        <v>2.3449129283845131E-2</v>
      </c>
      <c r="L95" s="41">
        <f t="shared" si="28"/>
        <v>7.1649480150315524E-3</v>
      </c>
      <c r="M95" s="41">
        <f t="shared" si="27"/>
        <v>1.024339077984184E-3</v>
      </c>
      <c r="N95" s="41">
        <f t="shared" si="26"/>
        <v>2.3050856038750952E-2</v>
      </c>
      <c r="O95" s="41"/>
      <c r="P95" s="41">
        <f t="shared" si="31"/>
        <v>1.0906571759927968E-4</v>
      </c>
      <c r="R95" s="65">
        <f t="shared" si="33"/>
        <v>-3.8895974884526403</v>
      </c>
      <c r="S95" s="65">
        <f t="shared" si="33"/>
        <v>-1.7200933264397131</v>
      </c>
      <c r="T95" s="65">
        <f t="shared" si="33"/>
        <v>-0.76681495918322606</v>
      </c>
      <c r="U95" s="65">
        <f t="shared" si="33"/>
        <v>-0.34454998492366457</v>
      </c>
      <c r="V95" s="65">
        <f t="shared" si="33"/>
        <v>-0.15601661052166801</v>
      </c>
      <c r="W95" s="65">
        <f t="shared" si="33"/>
        <v>-7.1183958848267254E-2</v>
      </c>
      <c r="X95" s="65">
        <f t="shared" si="33"/>
        <v>-3.2720784633459871E-2</v>
      </c>
      <c r="Y95" s="65">
        <f t="shared" si="33"/>
        <v>-1.5150776473230114E-2</v>
      </c>
    </row>
    <row r="96" spans="1:25" x14ac:dyDescent="0.25">
      <c r="A96" s="21">
        <v>84</v>
      </c>
      <c r="C96" s="25">
        <f t="shared" si="21"/>
        <v>6.02</v>
      </c>
      <c r="D96" s="23">
        <f>FishHarvestTimeTrends!AC105*((1+D$10)^MIN($A96,20))</f>
        <v>1.839429403095254</v>
      </c>
      <c r="E96" s="23">
        <f>FishHarvestTimeTrends!AD105*((1+E$10)^MIN($A96,20))</f>
        <v>0.26297456194342284</v>
      </c>
      <c r="F96" s="23">
        <f t="shared" si="34"/>
        <v>5.9207117991202205</v>
      </c>
      <c r="H96" s="22">
        <f t="shared" si="32"/>
        <v>2.8000000000000001E-2</v>
      </c>
      <c r="I96" s="22"/>
      <c r="J96" s="41"/>
      <c r="K96" s="41">
        <f t="shared" si="26"/>
        <v>2.1915074097051526E-2</v>
      </c>
      <c r="L96" s="41">
        <f t="shared" si="28"/>
        <v>6.6962178845727163E-3</v>
      </c>
      <c r="M96" s="41">
        <f t="shared" si="27"/>
        <v>9.5732674595179034E-4</v>
      </c>
      <c r="N96" s="41">
        <f t="shared" si="26"/>
        <v>2.1553627539037688E-2</v>
      </c>
      <c r="O96" s="41"/>
      <c r="P96" s="41">
        <f t="shared" si="31"/>
        <v>1.0193057719558849E-4</v>
      </c>
      <c r="R96" s="65">
        <f t="shared" si="33"/>
        <v>-3.8895960349613228</v>
      </c>
      <c r="S96" s="65">
        <f t="shared" si="33"/>
        <v>-1.7030620630331761</v>
      </c>
      <c r="T96" s="65">
        <f t="shared" si="33"/>
        <v>-0.75177909081821792</v>
      </c>
      <c r="U96" s="65">
        <f t="shared" si="33"/>
        <v>-0.33451442346589938</v>
      </c>
      <c r="V96" s="65">
        <f t="shared" si="33"/>
        <v>-0.15001591559645858</v>
      </c>
      <c r="W96" s="65">
        <f t="shared" si="33"/>
        <v>-6.7794221188342885E-2</v>
      </c>
      <c r="X96" s="65">
        <f t="shared" si="33"/>
        <v>-3.0868653213333871E-2</v>
      </c>
      <c r="Y96" s="65">
        <f t="shared" si="33"/>
        <v>-1.415959888933143E-2</v>
      </c>
    </row>
    <row r="97" spans="1:25" x14ac:dyDescent="0.25">
      <c r="A97" s="21">
        <v>85</v>
      </c>
      <c r="C97" s="25">
        <f t="shared" si="21"/>
        <v>6.02</v>
      </c>
      <c r="D97" s="23">
        <f>FishHarvestTimeTrends!AC106*((1+D$10)^MIN($A97,20))</f>
        <v>1.8394307179072613</v>
      </c>
      <c r="E97" s="23">
        <f>FishHarvestTimeTrends!AD106*((1+E$10)^MIN($A97,20))</f>
        <v>0.26297470062273304</v>
      </c>
      <c r="F97" s="23">
        <f t="shared" si="34"/>
        <v>5.92367215501978</v>
      </c>
      <c r="H97" s="22">
        <f t="shared" si="32"/>
        <v>2.8000000000000001E-2</v>
      </c>
      <c r="I97" s="22"/>
      <c r="J97" s="41"/>
      <c r="K97" s="41">
        <f t="shared" si="26"/>
        <v>2.0481377660795819E-2</v>
      </c>
      <c r="L97" s="41">
        <f t="shared" si="28"/>
        <v>6.2581520289580403E-3</v>
      </c>
      <c r="M97" s="41">
        <f t="shared" si="27"/>
        <v>8.9469836523071652E-4</v>
      </c>
      <c r="N97" s="41">
        <f t="shared" si="26"/>
        <v>2.0153648927857204E-2</v>
      </c>
      <c r="O97" s="41"/>
      <c r="P97" s="41">
        <f t="shared" si="31"/>
        <v>9.5262221678120098E-5</v>
      </c>
      <c r="R97" s="65">
        <f t="shared" si="33"/>
        <v>-3.8895945814700053</v>
      </c>
      <c r="S97" s="65">
        <f t="shared" si="33"/>
        <v>-1.6861994322981102</v>
      </c>
      <c r="T97" s="65">
        <f t="shared" si="33"/>
        <v>-0.73703804890997537</v>
      </c>
      <c r="U97" s="65">
        <f t="shared" si="33"/>
        <v>-0.32477116355555474</v>
      </c>
      <c r="V97" s="65">
        <f t="shared" si="33"/>
        <v>-0.14424601878602608</v>
      </c>
      <c r="W97" s="65">
        <f t="shared" si="33"/>
        <v>-6.4565900813834731E-2</v>
      </c>
      <c r="X97" s="65">
        <f t="shared" si="33"/>
        <v>-2.9121360073698772E-2</v>
      </c>
      <c r="Y97" s="65">
        <f t="shared" si="33"/>
        <v>-1.3233265044928944E-2</v>
      </c>
    </row>
    <row r="98" spans="1:25" x14ac:dyDescent="0.25">
      <c r="A98" s="21">
        <v>86</v>
      </c>
      <c r="C98" s="25">
        <f t="shared" ref="C98:C112" si="35">C97</f>
        <v>6.02</v>
      </c>
      <c r="D98" s="23">
        <f>FishHarvestTimeTrends!AC107*((1+D$10)^MIN($A98,20))</f>
        <v>1.8394320327192688</v>
      </c>
      <c r="E98" s="23">
        <f>FishHarvestTimeTrends!AD107*((1+E$10)^MIN($A98,20))</f>
        <v>0.2629748393020433</v>
      </c>
      <c r="F98" s="23">
        <f t="shared" si="34"/>
        <v>5.9266339910972894</v>
      </c>
      <c r="H98" s="22">
        <f t="shared" si="32"/>
        <v>2.8000000000000001E-2</v>
      </c>
      <c r="I98" s="22"/>
      <c r="J98" s="41"/>
      <c r="K98" s="41">
        <f t="shared" si="26"/>
        <v>1.9141474449341885E-2</v>
      </c>
      <c r="L98" s="41">
        <f t="shared" si="28"/>
        <v>5.8487443946174241E-3</v>
      </c>
      <c r="M98" s="41">
        <f t="shared" si="27"/>
        <v>8.3616713742854659E-4</v>
      </c>
      <c r="N98" s="41">
        <f t="shared" si="26"/>
        <v>1.8844603506842177E-2</v>
      </c>
      <c r="O98" s="41"/>
      <c r="P98" s="41">
        <f t="shared" si="31"/>
        <v>8.9030113717869248E-5</v>
      </c>
      <c r="R98" s="65">
        <f t="shared" si="33"/>
        <v>-3.8895931279786873</v>
      </c>
      <c r="S98" s="65">
        <f t="shared" si="33"/>
        <v>-1.6695037645417181</v>
      </c>
      <c r="T98" s="65">
        <f t="shared" si="33"/>
        <v>-0.72258605243957308</v>
      </c>
      <c r="U98" s="65">
        <f t="shared" si="33"/>
        <v>-0.31531169144928217</v>
      </c>
      <c r="V98" s="65">
        <f t="shared" si="33"/>
        <v>-0.13869804315687467</v>
      </c>
      <c r="W98" s="65">
        <f t="shared" si="33"/>
        <v>-6.1491311129895733E-2</v>
      </c>
      <c r="X98" s="65">
        <f t="shared" si="33"/>
        <v>-2.7472970935303945E-2</v>
      </c>
      <c r="Y98" s="65">
        <f t="shared" si="33"/>
        <v>-1.2367532803578045E-2</v>
      </c>
    </row>
    <row r="99" spans="1:25" x14ac:dyDescent="0.25">
      <c r="A99" s="21">
        <v>87</v>
      </c>
      <c r="C99" s="25">
        <f t="shared" si="35"/>
        <v>6.02</v>
      </c>
      <c r="D99" s="23">
        <f>FishHarvestTimeTrends!AC108*((1+D$10)^MIN($A99,20))</f>
        <v>1.8394333475312763</v>
      </c>
      <c r="E99" s="23">
        <f>FishHarvestTimeTrends!AD108*((1+E$10)^MIN($A99,20))</f>
        <v>0.2629749779813535</v>
      </c>
      <c r="F99" s="23">
        <f t="shared" si="34"/>
        <v>5.9295973080928377</v>
      </c>
      <c r="H99" s="22">
        <f t="shared" si="32"/>
        <v>2.8000000000000001E-2</v>
      </c>
      <c r="I99" s="22"/>
      <c r="J99" s="41"/>
      <c r="K99" s="41">
        <f t="shared" si="26"/>
        <v>1.7889228457328866E-2</v>
      </c>
      <c r="L99" s="41">
        <f t="shared" si="28"/>
        <v>5.4661201637900671E-3</v>
      </c>
      <c r="M99" s="41">
        <f t="shared" si="27"/>
        <v>7.8146502652316622E-4</v>
      </c>
      <c r="N99" s="41">
        <f t="shared" si="26"/>
        <v>1.7620584867846352E-2</v>
      </c>
      <c r="O99" s="41"/>
      <c r="P99" s="41">
        <f t="shared" si="31"/>
        <v>8.320571375501798E-5</v>
      </c>
      <c r="R99" s="65">
        <f t="shared" si="33"/>
        <v>-3.8895916744873698</v>
      </c>
      <c r="S99" s="65">
        <f t="shared" si="33"/>
        <v>-1.6529734066034307</v>
      </c>
      <c r="T99" s="65">
        <f t="shared" si="33"/>
        <v>-0.70841743374351573</v>
      </c>
      <c r="U99" s="65">
        <f t="shared" si="33"/>
        <v>-0.30612774137992887</v>
      </c>
      <c r="V99" s="65">
        <f t="shared" si="33"/>
        <v>-0.13336345319921716</v>
      </c>
      <c r="W99" s="65">
        <f t="shared" si="33"/>
        <v>-5.8563131572740429E-2</v>
      </c>
      <c r="X99" s="65">
        <f t="shared" si="33"/>
        <v>-2.5917887423589889E-2</v>
      </c>
      <c r="Y99" s="65">
        <f t="shared" si="33"/>
        <v>-1.1558437553260612E-2</v>
      </c>
    </row>
    <row r="100" spans="1:25" x14ac:dyDescent="0.25">
      <c r="A100" s="21">
        <v>88</v>
      </c>
      <c r="C100" s="25">
        <f t="shared" si="35"/>
        <v>6.02</v>
      </c>
      <c r="D100" s="23">
        <f>FishHarvestTimeTrends!AC109*((1+D$10)^MIN($A100,20))</f>
        <v>1.8394346623432836</v>
      </c>
      <c r="E100" s="23">
        <f>FishHarvestTimeTrends!AD109*((1+E$10)^MIN($A100,20))</f>
        <v>0.26297511666066375</v>
      </c>
      <c r="F100" s="23">
        <f t="shared" si="34"/>
        <v>5.9325621067468841</v>
      </c>
      <c r="H100" s="22">
        <f t="shared" si="32"/>
        <v>2.8000000000000001E-2</v>
      </c>
      <c r="I100" s="22"/>
      <c r="J100" s="41"/>
      <c r="K100" s="41">
        <f t="shared" si="26"/>
        <v>1.6718905100307348E-2</v>
      </c>
      <c r="L100" s="41">
        <f t="shared" si="28"/>
        <v>5.1085271690919027E-3</v>
      </c>
      <c r="M100" s="41">
        <f t="shared" si="27"/>
        <v>7.3034153142722451E-4</v>
      </c>
      <c r="N100" s="41">
        <f t="shared" si="26"/>
        <v>1.6476070243252591E-2</v>
      </c>
      <c r="O100" s="41"/>
      <c r="P100" s="41">
        <f t="shared" si="31"/>
        <v>7.7762349303755115E-5</v>
      </c>
      <c r="R100" s="65">
        <f t="shared" si="33"/>
        <v>-3.8895902209960522</v>
      </c>
      <c r="S100" s="65">
        <f t="shared" si="33"/>
        <v>-1.6366067216912192</v>
      </c>
      <c r="T100" s="65">
        <f t="shared" si="33"/>
        <v>-0.69452663629104117</v>
      </c>
      <c r="U100" s="65">
        <f t="shared" si="33"/>
        <v>-0.29721128833384031</v>
      </c>
      <c r="V100" s="65">
        <f t="shared" si="33"/>
        <v>-0.12823404169517108</v>
      </c>
      <c r="W100" s="65">
        <f t="shared" si="33"/>
        <v>-5.5774390179464076E-2</v>
      </c>
      <c r="X100" s="65">
        <f t="shared" si="33"/>
        <v>-2.4450828055096668E-2</v>
      </c>
      <c r="Y100" s="65">
        <f t="shared" si="33"/>
        <v>-1.0802274050484468E-2</v>
      </c>
    </row>
    <row r="101" spans="1:25" x14ac:dyDescent="0.25">
      <c r="A101" s="21">
        <v>89</v>
      </c>
      <c r="C101" s="25">
        <f t="shared" si="35"/>
        <v>6.02</v>
      </c>
      <c r="D101" s="23">
        <f>FishHarvestTimeTrends!AC110*((1+D$10)^MIN($A101,20))</f>
        <v>1.8394359771552908</v>
      </c>
      <c r="E101" s="23">
        <f>FishHarvestTimeTrends!AD110*((1+E$10)^MIN($A101,20))</f>
        <v>0.26297525533997396</v>
      </c>
      <c r="F101" s="23">
        <f t="shared" si="34"/>
        <v>5.9355283878002574</v>
      </c>
      <c r="H101" s="22">
        <f t="shared" si="32"/>
        <v>2.8000000000000001E-2</v>
      </c>
      <c r="I101" s="22"/>
      <c r="J101" s="41"/>
      <c r="K101" s="41">
        <f t="shared" si="26"/>
        <v>1.5625144953558271E-2</v>
      </c>
      <c r="L101" s="41">
        <f t="shared" si="28"/>
        <v>4.774327869741116E-3</v>
      </c>
      <c r="M101" s="41">
        <f t="shared" si="27"/>
        <v>6.8256253885151023E-4</v>
      </c>
      <c r="N101" s="41">
        <f t="shared" si="26"/>
        <v>1.5405895587265623E-2</v>
      </c>
      <c r="O101" s="41"/>
      <c r="P101" s="41">
        <f t="shared" si="31"/>
        <v>7.2675092807247772E-5</v>
      </c>
      <c r="R101" s="65">
        <f t="shared" si="33"/>
        <v>-3.8895887675047347</v>
      </c>
      <c r="S101" s="65">
        <f t="shared" si="33"/>
        <v>-1.6204020892195192</v>
      </c>
      <c r="T101" s="65">
        <f t="shared" si="33"/>
        <v>-0.68090821250500577</v>
      </c>
      <c r="U101" s="65">
        <f t="shared" si="33"/>
        <v>-0.28855454103853556</v>
      </c>
      <c r="V101" s="65">
        <f t="shared" si="33"/>
        <v>-0.12330191709202909</v>
      </c>
      <c r="W101" s="65">
        <f t="shared" si="33"/>
        <v>-5.3118446987876787E-2</v>
      </c>
      <c r="X101" s="65">
        <f t="shared" si="33"/>
        <v>-2.30668103001202E-2</v>
      </c>
      <c r="Y101" s="65">
        <f t="shared" si="33"/>
        <v>-1.0095579452158396E-2</v>
      </c>
    </row>
    <row r="102" spans="1:25" x14ac:dyDescent="0.25">
      <c r="A102" s="21">
        <v>90</v>
      </c>
      <c r="C102" s="25">
        <f t="shared" si="35"/>
        <v>6.02</v>
      </c>
      <c r="D102" s="23">
        <f>FishHarvestTimeTrends!AC111*((1+D$10)^MIN($A102,20))</f>
        <v>1.8394372919672983</v>
      </c>
      <c r="E102" s="23">
        <f>FishHarvestTimeTrends!AD111*((1+E$10)^MIN($A102,20))</f>
        <v>0.26297539401928421</v>
      </c>
      <c r="F102" s="23">
        <f t="shared" si="34"/>
        <v>5.9384961519941575</v>
      </c>
      <c r="H102" s="22">
        <f t="shared" si="32"/>
        <v>2.8000000000000001E-2</v>
      </c>
      <c r="I102" s="22"/>
      <c r="J102" s="41"/>
      <c r="K102" s="41">
        <f t="shared" si="26"/>
        <v>1.4602939208932962E-2</v>
      </c>
      <c r="L102" s="41">
        <f t="shared" si="28"/>
        <v>4.4619918526981276E-3</v>
      </c>
      <c r="M102" s="41">
        <f t="shared" si="27"/>
        <v>6.3790925121408641E-4</v>
      </c>
      <c r="N102" s="41">
        <f t="shared" si="26"/>
        <v>1.4405232275756312E-2</v>
      </c>
      <c r="O102" s="41"/>
      <c r="P102" s="41">
        <f t="shared" si="31"/>
        <v>6.7920647483409133E-5</v>
      </c>
      <c r="R102" s="65">
        <f t="shared" si="33"/>
        <v>-3.8895873140134172</v>
      </c>
      <c r="S102" s="65">
        <f t="shared" si="33"/>
        <v>-1.6043579046487693</v>
      </c>
      <c r="T102" s="65">
        <f t="shared" si="33"/>
        <v>-0.66755682162550045</v>
      </c>
      <c r="U102" s="65">
        <f t="shared" si="33"/>
        <v>-0.28014993515462611</v>
      </c>
      <c r="V102" s="65">
        <f t="shared" si="33"/>
        <v>-0.11855949136117734</v>
      </c>
      <c r="W102" s="65">
        <f t="shared" si="33"/>
        <v>-5.0588978226827355E-2</v>
      </c>
      <c r="X102" s="65">
        <f t="shared" si="33"/>
        <v>-2.1761133660696114E-2</v>
      </c>
      <c r="Y102" s="65">
        <f t="shared" si="33"/>
        <v>-9.4351174575373377E-3</v>
      </c>
    </row>
    <row r="103" spans="1:25" x14ac:dyDescent="0.25">
      <c r="A103" s="21">
        <v>91</v>
      </c>
      <c r="C103" s="25">
        <f t="shared" si="35"/>
        <v>6.02</v>
      </c>
      <c r="D103" s="23">
        <f>FishHarvestTimeTrends!AC112*((1+D$10)^MIN($A103,20))</f>
        <v>1.8394386067793058</v>
      </c>
      <c r="E103" s="23">
        <f>FishHarvestTimeTrends!AD112*((1+E$10)^MIN($A103,20))</f>
        <v>0.26297553269859436</v>
      </c>
      <c r="F103" s="23">
        <f t="shared" si="34"/>
        <v>5.9414654000701539</v>
      </c>
      <c r="H103" s="22">
        <f t="shared" si="32"/>
        <v>2.8000000000000001E-2</v>
      </c>
      <c r="I103" s="22"/>
      <c r="J103" s="41"/>
      <c r="K103" s="41">
        <f t="shared" si="26"/>
        <v>1.3647606737320525E-2</v>
      </c>
      <c r="L103" s="41">
        <f t="shared" si="28"/>
        <v>4.1700888243801889E-3</v>
      </c>
      <c r="M103" s="41">
        <f t="shared" si="27"/>
        <v>5.9617718468567955E-4</v>
      </c>
      <c r="N103" s="41">
        <f t="shared" si="26"/>
        <v>1.3469565319527281E-2</v>
      </c>
      <c r="O103" s="41"/>
      <c r="P103" s="41">
        <f t="shared" si="31"/>
        <v>6.3477240638700131E-5</v>
      </c>
      <c r="R103" s="65">
        <f t="shared" si="33"/>
        <v>-3.8895858605220992</v>
      </c>
      <c r="S103" s="65">
        <f t="shared" si="33"/>
        <v>-1.5884725793265315</v>
      </c>
      <c r="T103" s="65">
        <f t="shared" si="33"/>
        <v>-0.6544672276153547</v>
      </c>
      <c r="U103" s="65">
        <f t="shared" si="33"/>
        <v>-0.27199012666603273</v>
      </c>
      <c r="V103" s="65">
        <f t="shared" si="33"/>
        <v>-0.11399946832398279</v>
      </c>
      <c r="W103" s="65">
        <f t="shared" si="33"/>
        <v>-4.8179961259374751E-2</v>
      </c>
      <c r="X103" s="65">
        <f t="shared" si="33"/>
        <v>-2.0529363706439617E-2</v>
      </c>
      <c r="Y103" s="65">
        <f t="shared" si="33"/>
        <v>-8.8178634876159567E-3</v>
      </c>
    </row>
    <row r="104" spans="1:25" x14ac:dyDescent="0.25">
      <c r="A104" s="21">
        <v>92</v>
      </c>
      <c r="C104" s="25">
        <f t="shared" si="35"/>
        <v>6.02</v>
      </c>
      <c r="D104" s="23">
        <f>FishHarvestTimeTrends!AC113*((1+D$10)^MIN($A104,20))</f>
        <v>1.8394399215913129</v>
      </c>
      <c r="E104" s="23">
        <f>FishHarvestTimeTrends!AD113*((1+E$10)^MIN($A104,20))</f>
        <v>0.26297567137790467</v>
      </c>
      <c r="F104" s="23">
        <f t="shared" si="34"/>
        <v>5.9444361327701882</v>
      </c>
      <c r="H104" s="22">
        <f t="shared" si="32"/>
        <v>2.8000000000000001E-2</v>
      </c>
      <c r="I104" s="22"/>
      <c r="J104" s="41"/>
      <c r="K104" s="41">
        <f t="shared" si="26"/>
        <v>1.2754772651701425E-2</v>
      </c>
      <c r="L104" s="41">
        <f t="shared" si="28"/>
        <v>3.8972820608572578E-3</v>
      </c>
      <c r="M104" s="41">
        <f t="shared" si="27"/>
        <v>5.5717523278300991E-4</v>
      </c>
      <c r="N104" s="41">
        <f t="shared" si="26"/>
        <v>1.259467299269817E-2</v>
      </c>
      <c r="O104" s="41"/>
      <c r="P104" s="41">
        <f t="shared" si="31"/>
        <v>5.9324523961401979E-5</v>
      </c>
      <c r="R104" s="65">
        <f t="shared" si="33"/>
        <v>-3.8895844070307821</v>
      </c>
      <c r="S104" s="65">
        <f t="shared" si="33"/>
        <v>-1.5727445403301885</v>
      </c>
      <c r="T104" s="65">
        <f t="shared" si="33"/>
        <v>-0.64163429710671227</v>
      </c>
      <c r="U104" s="65">
        <f t="shared" si="33"/>
        <v>-0.2640679854627217</v>
      </c>
      <c r="V104" s="65">
        <f t="shared" si="33"/>
        <v>-0.10961483242668905</v>
      </c>
      <c r="W104" s="65">
        <f t="shared" si="33"/>
        <v>-4.5885660242956573E-2</v>
      </c>
      <c r="X104" s="65">
        <f t="shared" si="33"/>
        <v>-1.9367317014022677E-2</v>
      </c>
      <c r="Y104" s="65">
        <f t="shared" si="33"/>
        <v>-8.2409908340997547E-3</v>
      </c>
    </row>
    <row r="105" spans="1:25" x14ac:dyDescent="0.25">
      <c r="A105" s="21">
        <v>93</v>
      </c>
      <c r="C105" s="25">
        <f t="shared" si="35"/>
        <v>6.02</v>
      </c>
      <c r="D105" s="23">
        <f>FishHarvestTimeTrends!AC114*((1+D$10)^MIN($A105,20))</f>
        <v>1.8394412364033204</v>
      </c>
      <c r="E105" s="23">
        <f>FishHarvestTimeTrends!AD114*((1+E$10)^MIN($A105,20))</f>
        <v>0.26297581005721482</v>
      </c>
      <c r="F105" s="23">
        <f t="shared" si="34"/>
        <v>5.9474083508365734</v>
      </c>
      <c r="H105" s="22">
        <f t="shared" si="32"/>
        <v>2.8000000000000001E-2</v>
      </c>
      <c r="I105" s="22"/>
      <c r="J105" s="41"/>
      <c r="K105" s="41">
        <f t="shared" si="26"/>
        <v>1.1920348272618156E-2</v>
      </c>
      <c r="L105" s="41">
        <f t="shared" si="28"/>
        <v>3.6423222865353696E-3</v>
      </c>
      <c r="M105" s="41">
        <f t="shared" si="27"/>
        <v>5.2072479122190719E-4</v>
      </c>
      <c r="N105" s="41">
        <f t="shared" si="26"/>
        <v>1.1776607784293945E-2</v>
      </c>
      <c r="O105" s="41"/>
      <c r="P105" s="41">
        <f t="shared" si="31"/>
        <v>5.5443480337758871E-5</v>
      </c>
      <c r="R105" s="65">
        <f t="shared" si="33"/>
        <v>-3.8895829535394641</v>
      </c>
      <c r="S105" s="65">
        <f t="shared" si="33"/>
        <v>-1.5571722303111937</v>
      </c>
      <c r="T105" s="65">
        <f t="shared" si="33"/>
        <v>-0.62905299738786802</v>
      </c>
      <c r="U105" s="65">
        <f t="shared" si="33"/>
        <v>-0.25637658911035338</v>
      </c>
      <c r="V105" s="65">
        <f t="shared" si="33"/>
        <v>-0.10539883794705104</v>
      </c>
      <c r="W105" s="65">
        <f t="shared" si="33"/>
        <v>-4.3700612472411846E-2</v>
      </c>
      <c r="X105" s="65">
        <f t="shared" si="33"/>
        <v>-1.8271046959138889E-2</v>
      </c>
      <c r="Y105" s="65">
        <f t="shared" si="33"/>
        <v>-7.7018577145231198E-3</v>
      </c>
    </row>
    <row r="106" spans="1:25" x14ac:dyDescent="0.25">
      <c r="A106" s="21">
        <v>94</v>
      </c>
      <c r="C106" s="25">
        <f t="shared" si="35"/>
        <v>6.02</v>
      </c>
      <c r="D106" s="23">
        <f>FishHarvestTimeTrends!AC115*((1+D$10)^MIN($A106,20))</f>
        <v>1.8394425512153281</v>
      </c>
      <c r="E106" s="23">
        <f>FishHarvestTimeTrends!AD115*((1+E$10)^MIN($A106,20))</f>
        <v>0.26297594873652508</v>
      </c>
      <c r="F106" s="23">
        <f t="shared" si="34"/>
        <v>5.9503820550119917</v>
      </c>
      <c r="H106" s="22">
        <f t="shared" si="32"/>
        <v>2.8000000000000001E-2</v>
      </c>
      <c r="I106" s="22"/>
      <c r="J106" s="41"/>
      <c r="K106" s="41">
        <f t="shared" si="26"/>
        <v>1.1140512404316034E-2</v>
      </c>
      <c r="L106" s="41">
        <f t="shared" si="28"/>
        <v>3.4040419532958628E-3</v>
      </c>
      <c r="M106" s="41">
        <f t="shared" si="27"/>
        <v>4.866589400225972E-4</v>
      </c>
      <c r="N106" s="41">
        <f t="shared" si="26"/>
        <v>1.1011678587089806E-2</v>
      </c>
      <c r="O106" s="41"/>
      <c r="P106" s="41">
        <f t="shared" si="31"/>
        <v>5.1816336764260622E-5</v>
      </c>
      <c r="R106" s="65">
        <f t="shared" si="33"/>
        <v>-3.8895815000481466</v>
      </c>
      <c r="S106" s="65">
        <f t="shared" si="33"/>
        <v>-1.5417541073408709</v>
      </c>
      <c r="T106" s="65">
        <f t="shared" si="33"/>
        <v>-0.61671839442958365</v>
      </c>
      <c r="U106" s="65">
        <f t="shared" si="33"/>
        <v>-0.24890921680140099</v>
      </c>
      <c r="V106" s="65">
        <f t="shared" si="33"/>
        <v>-0.10134499861610312</v>
      </c>
      <c r="W106" s="65">
        <f t="shared" si="33"/>
        <v>-4.161961537334085E-2</v>
      </c>
      <c r="X106" s="65">
        <f t="shared" si="33"/>
        <v>-1.7236830312701821E-2</v>
      </c>
      <c r="Y106" s="65">
        <f t="shared" si="33"/>
        <v>-7.1979951742333131E-3</v>
      </c>
    </row>
    <row r="107" spans="1:25" x14ac:dyDescent="0.25">
      <c r="A107" s="21">
        <v>95</v>
      </c>
      <c r="C107" s="25">
        <f t="shared" si="35"/>
        <v>6.02</v>
      </c>
      <c r="D107" s="23">
        <f>FishHarvestTimeTrends!AC116*((1+D$10)^MIN($A107,20))</f>
        <v>1.8394438660273351</v>
      </c>
      <c r="E107" s="23">
        <f>FishHarvestTimeTrends!AD116*((1+E$10)^MIN($A107,20))</f>
        <v>0.26297608741583534</v>
      </c>
      <c r="F107" s="23">
        <f t="shared" si="34"/>
        <v>5.9533572460394977</v>
      </c>
      <c r="H107" s="22">
        <f t="shared" si="32"/>
        <v>2.8000000000000001E-2</v>
      </c>
      <c r="I107" s="22"/>
      <c r="J107" s="41"/>
      <c r="K107" s="41">
        <f t="shared" si="26"/>
        <v>1.0411693835809378E-2</v>
      </c>
      <c r="L107" s="41">
        <f t="shared" si="28"/>
        <v>3.1813498938927207E-3</v>
      </c>
      <c r="M107" s="41">
        <f t="shared" si="27"/>
        <v>4.5482167912171449E-4</v>
      </c>
      <c r="N107" s="41">
        <f t="shared" si="26"/>
        <v>1.0296434043348927E-2</v>
      </c>
      <c r="O107" s="41"/>
      <c r="P107" s="41">
        <f t="shared" si="31"/>
        <v>4.8426482957252925E-5</v>
      </c>
      <c r="R107" s="65">
        <f t="shared" si="33"/>
        <v>-3.8895800465568291</v>
      </c>
      <c r="S107" s="65">
        <f t="shared" si="33"/>
        <v>-1.526488644757735</v>
      </c>
      <c r="T107" s="65">
        <f t="shared" si="33"/>
        <v>-0.60462565095009846</v>
      </c>
      <c r="U107" s="65">
        <f t="shared" si="33"/>
        <v>-0.24165934348245133</v>
      </c>
      <c r="V107" s="65">
        <f t="shared" si="33"/>
        <v>-9.7447077639093438E-2</v>
      </c>
      <c r="W107" s="65">
        <f t="shared" si="33"/>
        <v>-3.9637714114833529E-2</v>
      </c>
      <c r="X107" s="65">
        <f t="shared" si="33"/>
        <v>-1.6261154595753807E-2</v>
      </c>
      <c r="Y107" s="65">
        <f t="shared" si="33"/>
        <v>-6.7270957798376899E-3</v>
      </c>
    </row>
    <row r="108" spans="1:25" x14ac:dyDescent="0.25">
      <c r="A108" s="21">
        <v>96</v>
      </c>
      <c r="C108" s="25">
        <f t="shared" si="35"/>
        <v>6.02</v>
      </c>
      <c r="D108" s="23">
        <f>FishHarvestTimeTrends!AC117*((1+D$10)^MIN($A108,20))</f>
        <v>1.8394451808393426</v>
      </c>
      <c r="E108" s="23">
        <f>FishHarvestTimeTrends!AD117*((1+E$10)^MIN($A108,20))</f>
        <v>0.26297622609514554</v>
      </c>
      <c r="F108" s="23">
        <f t="shared" si="34"/>
        <v>5.9563339246625171</v>
      </c>
      <c r="H108" s="22">
        <f t="shared" si="32"/>
        <v>2.8000000000000001E-2</v>
      </c>
      <c r="I108" s="22"/>
      <c r="J108" s="41"/>
      <c r="K108" s="41">
        <f t="shared" si="26"/>
        <v>9.7305549867377321E-3</v>
      </c>
      <c r="L108" s="41">
        <f t="shared" si="28"/>
        <v>2.9732263251240794E-3</v>
      </c>
      <c r="M108" s="41">
        <f t="shared" si="27"/>
        <v>4.2506721399062925E-4</v>
      </c>
      <c r="N108" s="41">
        <f t="shared" si="26"/>
        <v>9.6276469723089678E-3</v>
      </c>
      <c r="O108" s="41"/>
      <c r="P108" s="41">
        <f t="shared" si="31"/>
        <v>4.5258395287152253E-5</v>
      </c>
      <c r="R108" s="65">
        <f t="shared" si="33"/>
        <v>-3.8895785930655116</v>
      </c>
      <c r="S108" s="65">
        <f t="shared" si="33"/>
        <v>-1.5113743310163263</v>
      </c>
      <c r="T108" s="65">
        <f t="shared" si="33"/>
        <v>-0.5927700245180868</v>
      </c>
      <c r="U108" s="65">
        <f t="shared" si="33"/>
        <v>-0.23462063415255799</v>
      </c>
      <c r="V108" s="65">
        <f t="shared" si="33"/>
        <v>-9.3699078100232258E-2</v>
      </c>
      <c r="W108" s="65">
        <f t="shared" si="33"/>
        <v>-3.7750189812072135E-2</v>
      </c>
      <c r="X108" s="65">
        <f t="shared" si="33"/>
        <v>-1.5340706150139055E-2</v>
      </c>
      <c r="Y108" s="65">
        <f t="shared" si="33"/>
        <v>-6.287003052335872E-3</v>
      </c>
    </row>
    <row r="109" spans="1:25" x14ac:dyDescent="0.25">
      <c r="A109" s="21">
        <v>97</v>
      </c>
      <c r="C109" s="25">
        <f t="shared" si="35"/>
        <v>6.02</v>
      </c>
      <c r="D109" s="23">
        <f>FishHarvestTimeTrends!AC118*((1+D$10)^MIN($A109,20))</f>
        <v>1.8394464956513501</v>
      </c>
      <c r="E109" s="23">
        <f>FishHarvestTimeTrends!AD118*((1+E$10)^MIN($A109,20))</f>
        <v>0.26297636477445574</v>
      </c>
      <c r="F109" s="23">
        <f t="shared" si="34"/>
        <v>5.9593120916248479</v>
      </c>
      <c r="H109" s="22">
        <f t="shared" si="32"/>
        <v>2.8000000000000001E-2</v>
      </c>
      <c r="I109" s="22"/>
      <c r="J109" s="41"/>
      <c r="K109" s="41">
        <f t="shared" si="26"/>
        <v>9.0939766231193792E-3</v>
      </c>
      <c r="L109" s="41">
        <f t="shared" si="28"/>
        <v>2.7787181778957211E-3</v>
      </c>
      <c r="M109" s="41">
        <f t="shared" si="27"/>
        <v>3.9725928798867361E-4</v>
      </c>
      <c r="N109" s="41">
        <f t="shared" si="26"/>
        <v>9.0022998091543217E-3</v>
      </c>
      <c r="O109" s="41"/>
      <c r="P109" s="41">
        <f t="shared" si="31"/>
        <v>4.2297565688927347E-5</v>
      </c>
      <c r="R109" s="65">
        <f t="shared" si="33"/>
        <v>-3.8895771395741936</v>
      </c>
      <c r="S109" s="65">
        <f t="shared" si="33"/>
        <v>-1.4964096695375388</v>
      </c>
      <c r="T109" s="65">
        <f t="shared" si="33"/>
        <v>-0.58114686569280871</v>
      </c>
      <c r="U109" s="65">
        <f t="shared" si="33"/>
        <v>-0.22778693832766342</v>
      </c>
      <c r="V109" s="65">
        <f t="shared" si="33"/>
        <v>-9.0095233736491906E-2</v>
      </c>
      <c r="W109" s="65">
        <f t="shared" si="33"/>
        <v>-3.5952548290719248E-2</v>
      </c>
      <c r="X109" s="65">
        <f t="shared" si="33"/>
        <v>-1.4472358884425949E-2</v>
      </c>
      <c r="Y109" s="65">
        <f t="shared" si="33"/>
        <v>-5.8757015915460566E-3</v>
      </c>
    </row>
    <row r="110" spans="1:25" x14ac:dyDescent="0.25">
      <c r="A110" s="21">
        <v>98</v>
      </c>
      <c r="C110" s="25">
        <f t="shared" si="35"/>
        <v>6.02</v>
      </c>
      <c r="D110" s="23">
        <f>FishHarvestTimeTrends!AC119*((1+D$10)^MIN($A110,20))</f>
        <v>1.8394478104633576</v>
      </c>
      <c r="E110" s="23">
        <f>FishHarvestTimeTrends!AD119*((1+E$10)^MIN($A110,20))</f>
        <v>0.262976503453766</v>
      </c>
      <c r="F110" s="23">
        <f t="shared" si="34"/>
        <v>5.9622917476706601</v>
      </c>
      <c r="H110" s="22">
        <f t="shared" si="32"/>
        <v>2.8000000000000001E-2</v>
      </c>
      <c r="I110" s="22"/>
      <c r="J110" s="41"/>
      <c r="K110" s="41">
        <f t="shared" si="26"/>
        <v>8.499043573008765E-3</v>
      </c>
      <c r="L110" s="41">
        <f t="shared" si="28"/>
        <v>2.5969347327913033E-3</v>
      </c>
      <c r="M110" s="41">
        <f t="shared" si="27"/>
        <v>3.7127055839386168E-4</v>
      </c>
      <c r="N110" s="41">
        <f t="shared" si="26"/>
        <v>8.4175709897746712E-3</v>
      </c>
      <c r="O110" s="41"/>
      <c r="P110" s="41">
        <f t="shared" si="31"/>
        <v>3.9530435223296587E-5</v>
      </c>
      <c r="R110" s="65">
        <f t="shared" ref="R110:Y112" si="36">(($D110/((1+R$10)^$M$7))+$G110+$H110+IF($M$3="Yes",$E110/((1+R$10)^$M$7),0)+IF($M$4="Yes",$F110)-($B110*(1+$M$5))-$C110)/((1+R$10)^($A110-1))</f>
        <v>-3.8895756860828761</v>
      </c>
      <c r="S110" s="65">
        <f t="shared" si="36"/>
        <v>-1.4815931785604377</v>
      </c>
      <c r="T110" s="65">
        <f t="shared" si="36"/>
        <v>-0.56975161620073356</v>
      </c>
      <c r="U110" s="65">
        <f t="shared" si="36"/>
        <v>-0.22115228466625378</v>
      </c>
      <c r="V110" s="65">
        <f t="shared" si="36"/>
        <v>-8.6630000066263813E-2</v>
      </c>
      <c r="W110" s="65">
        <f t="shared" si="36"/>
        <v>-3.4240509386338581E-2</v>
      </c>
      <c r="X110" s="65">
        <f t="shared" si="36"/>
        <v>-1.3653163656856494E-2</v>
      </c>
      <c r="Y110" s="65">
        <f t="shared" si="36"/>
        <v>-5.4913078466003037E-3</v>
      </c>
    </row>
    <row r="111" spans="1:25" x14ac:dyDescent="0.25">
      <c r="A111" s="21">
        <v>99</v>
      </c>
      <c r="C111" s="25">
        <f t="shared" si="35"/>
        <v>6.02</v>
      </c>
      <c r="D111" s="23">
        <f>FishHarvestTimeTrends!AC120*((1+D$10)^MIN($A111,20))</f>
        <v>1.8394491252753649</v>
      </c>
      <c r="E111" s="23">
        <f>FishHarvestTimeTrends!AD120*((1+E$10)^MIN($A111,20))</f>
        <v>0.2629766421330762</v>
      </c>
      <c r="F111" s="23">
        <f t="shared" ref="F111:F112" si="37">F110*(1+F$10)</f>
        <v>5.965272893544495</v>
      </c>
      <c r="H111" s="22">
        <f t="shared" si="32"/>
        <v>2.8000000000000001E-2</v>
      </c>
      <c r="I111" s="22"/>
      <c r="J111" s="41"/>
      <c r="K111" s="41">
        <f t="shared" si="26"/>
        <v>7.9430313766437055E-3</v>
      </c>
      <c r="L111" s="41">
        <f t="shared" si="28"/>
        <v>2.4270435411631298E-3</v>
      </c>
      <c r="M111" s="41">
        <f t="shared" si="27"/>
        <v>3.469820132537255E-4</v>
      </c>
      <c r="N111" s="41">
        <f t="shared" si="26"/>
        <v>7.870822219878091E-3</v>
      </c>
      <c r="O111" s="41"/>
      <c r="P111" s="41">
        <f t="shared" si="31"/>
        <v>3.6944331984389331E-5</v>
      </c>
      <c r="R111" s="65">
        <f t="shared" si="36"/>
        <v>-3.8895742325915585</v>
      </c>
      <c r="S111" s="65">
        <f t="shared" si="36"/>
        <v>-1.4669233909955353</v>
      </c>
      <c r="T111" s="65">
        <f t="shared" si="36"/>
        <v>-0.55857980714791211</v>
      </c>
      <c r="U111" s="65">
        <f t="shared" si="36"/>
        <v>-0.21471087575155007</v>
      </c>
      <c r="V111" s="65">
        <f t="shared" si="36"/>
        <v>-8.3298045859224124E-2</v>
      </c>
      <c r="W111" s="65">
        <f t="shared" si="36"/>
        <v>-3.2609996753371222E-2</v>
      </c>
      <c r="X111" s="65">
        <f t="shared" si="36"/>
        <v>-1.2880338259264698E-2</v>
      </c>
      <c r="Y111" s="65">
        <f t="shared" si="36"/>
        <v>-5.1320614902424606E-3</v>
      </c>
    </row>
    <row r="112" spans="1:25" x14ac:dyDescent="0.25">
      <c r="A112" s="21">
        <v>100</v>
      </c>
      <c r="C112" s="25">
        <f t="shared" si="35"/>
        <v>6.02</v>
      </c>
      <c r="D112" s="23">
        <f>FishHarvestTimeTrends!AC121*((1+D$10)^MIN($A112,20))</f>
        <v>1.8394504400873724</v>
      </c>
      <c r="E112" s="23">
        <f>FishHarvestTimeTrends!AD121*((1+E$10)^MIN($A112,20))</f>
        <v>0.2629767808123864</v>
      </c>
      <c r="F112" s="23">
        <f t="shared" si="37"/>
        <v>5.968255529991267</v>
      </c>
      <c r="H112" s="22">
        <f t="shared" si="32"/>
        <v>2.8000000000000001E-2</v>
      </c>
      <c r="I112" s="22"/>
      <c r="J112" s="41"/>
      <c r="K112" s="41">
        <f t="shared" si="26"/>
        <v>7.4233938099473882E-3</v>
      </c>
      <c r="L112" s="41">
        <f t="shared" si="28"/>
        <v>2.2682666130647176E-3</v>
      </c>
      <c r="M112" s="41">
        <f t="shared" si="27"/>
        <v>3.2428242638580737E-4</v>
      </c>
      <c r="N112" s="41">
        <f t="shared" si="26"/>
        <v>7.3595865710168505E-3</v>
      </c>
      <c r="O112" s="41"/>
      <c r="P112" s="41">
        <f t="shared" si="31"/>
        <v>3.4527413069522736E-5</v>
      </c>
      <c r="R112" s="65">
        <f t="shared" si="36"/>
        <v>-3.8895727791002406</v>
      </c>
      <c r="S112" s="65">
        <f t="shared" si="36"/>
        <v>-1.4523988542795252</v>
      </c>
      <c r="T112" s="65">
        <f t="shared" si="36"/>
        <v>-0.5476270572674039</v>
      </c>
      <c r="U112" s="65">
        <f t="shared" si="36"/>
        <v>-0.20845708302567556</v>
      </c>
      <c r="V112" s="65">
        <f t="shared" si="36"/>
        <v>-8.0094244934284714E-2</v>
      </c>
      <c r="W112" s="65">
        <f t="shared" si="36"/>
        <v>-3.1057128159402245E-2</v>
      </c>
      <c r="X112" s="65">
        <f t="shared" si="36"/>
        <v>-1.215125796794648E-2</v>
      </c>
      <c r="Y112" s="65">
        <f t="shared" si="36"/>
        <v>-4.7963173574273399E-3</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12"/>
  <sheetViews>
    <sheetView topLeftCell="E1" workbookViewId="0">
      <selection activeCell="O7" sqref="O7"/>
    </sheetView>
  </sheetViews>
  <sheetFormatPr defaultRowHeight="15" x14ac:dyDescent="0.25"/>
  <cols>
    <col min="1" max="1" width="36.42578125" style="21" customWidth="1"/>
    <col min="2" max="2" width="14.28515625" style="21" customWidth="1"/>
    <col min="3" max="3" width="11.85546875" style="21" customWidth="1"/>
    <col min="4" max="4" width="13.140625" style="21" customWidth="1"/>
    <col min="5" max="5" width="13.28515625" style="21" customWidth="1"/>
    <col min="6" max="6" width="14.28515625" style="21" customWidth="1"/>
    <col min="7" max="7" width="13.42578125" style="21" customWidth="1"/>
    <col min="8" max="8" width="11.5703125" style="21" customWidth="1"/>
    <col min="9" max="9" width="5.5703125" style="21" customWidth="1"/>
    <col min="10" max="10" width="17.7109375" style="21" customWidth="1"/>
    <col min="11" max="11" width="13.140625" style="21" customWidth="1"/>
    <col min="12" max="16" width="11.5703125" style="21" customWidth="1"/>
    <col min="17" max="17" width="9.140625" style="21"/>
    <col min="18" max="25" width="12.5703125" style="21" bestFit="1" customWidth="1"/>
    <col min="26" max="16384" width="9.140625" style="21"/>
  </cols>
  <sheetData>
    <row r="1" spans="1:25" x14ac:dyDescent="0.25">
      <c r="B1" s="21" t="s">
        <v>26</v>
      </c>
      <c r="R1" s="28" t="s">
        <v>51</v>
      </c>
    </row>
    <row r="2" spans="1:25" x14ac:dyDescent="0.25">
      <c r="A2" s="29" t="s">
        <v>1</v>
      </c>
      <c r="B2" s="68">
        <v>295.10000000000002</v>
      </c>
      <c r="D2" s="47" t="s">
        <v>108</v>
      </c>
      <c r="E2" s="64">
        <v>29.5</v>
      </c>
      <c r="R2" s="28">
        <v>0</v>
      </c>
      <c r="S2" s="28">
        <v>0.01</v>
      </c>
      <c r="T2" s="28">
        <v>0.02</v>
      </c>
      <c r="U2" s="28">
        <v>0.03</v>
      </c>
      <c r="V2" s="28">
        <v>0.04</v>
      </c>
      <c r="W2" s="28">
        <v>0.05</v>
      </c>
      <c r="X2" s="28">
        <v>0.06</v>
      </c>
      <c r="Y2" s="28">
        <v>7.0000000000000007E-2</v>
      </c>
    </row>
    <row r="3" spans="1:25" x14ac:dyDescent="0.25">
      <c r="A3" s="31" t="s">
        <v>2</v>
      </c>
      <c r="B3" s="69">
        <v>6.02</v>
      </c>
      <c r="J3" s="29"/>
      <c r="K3" s="49"/>
      <c r="L3" s="50" t="s">
        <v>89</v>
      </c>
      <c r="M3" s="51" t="s">
        <v>88</v>
      </c>
      <c r="Q3" s="28" t="s">
        <v>54</v>
      </c>
      <c r="R3" s="42">
        <f>SUM(R13:R42)- ($M$5*$E$2)</f>
        <v>34628.410370545236</v>
      </c>
      <c r="S3" s="42">
        <f t="shared" ref="S3:Y3" si="0">SUM(S13:S42)- ($M$5*$E$2)</f>
        <v>33136.833025425396</v>
      </c>
      <c r="T3" s="42">
        <f t="shared" si="0"/>
        <v>31747.316336225496</v>
      </c>
      <c r="U3" s="42">
        <f t="shared" si="0"/>
        <v>30451.601458858262</v>
      </c>
      <c r="V3" s="42">
        <f t="shared" si="0"/>
        <v>29242.14979554194</v>
      </c>
      <c r="W3" s="42">
        <f t="shared" si="0"/>
        <v>28112.083333187133</v>
      </c>
      <c r="X3" s="42">
        <f t="shared" si="0"/>
        <v>27055.127756900809</v>
      </c>
      <c r="Y3" s="42">
        <f t="shared" si="0"/>
        <v>26065.559039200369</v>
      </c>
    </row>
    <row r="4" spans="1:25" x14ac:dyDescent="0.25">
      <c r="A4" s="31" t="s">
        <v>27</v>
      </c>
      <c r="B4" s="37">
        <f>CommAndSportFishingValues!E18</f>
        <v>2.9399999999999995</v>
      </c>
      <c r="J4" s="31"/>
      <c r="K4" s="52"/>
      <c r="L4" s="53" t="s">
        <v>90</v>
      </c>
      <c r="M4" s="54" t="s">
        <v>122</v>
      </c>
      <c r="Q4" s="28" t="s">
        <v>55</v>
      </c>
      <c r="R4" s="42">
        <f>SUM(R13:R52)- ($M$5*$E$2)</f>
        <v>34589.383714450567</v>
      </c>
      <c r="S4" s="42">
        <f t="shared" ref="S4:Y4" si="1">SUM(S13:S52)- ($M$5*$E$2)</f>
        <v>33109.133300495465</v>
      </c>
      <c r="T4" s="42">
        <f t="shared" si="1"/>
        <v>31727.573672829607</v>
      </c>
      <c r="U4" s="42">
        <f t="shared" si="1"/>
        <v>30437.47241287729</v>
      </c>
      <c r="V4" s="42">
        <f t="shared" si="1"/>
        <v>29231.997639331385</v>
      </c>
      <c r="W4" s="42">
        <f t="shared" si="1"/>
        <v>28104.760071922177</v>
      </c>
      <c r="X4" s="42">
        <f t="shared" si="1"/>
        <v>27049.824839685047</v>
      </c>
      <c r="Y4" s="42">
        <f t="shared" si="1"/>
        <v>26061.704669180504</v>
      </c>
    </row>
    <row r="5" spans="1:25" x14ac:dyDescent="0.25">
      <c r="A5" s="31" t="s">
        <v>45</v>
      </c>
      <c r="B5" s="33">
        <f>CommAndSportFishingValues!E19</f>
        <v>0.52</v>
      </c>
      <c r="J5" s="31"/>
      <c r="K5" s="52"/>
      <c r="L5" s="53" t="s">
        <v>87</v>
      </c>
      <c r="M5" s="57">
        <v>0</v>
      </c>
      <c r="Q5" s="28" t="s">
        <v>56</v>
      </c>
      <c r="R5" s="42">
        <f>SUM(R13:R62)- ($M$5*$E$2)</f>
        <v>34550.482222155792</v>
      </c>
      <c r="S5" s="42">
        <f t="shared" ref="S5:Y5" si="2">SUM(S13:S62)- ($M$5*$E$2)</f>
        <v>33084.138854757977</v>
      </c>
      <c r="T5" s="42">
        <f t="shared" si="2"/>
        <v>31711.431464828089</v>
      </c>
      <c r="U5" s="42">
        <f t="shared" si="2"/>
        <v>30426.994448935016</v>
      </c>
      <c r="V5" s="42">
        <f t="shared" si="2"/>
        <v>29225.162633594115</v>
      </c>
      <c r="W5" s="42">
        <f t="shared" si="2"/>
        <v>28100.279809036347</v>
      </c>
      <c r="X5" s="42">
        <f t="shared" si="2"/>
        <v>27046.874130278531</v>
      </c>
      <c r="Y5" s="42">
        <f t="shared" si="2"/>
        <v>26059.752288580563</v>
      </c>
    </row>
    <row r="6" spans="1:25" x14ac:dyDescent="0.25">
      <c r="A6" s="31" t="s">
        <v>46</v>
      </c>
      <c r="B6" s="32">
        <v>5.7</v>
      </c>
      <c r="J6" s="31"/>
      <c r="K6" s="52"/>
      <c r="L6" s="52"/>
      <c r="M6" s="55"/>
      <c r="Q6" s="28" t="s">
        <v>57</v>
      </c>
      <c r="R6" s="86">
        <f>R11</f>
        <v>34356.001802673913</v>
      </c>
      <c r="S6" s="42">
        <f t="shared" ref="S6:Y6" si="3">S11</f>
        <v>32990.5116734244</v>
      </c>
      <c r="T6" s="42">
        <f t="shared" si="3"/>
        <v>31665.113001807302</v>
      </c>
      <c r="U6" s="42">
        <f t="shared" si="3"/>
        <v>30403.480875517191</v>
      </c>
      <c r="V6" s="42">
        <f t="shared" si="3"/>
        <v>29212.934731724246</v>
      </c>
      <c r="W6" s="42">
        <f t="shared" si="3"/>
        <v>28093.777979438437</v>
      </c>
      <c r="X6" s="42">
        <f t="shared" si="3"/>
        <v>27043.346137393764</v>
      </c>
      <c r="Y6" s="86">
        <f t="shared" si="3"/>
        <v>26057.80242024556</v>
      </c>
    </row>
    <row r="7" spans="1:25" x14ac:dyDescent="0.25">
      <c r="A7" s="31" t="s">
        <v>48</v>
      </c>
      <c r="B7" s="34">
        <v>3500</v>
      </c>
      <c r="J7" s="35"/>
      <c r="K7" s="56"/>
      <c r="L7" s="58" t="s">
        <v>86</v>
      </c>
      <c r="M7" s="85">
        <v>0</v>
      </c>
    </row>
    <row r="8" spans="1:25" x14ac:dyDescent="0.25">
      <c r="A8" s="35" t="s">
        <v>50</v>
      </c>
      <c r="B8" s="36">
        <v>2.8000000000000001E-2</v>
      </c>
    </row>
    <row r="9" spans="1:25" x14ac:dyDescent="0.25">
      <c r="B9" s="28" t="s">
        <v>58</v>
      </c>
      <c r="J9" s="28" t="s">
        <v>52</v>
      </c>
      <c r="L9" s="39" t="s">
        <v>53</v>
      </c>
      <c r="M9" s="40">
        <v>7.0000000000000007E-2</v>
      </c>
      <c r="O9" s="87" t="s">
        <v>113</v>
      </c>
      <c r="P9" s="88">
        <f>(L11+M11+N11+O11+P11)/(((J11+E2)*(1+M5))+K11)</f>
        <v>78.884003453417264</v>
      </c>
      <c r="R9" s="28" t="s">
        <v>51</v>
      </c>
    </row>
    <row r="10" spans="1:25" x14ac:dyDescent="0.25">
      <c r="A10" s="21" t="s">
        <v>3</v>
      </c>
      <c r="C10" s="21">
        <v>0</v>
      </c>
      <c r="D10" s="21">
        <v>8.0000000000000004E-4</v>
      </c>
      <c r="E10" s="38">
        <v>5.0000000000000001E-4</v>
      </c>
      <c r="F10" s="21">
        <v>5.0000000000000001E-4</v>
      </c>
      <c r="G10" s="38">
        <v>5.0000000000000001E-4</v>
      </c>
      <c r="J10" s="28"/>
      <c r="K10" s="28"/>
      <c r="L10" s="28"/>
      <c r="M10" s="28"/>
      <c r="N10" s="28"/>
      <c r="O10" s="28"/>
      <c r="R10" s="28">
        <v>0</v>
      </c>
      <c r="S10" s="28">
        <v>0.01</v>
      </c>
      <c r="T10" s="28">
        <v>0.02</v>
      </c>
      <c r="U10" s="28">
        <v>0.03</v>
      </c>
      <c r="V10" s="28">
        <v>0.04</v>
      </c>
      <c r="W10" s="28">
        <v>0.05</v>
      </c>
      <c r="X10" s="28">
        <v>0.06</v>
      </c>
      <c r="Y10" s="28">
        <v>7.0000000000000007E-2</v>
      </c>
    </row>
    <row r="11" spans="1:25" x14ac:dyDescent="0.25">
      <c r="B11" s="22"/>
      <c r="C11" s="22"/>
      <c r="D11" s="22"/>
      <c r="J11" s="84">
        <f>SUM(J13:J112)</f>
        <v>213.47954351985931</v>
      </c>
      <c r="K11" s="84">
        <f t="shared" ref="K11:P11" si="4">SUM(K13:K112)</f>
        <v>91.913951517000712</v>
      </c>
      <c r="L11" s="41">
        <f>SUM(L13:L112)</f>
        <v>7.0226896610726923</v>
      </c>
      <c r="M11" s="41">
        <f>SUM(M13:M112)</f>
        <v>0.63215338171895052</v>
      </c>
      <c r="N11" s="41">
        <f t="shared" si="4"/>
        <v>54.543703732227549</v>
      </c>
      <c r="O11" s="41">
        <f>SUM(O13:O112)</f>
        <v>26355.275028598859</v>
      </c>
      <c r="P11" s="41">
        <f t="shared" si="4"/>
        <v>0.26604364076846893</v>
      </c>
      <c r="R11" s="27">
        <f>SUM(R13:R112) - ($M$5*$E$2)</f>
        <v>34356.001802673913</v>
      </c>
      <c r="S11" s="27">
        <f t="shared" ref="S11:Y11" si="5">SUM(S13:S112) - ($M$5*$E$2)</f>
        <v>32990.5116734244</v>
      </c>
      <c r="T11" s="27">
        <f t="shared" si="5"/>
        <v>31665.113001807302</v>
      </c>
      <c r="U11" s="27">
        <f t="shared" si="5"/>
        <v>30403.480875517191</v>
      </c>
      <c r="V11" s="27">
        <f t="shared" si="5"/>
        <v>29212.934731724246</v>
      </c>
      <c r="W11" s="27">
        <f t="shared" si="5"/>
        <v>28093.777979438437</v>
      </c>
      <c r="X11" s="27">
        <f t="shared" si="5"/>
        <v>27043.346137393764</v>
      </c>
      <c r="Y11" s="27">
        <f t="shared" si="5"/>
        <v>26057.80242024556</v>
      </c>
    </row>
    <row r="12" spans="1:25" ht="60" x14ac:dyDescent="0.25">
      <c r="A12" s="21" t="s">
        <v>0</v>
      </c>
      <c r="B12" s="24" t="s">
        <v>4</v>
      </c>
      <c r="C12" s="24" t="s">
        <v>5</v>
      </c>
      <c r="D12" s="24" t="s">
        <v>6</v>
      </c>
      <c r="E12" s="24" t="s">
        <v>44</v>
      </c>
      <c r="F12" s="24" t="s">
        <v>7</v>
      </c>
      <c r="G12" s="26" t="s">
        <v>47</v>
      </c>
      <c r="H12" s="26" t="s">
        <v>49</v>
      </c>
      <c r="I12" s="26"/>
      <c r="J12" s="24" t="s">
        <v>4</v>
      </c>
      <c r="K12" s="24" t="s">
        <v>5</v>
      </c>
      <c r="L12" s="24" t="s">
        <v>6</v>
      </c>
      <c r="M12" s="24" t="s">
        <v>44</v>
      </c>
      <c r="N12" s="24" t="s">
        <v>7</v>
      </c>
      <c r="O12" s="26" t="s">
        <v>47</v>
      </c>
      <c r="P12" s="26" t="s">
        <v>49</v>
      </c>
      <c r="R12" s="27"/>
      <c r="S12" s="27"/>
      <c r="T12" s="27"/>
      <c r="U12" s="27"/>
      <c r="V12" s="27"/>
      <c r="W12" s="27"/>
      <c r="X12" s="27"/>
      <c r="Y12" s="27"/>
    </row>
    <row r="13" spans="1:25" x14ac:dyDescent="0.25">
      <c r="A13" s="21">
        <v>1</v>
      </c>
      <c r="B13" s="22">
        <f>B$2*'Cost Distribution By Year'!C20</f>
        <v>7.3595498783454989</v>
      </c>
      <c r="C13" s="25">
        <f>B3</f>
        <v>6.02</v>
      </c>
      <c r="D13" s="23">
        <f>FishHarvestTimeTrends!AC22*((1+D$10)^MIN($A13,20))</f>
        <v>-0.45009477652942353</v>
      </c>
      <c r="E13" s="23">
        <f>FishHarvestTimeTrends!AD22*((1+E$10)^MIN($A13,20))</f>
        <v>-9.968905080817865E-2</v>
      </c>
      <c r="G13" s="27">
        <f>B7</f>
        <v>3500</v>
      </c>
      <c r="J13" s="41">
        <f>B13/((1+$M$9)^($A13-1))</f>
        <v>7.3595498783454989</v>
      </c>
      <c r="K13" s="41">
        <f t="shared" ref="K13:N76" si="6">C13/((1+$M$9)^($A13-1))</f>
        <v>6.02</v>
      </c>
      <c r="L13" s="41">
        <f>D13/((1+$M$9)^(($A13)-1))</f>
        <v>-0.45009477652942353</v>
      </c>
      <c r="M13" s="41">
        <f>E13/((1+$M$9)^(($A13)-1))</f>
        <v>-9.968905080817865E-2</v>
      </c>
      <c r="N13" s="41"/>
      <c r="O13" s="41">
        <f>G13/((1+$M$9)^($A13-1))</f>
        <v>3500</v>
      </c>
      <c r="P13" s="41"/>
      <c r="R13" s="65">
        <f>(($D13/((1+R$10)^$M$7))+$G13+$H13+IF($M$3="Yes",$E13/((1+R$10)^$M$7),0)+IF($M$4="Yes",$F13)-($B13*(1+$M$5))-$C13)/((1+R$10)^($A13-1))</f>
        <v>3486.0706662943167</v>
      </c>
      <c r="S13" s="65">
        <f t="shared" ref="S13:Y28" si="7">(($D13/((1+S$10)^$M$7))+$G13+$H13+IF($M$3="Yes",$E13/((1+S$10)^$M$7),0)+IF($M$4="Yes",$F13)-($B13*(1+$M$5))-$C13)/((1+S$10)^($A13-1))</f>
        <v>3486.0706662943167</v>
      </c>
      <c r="T13" s="65">
        <f t="shared" si="7"/>
        <v>3486.0706662943167</v>
      </c>
      <c r="U13" s="65">
        <f t="shared" si="7"/>
        <v>3486.0706662943167</v>
      </c>
      <c r="V13" s="65">
        <f t="shared" si="7"/>
        <v>3486.0706662943167</v>
      </c>
      <c r="W13" s="65">
        <f t="shared" si="7"/>
        <v>3486.0706662943167</v>
      </c>
      <c r="X13" s="65">
        <f t="shared" si="7"/>
        <v>3486.0706662943167</v>
      </c>
      <c r="Y13" s="65">
        <f t="shared" si="7"/>
        <v>3486.0706662943167</v>
      </c>
    </row>
    <row r="14" spans="1:25" x14ac:dyDescent="0.25">
      <c r="A14" s="21">
        <v>2</v>
      </c>
      <c r="B14" s="22">
        <f>B$2*'Cost Distribution By Year'!C21</f>
        <v>8.1673053527980528</v>
      </c>
      <c r="C14" s="25">
        <f>C13*(1+C$10)</f>
        <v>6.02</v>
      </c>
      <c r="D14" s="23">
        <f>FishHarvestTimeTrends!AC23*((1+D$10)^MIN($A14,20))</f>
        <v>-0.45045485235064703</v>
      </c>
      <c r="E14" s="23">
        <f>FishHarvestTimeTrends!AD23*((1+E$10)^MIN($A14,20))</f>
        <v>-9.9738895333582739E-2</v>
      </c>
      <c r="G14" s="27">
        <f t="shared" ref="G14:G22" si="8">G13*(1+G$10)</f>
        <v>3501.75</v>
      </c>
      <c r="J14" s="41">
        <f t="shared" ref="J14:J31" si="9">B14/((1+$M$9)^($A14-1))</f>
        <v>7.6329956568206097</v>
      </c>
      <c r="K14" s="41">
        <f t="shared" si="6"/>
        <v>5.6261682242990645</v>
      </c>
      <c r="L14" s="41">
        <f t="shared" ref="L14:M23" si="10">D14/((1+$M$9)^(($A14)-1))</f>
        <v>-0.4209858433183617</v>
      </c>
      <c r="M14" s="41">
        <f t="shared" si="10"/>
        <v>-9.3213920872507225E-2</v>
      </c>
      <c r="N14" s="41"/>
      <c r="O14" s="41">
        <f t="shared" ref="O14:P29" si="11">G14/((1+$M$9)^($A14-1))</f>
        <v>3272.663551401869</v>
      </c>
      <c r="P14" s="41"/>
      <c r="R14" s="65">
        <f t="shared" ref="R14:Y29" si="12">(($D14/((1+R$10)^$M$7))+$G14+$H14+IF($M$3="Yes",$E14/((1+R$10)^$M$7),0)+IF($M$4="Yes",$F14)-($B14*(1+$M$5))-$C14)/((1+R$10)^($A14-1))</f>
        <v>3487.0125008995178</v>
      </c>
      <c r="S14" s="65">
        <f t="shared" si="7"/>
        <v>3452.487624652988</v>
      </c>
      <c r="T14" s="65">
        <f t="shared" si="7"/>
        <v>3418.6397067642329</v>
      </c>
      <c r="U14" s="65">
        <f t="shared" si="7"/>
        <v>3385.4490299995318</v>
      </c>
      <c r="V14" s="65">
        <f t="shared" si="7"/>
        <v>3352.8966354803056</v>
      </c>
      <c r="W14" s="65">
        <f t="shared" si="7"/>
        <v>3320.9642865709693</v>
      </c>
      <c r="X14" s="65">
        <f t="shared" si="7"/>
        <v>3289.6344348108655</v>
      </c>
      <c r="Y14" s="65">
        <f t="shared" si="7"/>
        <v>3258.8901877565586</v>
      </c>
    </row>
    <row r="15" spans="1:25" x14ac:dyDescent="0.25">
      <c r="A15" s="21">
        <v>3</v>
      </c>
      <c r="B15" s="22">
        <f>B$2*'Cost Distribution By Year'!C22</f>
        <v>15.145415145985398</v>
      </c>
      <c r="C15" s="25">
        <f t="shared" ref="C15:F30" si="13">C14*(1+C$10)</f>
        <v>6.02</v>
      </c>
      <c r="D15" s="23">
        <f>FishHarvestTimeTrends!AC24*((1+D$10)^MIN($A15,20))</f>
        <v>-0.40817195254769112</v>
      </c>
      <c r="E15" s="23">
        <f>FishHarvestTimeTrends!AD24*((1+E$10)^MIN($A15,20))</f>
        <v>-9.9788764781249525E-2</v>
      </c>
      <c r="G15" s="27">
        <f t="shared" si="8"/>
        <v>3503.5008749999997</v>
      </c>
      <c r="J15" s="41">
        <f t="shared" si="9"/>
        <v>13.228592144279324</v>
      </c>
      <c r="K15" s="41">
        <f t="shared" si="6"/>
        <v>5.2581011442047334</v>
      </c>
      <c r="L15" s="41">
        <f t="shared" si="10"/>
        <v>-0.35651319115004898</v>
      </c>
      <c r="M15" s="41">
        <f t="shared" si="10"/>
        <v>-8.7159371806489236E-2</v>
      </c>
      <c r="N15" s="41"/>
      <c r="O15" s="41">
        <f t="shared" si="11"/>
        <v>3060.0933487640837</v>
      </c>
      <c r="P15" s="41"/>
      <c r="R15" s="65">
        <f t="shared" si="12"/>
        <v>3481.8274991366857</v>
      </c>
      <c r="S15" s="65">
        <f t="shared" si="7"/>
        <v>3413.2217421200721</v>
      </c>
      <c r="T15" s="65">
        <f t="shared" si="7"/>
        <v>3346.6238938261108</v>
      </c>
      <c r="U15" s="65">
        <f t="shared" si="7"/>
        <v>3281.9563569956508</v>
      </c>
      <c r="V15" s="65">
        <f t="shared" si="7"/>
        <v>3219.1452469828823</v>
      </c>
      <c r="W15" s="65">
        <f t="shared" si="7"/>
        <v>3158.1201806228441</v>
      </c>
      <c r="X15" s="65">
        <f t="shared" si="7"/>
        <v>3098.8140789753338</v>
      </c>
      <c r="Y15" s="65">
        <f t="shared" si="7"/>
        <v>3041.1629829126437</v>
      </c>
    </row>
    <row r="16" spans="1:25" x14ac:dyDescent="0.25">
      <c r="A16" s="21">
        <v>4</v>
      </c>
      <c r="B16" s="22">
        <f>B$2*'Cost Distribution By Year'!C23</f>
        <v>24.860918491484181</v>
      </c>
      <c r="C16" s="25">
        <f t="shared" si="13"/>
        <v>6.02</v>
      </c>
      <c r="D16" s="23">
        <f>FishHarvestTimeTrends!AC25*((1+D$10)^MIN($A16,20))</f>
        <v>-0.40319854528381316</v>
      </c>
      <c r="E16" s="23">
        <f>FishHarvestTimeTrends!AD25*((1+E$10)^MIN($A16,20))</f>
        <v>-9.9838659163640153E-2</v>
      </c>
      <c r="G16" s="27">
        <f t="shared" si="8"/>
        <v>3505.2526254374993</v>
      </c>
      <c r="J16" s="41">
        <f t="shared" si="9"/>
        <v>20.293914982155059</v>
      </c>
      <c r="K16" s="41">
        <f t="shared" si="6"/>
        <v>4.9141132188829282</v>
      </c>
      <c r="L16" s="41">
        <f t="shared" si="10"/>
        <v>-0.32913011648065671</v>
      </c>
      <c r="M16" s="41">
        <f t="shared" si="10"/>
        <v>-8.149808550690886E-2</v>
      </c>
      <c r="N16" s="41"/>
      <c r="O16" s="41">
        <f t="shared" si="11"/>
        <v>2861.3302761107152</v>
      </c>
      <c r="P16" s="41"/>
      <c r="R16" s="65">
        <f t="shared" si="12"/>
        <v>3473.8686697415678</v>
      </c>
      <c r="S16" s="65">
        <f t="shared" si="7"/>
        <v>3371.702706045678</v>
      </c>
      <c r="T16" s="65">
        <f t="shared" si="7"/>
        <v>3273.5040347807103</v>
      </c>
      <c r="U16" s="65">
        <f t="shared" si="7"/>
        <v>3179.0819388022514</v>
      </c>
      <c r="V16" s="65">
        <f t="shared" si="7"/>
        <v>3088.2565979012284</v>
      </c>
      <c r="W16" s="65">
        <f t="shared" si="7"/>
        <v>3000.858369283289</v>
      </c>
      <c r="X16" s="65">
        <f t="shared" si="7"/>
        <v>2916.7271218367905</v>
      </c>
      <c r="Y16" s="65">
        <f t="shared" si="7"/>
        <v>2835.7116197076898</v>
      </c>
    </row>
    <row r="17" spans="1:25" x14ac:dyDescent="0.25">
      <c r="A17" s="21">
        <v>5</v>
      </c>
      <c r="B17" s="22">
        <f>B$2*'Cost Distribution By Year'!C24</f>
        <v>76.243141727493907</v>
      </c>
      <c r="C17" s="25">
        <f t="shared" si="13"/>
        <v>6.02</v>
      </c>
      <c r="D17" s="23">
        <f>FishHarvestTimeTrends!AC26*((1+D$10)^MIN($A17,20))</f>
        <v>-0.39461345716601587</v>
      </c>
      <c r="E17" s="23">
        <f>FishHarvestTimeTrends!AD26*((1+E$10)^MIN($A17,20))</f>
        <v>-9.9407067189483431E-2</v>
      </c>
      <c r="G17" s="27">
        <f t="shared" si="8"/>
        <v>3507.0052517502177</v>
      </c>
      <c r="J17" s="41">
        <f t="shared" si="9"/>
        <v>58.16552777536598</v>
      </c>
      <c r="K17" s="41">
        <f t="shared" si="6"/>
        <v>4.5926291765261018</v>
      </c>
      <c r="L17" s="41">
        <f t="shared" si="10"/>
        <v>-0.30104871708147468</v>
      </c>
      <c r="M17" s="41">
        <f t="shared" si="10"/>
        <v>-7.583717560254355E-2</v>
      </c>
      <c r="N17" s="41"/>
      <c r="O17" s="41">
        <f t="shared" si="11"/>
        <v>2675.4775151857671</v>
      </c>
      <c r="P17" s="41"/>
      <c r="R17" s="65">
        <f t="shared" si="12"/>
        <v>3424.2480894983682</v>
      </c>
      <c r="S17" s="65">
        <f t="shared" si="7"/>
        <v>3290.6351086407672</v>
      </c>
      <c r="T17" s="65">
        <f t="shared" si="7"/>
        <v>3163.4759350630975</v>
      </c>
      <c r="U17" s="65">
        <f t="shared" si="7"/>
        <v>3042.400076369343</v>
      </c>
      <c r="V17" s="65">
        <f t="shared" si="7"/>
        <v>2927.0616180287366</v>
      </c>
      <c r="W17" s="65">
        <f t="shared" si="7"/>
        <v>2817.1373775316815</v>
      </c>
      <c r="X17" s="65">
        <f t="shared" si="7"/>
        <v>2712.3252130465553</v>
      </c>
      <c r="Y17" s="65">
        <f t="shared" si="7"/>
        <v>2612.3424723411908</v>
      </c>
    </row>
    <row r="18" spans="1:25" x14ac:dyDescent="0.25">
      <c r="A18" s="21">
        <v>6</v>
      </c>
      <c r="B18" s="22">
        <f>B$2*'Cost Distribution By Year'!C25</f>
        <v>51.06809610705595</v>
      </c>
      <c r="C18" s="25">
        <f t="shared" si="13"/>
        <v>6.02</v>
      </c>
      <c r="D18" s="23">
        <f>FishHarvestTimeTrends!AC27*((1+D$10)^MIN($A18,20))</f>
        <v>-0.36609789732137704</v>
      </c>
      <c r="E18" s="23">
        <f>FishHarvestTimeTrends!AD27*((1+E$10)^MIN($A18,20))</f>
        <v>-9.2998613393808327E-2</v>
      </c>
      <c r="G18" s="27">
        <f t="shared" si="8"/>
        <v>3508.7587543760924</v>
      </c>
      <c r="J18" s="41">
        <f t="shared" si="9"/>
        <v>36.410846736874618</v>
      </c>
      <c r="K18" s="41">
        <f t="shared" si="6"/>
        <v>4.2921768004916832</v>
      </c>
      <c r="L18" s="41">
        <f t="shared" si="10"/>
        <v>-0.26102274112817292</v>
      </c>
      <c r="M18" s="41">
        <f t="shared" si="10"/>
        <v>-6.6306726060930105E-2</v>
      </c>
      <c r="N18" s="41"/>
      <c r="O18" s="41">
        <f t="shared" si="11"/>
        <v>2501.6964990124852</v>
      </c>
      <c r="P18" s="41"/>
      <c r="R18" s="65">
        <f t="shared" si="12"/>
        <v>3451.2115617583213</v>
      </c>
      <c r="S18" s="65">
        <f t="shared" si="7"/>
        <v>3283.7093816847428</v>
      </c>
      <c r="T18" s="65">
        <f t="shared" si="7"/>
        <v>3125.868642725733</v>
      </c>
      <c r="U18" s="65">
        <f t="shared" si="7"/>
        <v>2977.045409940918</v>
      </c>
      <c r="V18" s="65">
        <f t="shared" si="7"/>
        <v>2836.64433377044</v>
      </c>
      <c r="W18" s="65">
        <f t="shared" si="7"/>
        <v>2704.1145646561208</v>
      </c>
      <c r="X18" s="65">
        <f t="shared" si="7"/>
        <v>2578.9460458137337</v>
      </c>
      <c r="Y18" s="65">
        <f t="shared" si="7"/>
        <v>2460.6661460079299</v>
      </c>
    </row>
    <row r="19" spans="1:25" x14ac:dyDescent="0.25">
      <c r="A19" s="21">
        <v>7</v>
      </c>
      <c r="B19" s="22">
        <f>B$2*'Cost Distribution By Year'!C26</f>
        <v>49.11602037712894</v>
      </c>
      <c r="C19" s="25">
        <f t="shared" si="13"/>
        <v>6.02</v>
      </c>
      <c r="D19" s="23">
        <f>FishHarvestTimeTrends!AC28*((1+D$10)^MIN($A19,20))</f>
        <v>-0.30824294902145893</v>
      </c>
      <c r="E19" s="23">
        <f>FishHarvestTimeTrends!AD28*((1+E$10)^MIN($A19,20))</f>
        <v>-8.3994920579371024E-2</v>
      </c>
      <c r="G19" s="27">
        <f t="shared" si="8"/>
        <v>3510.5131337532803</v>
      </c>
      <c r="J19" s="41">
        <f t="shared" si="9"/>
        <v>32.728078243113245</v>
      </c>
      <c r="K19" s="41">
        <f t="shared" si="6"/>
        <v>4.0113801873754049</v>
      </c>
      <c r="L19" s="41">
        <f t="shared" si="10"/>
        <v>-0.20539529212671886</v>
      </c>
      <c r="M19" s="41">
        <f t="shared" si="10"/>
        <v>-5.596936216814944E-2</v>
      </c>
      <c r="N19" s="41"/>
      <c r="O19" s="41">
        <f t="shared" si="11"/>
        <v>2339.203128282235</v>
      </c>
      <c r="P19" s="41"/>
      <c r="R19" s="65">
        <f t="shared" si="12"/>
        <v>3454.9848755065509</v>
      </c>
      <c r="S19" s="65">
        <f t="shared" si="7"/>
        <v>3254.7520398462943</v>
      </c>
      <c r="T19" s="65">
        <f t="shared" si="7"/>
        <v>3067.9276953359404</v>
      </c>
      <c r="U19" s="65">
        <f t="shared" si="7"/>
        <v>2893.4954403168722</v>
      </c>
      <c r="V19" s="65">
        <f t="shared" si="7"/>
        <v>2730.5247332907861</v>
      </c>
      <c r="W19" s="65">
        <f t="shared" si="7"/>
        <v>2578.1629092496705</v>
      </c>
      <c r="X19" s="65">
        <f t="shared" si="7"/>
        <v>2435.6280050480059</v>
      </c>
      <c r="Y19" s="65">
        <f t="shared" si="7"/>
        <v>2302.202305197452</v>
      </c>
    </row>
    <row r="20" spans="1:25" x14ac:dyDescent="0.25">
      <c r="A20" s="21">
        <v>8</v>
      </c>
      <c r="B20" s="22">
        <f>B$2*'Cost Distribution By Year'!C27</f>
        <v>49.160895681265195</v>
      </c>
      <c r="C20" s="25">
        <f t="shared" si="13"/>
        <v>6.02</v>
      </c>
      <c r="D20" s="23">
        <f>FishHarvestTimeTrends!AC29*((1+D$10)^MIN($A20,20))</f>
        <v>-0.31754299951791759</v>
      </c>
      <c r="E20" s="23">
        <f>FishHarvestTimeTrends!AD29*((1+E$10)^MIN($A20,20))</f>
        <v>-8.534578261212164E-2</v>
      </c>
      <c r="F20" s="23">
        <f>B6</f>
        <v>5.7</v>
      </c>
      <c r="G20" s="27">
        <f t="shared" si="8"/>
        <v>3512.2683903201569</v>
      </c>
      <c r="H20" s="22">
        <f>B$8</f>
        <v>2.8000000000000001E-2</v>
      </c>
      <c r="I20" s="22"/>
      <c r="J20" s="41">
        <f t="shared" si="9"/>
        <v>30.614935096323212</v>
      </c>
      <c r="K20" s="41">
        <f t="shared" si="6"/>
        <v>3.7489534461452383</v>
      </c>
      <c r="L20" s="41">
        <f t="shared" si="10"/>
        <v>-0.19774982098704202</v>
      </c>
      <c r="M20" s="41">
        <f t="shared" si="10"/>
        <v>-5.3149064092637179E-2</v>
      </c>
      <c r="N20" s="41">
        <f t="shared" si="6"/>
        <v>3.5496735287421695</v>
      </c>
      <c r="O20" s="41">
        <f t="shared" si="11"/>
        <v>2187.2642335012861</v>
      </c>
      <c r="P20" s="41">
        <f t="shared" si="11"/>
        <v>1.7436992772768552E-2</v>
      </c>
      <c r="R20" s="65">
        <f t="shared" si="12"/>
        <v>3456.7126058567615</v>
      </c>
      <c r="S20" s="65">
        <f t="shared" si="7"/>
        <v>3224.1382574163517</v>
      </c>
      <c r="T20" s="65">
        <f t="shared" si="7"/>
        <v>3009.2763435716302</v>
      </c>
      <c r="U20" s="65">
        <f t="shared" si="7"/>
        <v>2810.623676975697</v>
      </c>
      <c r="V20" s="65">
        <f t="shared" si="7"/>
        <v>2626.8174843106758</v>
      </c>
      <c r="W20" s="65">
        <f t="shared" si="7"/>
        <v>2456.6211126078415</v>
      </c>
      <c r="X20" s="65">
        <f t="shared" si="7"/>
        <v>2298.9113082730414</v>
      </c>
      <c r="Y20" s="65">
        <f t="shared" si="7"/>
        <v>2152.6668830665103</v>
      </c>
    </row>
    <row r="21" spans="1:25" x14ac:dyDescent="0.25">
      <c r="A21" s="21">
        <v>9</v>
      </c>
      <c r="B21" s="22">
        <f>B$2*'Cost Distribution By Year'!C28</f>
        <v>3.7695255474452547</v>
      </c>
      <c r="C21" s="25">
        <f t="shared" si="13"/>
        <v>6.02</v>
      </c>
      <c r="D21" s="23">
        <f>FishHarvestTimeTrends!AC30*((1+D$10)^MIN($A21,20))</f>
        <v>-0.24394231149703147</v>
      </c>
      <c r="E21" s="23">
        <f>FishHarvestTimeTrends!AD30*((1+E$10)^MIN($A21,20))</f>
        <v>-7.2090804198112118E-2</v>
      </c>
      <c r="F21" s="23">
        <f>F20*(1+F$10)</f>
        <v>5.7028499999999998</v>
      </c>
      <c r="G21" s="27">
        <f t="shared" si="8"/>
        <v>3514.0245245153169</v>
      </c>
      <c r="H21" s="22">
        <f t="shared" ref="H21:H84" si="14">B$8</f>
        <v>2.8000000000000001E-2</v>
      </c>
      <c r="I21" s="22"/>
      <c r="J21" s="41">
        <f t="shared" si="9"/>
        <v>2.193898188503649</v>
      </c>
      <c r="K21" s="41">
        <f t="shared" si="6"/>
        <v>3.503694809481531</v>
      </c>
      <c r="L21" s="41">
        <f t="shared" si="10"/>
        <v>-0.14197664627991297</v>
      </c>
      <c r="M21" s="41">
        <f t="shared" si="10"/>
        <v>-4.1957504398716747E-2</v>
      </c>
      <c r="N21" s="41">
        <f t="shared" si="6"/>
        <v>3.3191106219687292</v>
      </c>
      <c r="O21" s="41">
        <f t="shared" si="11"/>
        <v>2045.1942669327445</v>
      </c>
      <c r="P21" s="41">
        <f t="shared" si="11"/>
        <v>1.6296254927821077E-2</v>
      </c>
      <c r="R21" s="65">
        <f t="shared" si="12"/>
        <v>3503.9469658521766</v>
      </c>
      <c r="S21" s="65">
        <f t="shared" si="7"/>
        <v>3235.836235432288</v>
      </c>
      <c r="T21" s="65">
        <f t="shared" si="7"/>
        <v>2990.5849965156394</v>
      </c>
      <c r="U21" s="65">
        <f t="shared" si="7"/>
        <v>2766.0480913900051</v>
      </c>
      <c r="V21" s="65">
        <f t="shared" si="7"/>
        <v>2560.2997267946062</v>
      </c>
      <c r="W21" s="65">
        <f t="shared" si="7"/>
        <v>2371.6092289497415</v>
      </c>
      <c r="X21" s="65">
        <f t="shared" si="7"/>
        <v>2198.4196749013122</v>
      </c>
      <c r="Y21" s="65">
        <f t="shared" si="7"/>
        <v>2039.3290360390085</v>
      </c>
    </row>
    <row r="22" spans="1:25" x14ac:dyDescent="0.25">
      <c r="A22" s="21">
        <v>10</v>
      </c>
      <c r="B22" s="22">
        <f>B$2*'Cost Distribution By Year'!C29</f>
        <v>3.7695255474452547</v>
      </c>
      <c r="C22" s="25">
        <f t="shared" si="13"/>
        <v>6.02</v>
      </c>
      <c r="D22" s="23">
        <f>FishHarvestTimeTrends!AC31*((1+D$10)^MIN($A22,20))</f>
        <v>-0.19428149710205203</v>
      </c>
      <c r="E22" s="23">
        <f>FishHarvestTimeTrends!AD31*((1+E$10)^MIN($A22,20))</f>
        <v>-6.6597232335975212E-2</v>
      </c>
      <c r="F22" s="23">
        <f t="shared" si="13"/>
        <v>5.7057014249999991</v>
      </c>
      <c r="G22" s="27">
        <f t="shared" si="8"/>
        <v>3515.7815367775743</v>
      </c>
      <c r="H22" s="22">
        <f t="shared" si="14"/>
        <v>2.8000000000000001E-2</v>
      </c>
      <c r="I22" s="22"/>
      <c r="J22" s="41">
        <f t="shared" si="9"/>
        <v>2.0503721387884566</v>
      </c>
      <c r="K22" s="41">
        <f t="shared" si="6"/>
        <v>3.2744811303565706</v>
      </c>
      <c r="L22" s="41">
        <f t="shared" si="10"/>
        <v>-0.10567626183357047</v>
      </c>
      <c r="M22" s="41">
        <f t="shared" si="10"/>
        <v>-3.6224481830253036E-2</v>
      </c>
      <c r="N22" s="41">
        <f t="shared" si="6"/>
        <v>3.1035235301679558</v>
      </c>
      <c r="O22" s="41">
        <f t="shared" si="11"/>
        <v>1912.3522094076734</v>
      </c>
      <c r="P22" s="41">
        <f t="shared" si="11"/>
        <v>1.5230144792356145E-2</v>
      </c>
      <c r="R22" s="65">
        <f>(($D22/((1+R$10)^$M$7))+$G22+$H22+IF($M$3="Yes",$E22/((1+R$10)^$M$7),0)+IF($M$4="Yes",$F22)-($B22*(1+$M$5))-$C22)/((1+R$10)^($A22-1))</f>
        <v>3505.7591325006911</v>
      </c>
      <c r="S22" s="65">
        <f t="shared" si="7"/>
        <v>3205.4551890381517</v>
      </c>
      <c r="T22" s="65">
        <f t="shared" si="7"/>
        <v>2933.4624150011164</v>
      </c>
      <c r="U22" s="65">
        <f t="shared" si="7"/>
        <v>2686.8724587150077</v>
      </c>
      <c r="V22" s="65">
        <f t="shared" si="7"/>
        <v>2463.0998646293333</v>
      </c>
      <c r="W22" s="65">
        <f t="shared" si="7"/>
        <v>2259.8435949219156</v>
      </c>
      <c r="X22" s="65">
        <f t="shared" si="7"/>
        <v>2075.0534440335123</v>
      </c>
      <c r="Y22" s="65">
        <f t="shared" si="7"/>
        <v>1906.9006855396569</v>
      </c>
    </row>
    <row r="23" spans="1:25" x14ac:dyDescent="0.25">
      <c r="A23" s="21">
        <v>11</v>
      </c>
      <c r="B23" s="22">
        <f>B$2*'Cost Distribution By Year'!C30</f>
        <v>1.4808850364963502</v>
      </c>
      <c r="C23" s="25">
        <f t="shared" si="13"/>
        <v>6.02</v>
      </c>
      <c r="D23" s="23">
        <f>FishHarvestTimeTrends!AC32*((1+D$10)^MIN($A23,20))</f>
        <v>8.6167725856419811E-3</v>
      </c>
      <c r="E23" s="23">
        <f>FishHarvestTimeTrends!AD32*((1+E$10)^MIN($A23,20))</f>
        <v>-3.3324567397867599E-2</v>
      </c>
      <c r="F23" s="23">
        <f t="shared" si="13"/>
        <v>5.7085542757124985</v>
      </c>
      <c r="H23" s="22">
        <f t="shared" si="14"/>
        <v>2.8000000000000001E-2</v>
      </c>
      <c r="I23" s="22"/>
      <c r="J23" s="41">
        <f>B23/((1+$M$9)^($A23-1))</f>
        <v>0.75280686003581532</v>
      </c>
      <c r="K23" s="41">
        <f>C23/((1+$M$9)^($A23-1))</f>
        <v>3.0602627386510011</v>
      </c>
      <c r="L23" s="41">
        <f>D23/((1+$M$9)^(($A23+$M$7)-1))</f>
        <v>4.3803302443969428E-3</v>
      </c>
      <c r="M23" s="41">
        <f t="shared" si="10"/>
        <v>-1.694052024740169E-2</v>
      </c>
      <c r="N23" s="41">
        <f>F23/((1+$M$9)^($A23-1))</f>
        <v>2.9019395251710653</v>
      </c>
      <c r="P23" s="41">
        <f>H23/((1+$M$9)^($A23-1))</f>
        <v>1.4233780179772098E-2</v>
      </c>
      <c r="R23" s="65">
        <f>(($D23/((1+R$10)^$M$7))+$G23+$H23+IF($M$3="Yes",$E23/((1+R$10)^$M$7),0)+IF($M$4="Yes",$F23)-($B23*(1+$M$5))-$C23)/((1+R$10)^($A23-1))</f>
        <v>-7.4975928313085749</v>
      </c>
      <c r="S23" s="65">
        <f t="shared" si="7"/>
        <v>-6.7874729817832806</v>
      </c>
      <c r="T23" s="65">
        <f t="shared" si="7"/>
        <v>-6.1506375323201414</v>
      </c>
      <c r="U23" s="65">
        <f t="shared" si="7"/>
        <v>-5.5789132021500194</v>
      </c>
      <c r="V23" s="65">
        <f t="shared" si="7"/>
        <v>-5.0651050692772435</v>
      </c>
      <c r="W23" s="65">
        <f t="shared" si="7"/>
        <v>-4.6028716087925208</v>
      </c>
      <c r="X23" s="65">
        <f t="shared" si="7"/>
        <v>-4.1866166764389385</v>
      </c>
      <c r="Y23" s="65">
        <f t="shared" si="7"/>
        <v>-3.8113960085100489</v>
      </c>
    </row>
    <row r="24" spans="1:25" x14ac:dyDescent="0.25">
      <c r="A24" s="21">
        <v>12</v>
      </c>
      <c r="B24" s="22">
        <f>B$2*'Cost Distribution By Year'!C31</f>
        <v>1.4584473844282235</v>
      </c>
      <c r="C24" s="25">
        <f t="shared" si="13"/>
        <v>6.02</v>
      </c>
      <c r="D24" s="23">
        <f>FishHarvestTimeTrends!AC33*((1+D$10)^MIN($A24,20))</f>
        <v>0.21183980384499437</v>
      </c>
      <c r="E24" s="23">
        <f>FishHarvestTimeTrends!AD33*((1+E$10)^MIN($A24,20))</f>
        <v>-1.8613145513795979E-5</v>
      </c>
      <c r="F24" s="23">
        <f t="shared" si="13"/>
        <v>5.7114085528503544</v>
      </c>
      <c r="H24" s="22">
        <f t="shared" si="14"/>
        <v>2.8000000000000001E-2</v>
      </c>
      <c r="I24" s="22"/>
      <c r="J24" s="41">
        <f t="shared" si="9"/>
        <v>0.69289784625216633</v>
      </c>
      <c r="K24" s="41">
        <f t="shared" si="6"/>
        <v>2.8600586342532717</v>
      </c>
      <c r="L24" s="41">
        <f t="shared" ref="L24:M87" si="15">D24/((1+$M$9)^(($A24+$M$7)-1))</f>
        <v>0.10064356479491621</v>
      </c>
      <c r="M24" s="41">
        <f t="shared" si="15"/>
        <v>-8.8429713517183956E-6</v>
      </c>
      <c r="N24" s="41">
        <f t="shared" si="6"/>
        <v>2.7134490606856545</v>
      </c>
      <c r="P24" s="41">
        <f t="shared" si="11"/>
        <v>1.3302598298852426E-2</v>
      </c>
      <c r="R24" s="65">
        <f>(($D24/((1+R$10)^$M$7))+$G24+$H24+IF($M$3="Yes",$E24/((1+R$10)^$M$7),0)+IF($M$4="Yes",$F24)-($B24*(1+$M$5))-$C24)/((1+R$10)^($A24-1))</f>
        <v>-7.2386261937287424</v>
      </c>
      <c r="S24" s="65">
        <f t="shared" si="7"/>
        <v>-6.4881523396847074</v>
      </c>
      <c r="T24" s="65">
        <f t="shared" si="7"/>
        <v>-5.8217595014285699</v>
      </c>
      <c r="U24" s="65">
        <f t="shared" si="7"/>
        <v>-5.2293375756947578</v>
      </c>
      <c r="V24" s="65">
        <f t="shared" si="7"/>
        <v>-4.7020735461605883</v>
      </c>
      <c r="W24" s="65">
        <f t="shared" si="7"/>
        <v>-4.2322748169117856</v>
      </c>
      <c r="X24" s="65">
        <f t="shared" si="7"/>
        <v>-3.8132179798293295</v>
      </c>
      <c r="Y24" s="65">
        <f t="shared" si="7"/>
        <v>-3.4390191603830207</v>
      </c>
    </row>
    <row r="25" spans="1:25" x14ac:dyDescent="0.25">
      <c r="A25" s="21">
        <v>13</v>
      </c>
      <c r="B25" s="22">
        <f>B$2*'Cost Distribution By Year'!C32</f>
        <v>0.80775547445255469</v>
      </c>
      <c r="C25" s="25">
        <f t="shared" si="13"/>
        <v>6.02</v>
      </c>
      <c r="D25" s="23">
        <f>FishHarvestTimeTrends!AC34*((1+D$10)^MIN($A25,20))</f>
        <v>0.41538798643962715</v>
      </c>
      <c r="E25" s="23">
        <f>FishHarvestTimeTrends!AD34*((1+E$10)^MIN($A25,20))</f>
        <v>3.3320655392234194E-2</v>
      </c>
      <c r="F25" s="23">
        <f t="shared" si="13"/>
        <v>5.7142642571267794</v>
      </c>
      <c r="H25" s="22">
        <f t="shared" si="14"/>
        <v>2.8000000000000001E-2</v>
      </c>
      <c r="I25" s="22"/>
      <c r="J25" s="41">
        <f t="shared" si="9"/>
        <v>0.35865309079910851</v>
      </c>
      <c r="K25" s="41">
        <f t="shared" si="6"/>
        <v>2.6729519946292264</v>
      </c>
      <c r="L25" s="41">
        <f t="shared" si="15"/>
        <v>0.18443723370412282</v>
      </c>
      <c r="M25" s="41">
        <f t="shared" si="15"/>
        <v>1.4794769483891275E-2</v>
      </c>
      <c r="N25" s="41">
        <f t="shared" si="6"/>
        <v>2.537201668426166</v>
      </c>
      <c r="P25" s="41">
        <f t="shared" si="11"/>
        <v>1.2432334858740589E-2</v>
      </c>
      <c r="R25" s="65">
        <f t="shared" si="12"/>
        <v>-6.3510468326206926</v>
      </c>
      <c r="S25" s="65">
        <f t="shared" si="7"/>
        <v>-5.6362315912319421</v>
      </c>
      <c r="T25" s="65">
        <f t="shared" si="7"/>
        <v>-5.0077570853209101</v>
      </c>
      <c r="U25" s="65">
        <f t="shared" si="7"/>
        <v>-4.4544964665634632</v>
      </c>
      <c r="V25" s="65">
        <f t="shared" si="7"/>
        <v>-3.9668451133997022</v>
      </c>
      <c r="W25" s="65">
        <f t="shared" si="7"/>
        <v>-3.5365005210012734</v>
      </c>
      <c r="X25" s="65">
        <f t="shared" si="7"/>
        <v>-3.1562757024552304</v>
      </c>
      <c r="Y25" s="65">
        <f t="shared" si="7"/>
        <v>-2.8199407473815801</v>
      </c>
    </row>
    <row r="26" spans="1:25" x14ac:dyDescent="0.25">
      <c r="A26" s="21">
        <v>14</v>
      </c>
      <c r="B26" s="22">
        <f>B$2*'Cost Distribution By Year'!C33</f>
        <v>0.7404425182481752</v>
      </c>
      <c r="C26" s="25">
        <f t="shared" si="13"/>
        <v>6.02</v>
      </c>
      <c r="D26" s="23">
        <f>FishHarvestTimeTrends!AC35*((1+D$10)^MIN($A26,20))</f>
        <v>0.61926171054893731</v>
      </c>
      <c r="E26" s="23">
        <f>FishHarvestTimeTrends!AD35*((1+E$10)^MIN($A26,20))</f>
        <v>6.6693263203173231E-2</v>
      </c>
      <c r="F26" s="23">
        <f t="shared" si="13"/>
        <v>5.7171213892553423</v>
      </c>
      <c r="H26" s="22">
        <f t="shared" si="14"/>
        <v>2.8000000000000001E-2</v>
      </c>
      <c r="I26" s="22"/>
      <c r="J26" s="41">
        <f t="shared" si="9"/>
        <v>0.30725732077805246</v>
      </c>
      <c r="K26" s="41">
        <f t="shared" si="6"/>
        <v>2.4980859762889964</v>
      </c>
      <c r="L26" s="41">
        <f t="shared" si="15"/>
        <v>0.25697159381645118</v>
      </c>
      <c r="M26" s="41">
        <f t="shared" si="15"/>
        <v>2.76753331429897E-2</v>
      </c>
      <c r="N26" s="41">
        <f t="shared" si="6"/>
        <v>2.3724021208040922</v>
      </c>
      <c r="P26" s="41">
        <f t="shared" si="11"/>
        <v>1.1619004540879054E-2</v>
      </c>
      <c r="R26" s="65">
        <f t="shared" si="12"/>
        <v>-6.0464875444960642</v>
      </c>
      <c r="S26" s="65">
        <f t="shared" si="7"/>
        <v>-5.3128224623152809</v>
      </c>
      <c r="T26" s="65">
        <f t="shared" si="7"/>
        <v>-4.6741315343868957</v>
      </c>
      <c r="U26" s="65">
        <f t="shared" si="7"/>
        <v>-4.1173637956766544</v>
      </c>
      <c r="V26" s="65">
        <f t="shared" si="7"/>
        <v>-3.631363731360437</v>
      </c>
      <c r="W26" s="65">
        <f t="shared" si="7"/>
        <v>-3.2065814412571041</v>
      </c>
      <c r="X26" s="65">
        <f t="shared" si="7"/>
        <v>-2.834829308362707</v>
      </c>
      <c r="Y26" s="65">
        <f t="shared" si="7"/>
        <v>-2.5090773655667289</v>
      </c>
    </row>
    <row r="27" spans="1:25" x14ac:dyDescent="0.25">
      <c r="A27" s="21">
        <v>15</v>
      </c>
      <c r="B27" s="22">
        <f>B$2*'Cost Distribution By Year'!C34</f>
        <v>0.60581660583941599</v>
      </c>
      <c r="C27" s="25">
        <f t="shared" si="13"/>
        <v>6.02</v>
      </c>
      <c r="D27" s="23">
        <f>FishHarvestTimeTrends!AC36*((1+D$10)^MIN($A27,20))</f>
        <v>0.82346136676851034</v>
      </c>
      <c r="E27" s="23">
        <f>FishHarvestTimeTrends!AD36*((1+E$10)^MIN($A27,20))</f>
        <v>0.10009923529175935</v>
      </c>
      <c r="F27" s="23">
        <f t="shared" si="13"/>
        <v>5.7199799499499697</v>
      </c>
      <c r="H27" s="22">
        <f t="shared" si="14"/>
        <v>2.8000000000000001E-2</v>
      </c>
      <c r="I27" s="22"/>
      <c r="J27" s="41">
        <f t="shared" si="9"/>
        <v>0.23494612463912251</v>
      </c>
      <c r="K27" s="41">
        <f t="shared" si="6"/>
        <v>2.3346597909242957</v>
      </c>
      <c r="L27" s="41">
        <f t="shared" si="15"/>
        <v>0.31935251534451914</v>
      </c>
      <c r="M27" s="41">
        <f t="shared" si="15"/>
        <v>3.8820209258794147E-2</v>
      </c>
      <c r="N27" s="41">
        <f t="shared" si="6"/>
        <v>2.2183068428640134</v>
      </c>
      <c r="P27" s="41">
        <f t="shared" si="11"/>
        <v>1.0858882748485097E-2</v>
      </c>
      <c r="R27" s="65">
        <f t="shared" si="12"/>
        <v>-5.6742560037791456</v>
      </c>
      <c r="S27" s="65">
        <f t="shared" si="7"/>
        <v>-4.9363926031859116</v>
      </c>
      <c r="T27" s="65">
        <f t="shared" si="7"/>
        <v>-4.3003769083843695</v>
      </c>
      <c r="U27" s="65">
        <f t="shared" si="7"/>
        <v>-3.7513516788715955</v>
      </c>
      <c r="V27" s="65">
        <f t="shared" si="7"/>
        <v>-3.2767414557344909</v>
      </c>
      <c r="W27" s="65">
        <f t="shared" si="7"/>
        <v>-2.865884864601266</v>
      </c>
      <c r="X27" s="65">
        <f t="shared" si="7"/>
        <v>-2.5097289026086651</v>
      </c>
      <c r="Y27" s="65">
        <f t="shared" si="7"/>
        <v>-2.2005743082116198</v>
      </c>
    </row>
    <row r="28" spans="1:25" x14ac:dyDescent="0.25">
      <c r="A28" s="21">
        <v>16</v>
      </c>
      <c r="B28" s="22">
        <f>B$2*'Cost Distribution By Year'!C35</f>
        <v>0.58337895377128934</v>
      </c>
      <c r="C28" s="25">
        <f t="shared" si="13"/>
        <v>6.02</v>
      </c>
      <c r="D28" s="23">
        <f>FishHarvestTimeTrends!AC37*((1+D$10)^MIN($A28,20))</f>
        <v>0.96530840130180551</v>
      </c>
      <c r="E28" s="23">
        <f>FishHarvestTimeTrends!AD37*((1+E$10)^MIN($A28,20))</f>
        <v>0.12312041225906903</v>
      </c>
      <c r="F28" s="23">
        <f t="shared" si="13"/>
        <v>5.7228399399249446</v>
      </c>
      <c r="H28" s="22">
        <f t="shared" si="14"/>
        <v>2.8000000000000001E-2</v>
      </c>
      <c r="I28" s="22"/>
      <c r="J28" s="41">
        <f t="shared" si="9"/>
        <v>0.21144337973752797</v>
      </c>
      <c r="K28" s="41">
        <f t="shared" si="6"/>
        <v>2.1819250382470052</v>
      </c>
      <c r="L28" s="41">
        <f t="shared" si="15"/>
        <v>0.34987218777916901</v>
      </c>
      <c r="M28" s="41">
        <f t="shared" si="15"/>
        <v>4.4624503360025956E-2</v>
      </c>
      <c r="N28" s="41">
        <f t="shared" si="6"/>
        <v>2.0742205572761168</v>
      </c>
      <c r="P28" s="41">
        <f t="shared" si="11"/>
        <v>1.0148488549986071E-2</v>
      </c>
      <c r="R28" s="65">
        <f t="shared" si="12"/>
        <v>-5.4869501402104142</v>
      </c>
      <c r="S28" s="65">
        <f t="shared" si="7"/>
        <v>-4.726181621679741</v>
      </c>
      <c r="T28" s="65">
        <f t="shared" si="7"/>
        <v>-4.0768847768889085</v>
      </c>
      <c r="U28" s="65">
        <f t="shared" si="7"/>
        <v>-3.5218645022641497</v>
      </c>
      <c r="V28" s="65">
        <f t="shared" si="7"/>
        <v>-3.046708641016469</v>
      </c>
      <c r="W28" s="65">
        <f t="shared" si="7"/>
        <v>-2.6393168338138553</v>
      </c>
      <c r="X28" s="65">
        <f t="shared" si="7"/>
        <v>-2.2895125835077801</v>
      </c>
      <c r="Y28" s="65">
        <f t="shared" si="7"/>
        <v>-1.9887232382953519</v>
      </c>
    </row>
    <row r="29" spans="1:25" x14ac:dyDescent="0.25">
      <c r="A29" s="21">
        <v>17</v>
      </c>
      <c r="B29" s="22">
        <f>B$2*'Cost Distribution By Year'!C36</f>
        <v>0.26925182481751819</v>
      </c>
      <c r="C29" s="25">
        <f t="shared" si="13"/>
        <v>6.02</v>
      </c>
      <c r="D29" s="23">
        <f>FishHarvestTimeTrends!AC38*((1+D$10)^MIN($A29,20))</f>
        <v>1.1073818640750788</v>
      </c>
      <c r="E29" s="23">
        <f>FishHarvestTimeTrends!AD38*((1+E$10)^MIN($A29,20))</f>
        <v>0.14616458537853716</v>
      </c>
      <c r="F29" s="23">
        <f t="shared" si="13"/>
        <v>5.7257013598949067</v>
      </c>
      <c r="H29" s="22">
        <f t="shared" si="14"/>
        <v>2.8000000000000001E-2</v>
      </c>
      <c r="I29" s="22"/>
      <c r="J29" s="41">
        <f t="shared" si="9"/>
        <v>9.1204908585562058E-2</v>
      </c>
      <c r="K29" s="41">
        <f t="shared" si="6"/>
        <v>2.0391822787355189</v>
      </c>
      <c r="L29" s="41">
        <f t="shared" si="15"/>
        <v>0.37510855033471863</v>
      </c>
      <c r="M29" s="41">
        <f t="shared" si="15"/>
        <v>4.9511002040305271E-2</v>
      </c>
      <c r="N29" s="41">
        <f t="shared" si="6"/>
        <v>1.9394931472474346</v>
      </c>
      <c r="P29" s="41">
        <f t="shared" si="11"/>
        <v>9.4845687383047408E-3</v>
      </c>
      <c r="R29" s="65">
        <f t="shared" si="12"/>
        <v>-5.0077053753639014</v>
      </c>
      <c r="S29" s="65">
        <f t="shared" si="12"/>
        <v>-4.2706776189751938</v>
      </c>
      <c r="T29" s="65">
        <f t="shared" si="12"/>
        <v>-3.6478420169981032</v>
      </c>
      <c r="U29" s="65">
        <f t="shared" si="12"/>
        <v>-3.1206364312816364</v>
      </c>
      <c r="V29" s="65">
        <f t="shared" si="12"/>
        <v>-2.6736548413327204</v>
      </c>
      <c r="W29" s="65">
        <f t="shared" si="12"/>
        <v>-2.2940875311924729</v>
      </c>
      <c r="X29" s="65">
        <f t="shared" si="12"/>
        <v>-1.9712646109404819</v>
      </c>
      <c r="Y29" s="65">
        <f t="shared" si="12"/>
        <v>-1.6962830662077524</v>
      </c>
    </row>
    <row r="30" spans="1:25" x14ac:dyDescent="0.25">
      <c r="A30" s="21">
        <v>18</v>
      </c>
      <c r="B30" s="22">
        <f>B$2*'Cost Distribution By Year'!C37</f>
        <v>0.26925182481751819</v>
      </c>
      <c r="C30" s="25">
        <f t="shared" si="13"/>
        <v>6.02</v>
      </c>
      <c r="D30" s="23">
        <f>FishHarvestTimeTrends!AC39*((1+D$10)^MIN($A30,20))</f>
        <v>1.2496820265914128</v>
      </c>
      <c r="E30" s="23">
        <f>FishHarvestTimeTrends!AD39*((1+E$10)^MIN($A30,20))</f>
        <v>0.1692317718910217</v>
      </c>
      <c r="F30" s="23">
        <f t="shared" si="13"/>
        <v>5.728564210574854</v>
      </c>
      <c r="H30" s="22">
        <f t="shared" si="14"/>
        <v>2.8000000000000001E-2</v>
      </c>
      <c r="I30" s="22"/>
      <c r="J30" s="41">
        <f t="shared" si="9"/>
        <v>8.5238232322955187E-2</v>
      </c>
      <c r="K30" s="41">
        <f t="shared" si="6"/>
        <v>1.905777830593943</v>
      </c>
      <c r="L30" s="41">
        <f t="shared" si="15"/>
        <v>0.39561732584213039</v>
      </c>
      <c r="M30" s="41">
        <f t="shared" si="15"/>
        <v>5.3574445033561527E-2</v>
      </c>
      <c r="N30" s="41">
        <f t="shared" si="6"/>
        <v>1.8135167231972509</v>
      </c>
      <c r="O30" s="41"/>
      <c r="P30" s="41">
        <f t="shared" ref="P30:P93" si="16">H30/((1+$M$9)^($A30-1))</f>
        <v>8.8640829329950845E-3</v>
      </c>
      <c r="R30" s="65">
        <f t="shared" ref="R30:Y45" si="17">(($D30/((1+R$10)^$M$7))+$G30+$H30+IF($M$3="Yes",$E30/((1+R$10)^$M$7),0)+IF($M$4="Yes",$F30)-($B30*(1+$M$5))-$C30)/((1+R$10)^($A30-1))</f>
        <v>-4.8423380263350833</v>
      </c>
      <c r="S30" s="65">
        <f t="shared" si="17"/>
        <v>-4.0887612154937871</v>
      </c>
      <c r="T30" s="65">
        <f t="shared" si="17"/>
        <v>-3.4582165332088621</v>
      </c>
      <c r="U30" s="65">
        <f t="shared" si="17"/>
        <v>-2.9296941422722362</v>
      </c>
      <c r="V30" s="65">
        <f t="shared" si="17"/>
        <v>-2.4859267900910966</v>
      </c>
      <c r="W30" s="65">
        <f t="shared" si="17"/>
        <v>-2.112696041182093</v>
      </c>
      <c r="X30" s="65">
        <f t="shared" si="17"/>
        <v>-1.7982720457998624</v>
      </c>
      <c r="Y30" s="65">
        <f t="shared" si="17"/>
        <v>-1.5329602091082111</v>
      </c>
    </row>
    <row r="31" spans="1:25" x14ac:dyDescent="0.25">
      <c r="A31" s="21">
        <v>19</v>
      </c>
      <c r="B31" s="22">
        <f>B$2*'Cost Distribution By Year'!C38</f>
        <v>0.22437652068126518</v>
      </c>
      <c r="C31" s="25">
        <f t="shared" ref="C31:F46" si="18">C30*(1+C$10)</f>
        <v>6.02</v>
      </c>
      <c r="D31" s="23">
        <f>FishHarvestTimeTrends!AC40*((1+D$10)^MIN($A31,20))</f>
        <v>1.39220916064338</v>
      </c>
      <c r="E31" s="23">
        <f>FishHarvestTimeTrends!AD40*((1+E$10)^MIN($A31,20))</f>
        <v>0.19232198904887243</v>
      </c>
      <c r="F31" s="23">
        <f t="shared" si="18"/>
        <v>5.7314284926801413</v>
      </c>
      <c r="H31" s="22">
        <f t="shared" si="14"/>
        <v>2.8000000000000001E-2</v>
      </c>
      <c r="I31" s="22"/>
      <c r="J31" s="41">
        <f t="shared" si="9"/>
        <v>6.638491613937321E-2</v>
      </c>
      <c r="K31" s="41">
        <f t="shared" si="6"/>
        <v>1.7811007762560214</v>
      </c>
      <c r="L31" s="41">
        <f t="shared" si="15"/>
        <v>0.41190445460675551</v>
      </c>
      <c r="M31" s="41">
        <f t="shared" si="15"/>
        <v>5.690113687475893E-2</v>
      </c>
      <c r="N31" s="41">
        <f t="shared" si="6"/>
        <v>1.6957228799615414</v>
      </c>
      <c r="O31" s="41"/>
      <c r="P31" s="41">
        <f t="shared" si="16"/>
        <v>8.2841896570047518E-3</v>
      </c>
      <c r="R31" s="65">
        <f t="shared" si="17"/>
        <v>-4.6318453709890122</v>
      </c>
      <c r="S31" s="65">
        <f t="shared" si="17"/>
        <v>-3.8723029268025972</v>
      </c>
      <c r="T31" s="65">
        <f t="shared" si="17"/>
        <v>-3.2430299598890824</v>
      </c>
      <c r="U31" s="65">
        <f t="shared" si="17"/>
        <v>-2.7207209942313861</v>
      </c>
      <c r="V31" s="65">
        <f t="shared" si="17"/>
        <v>-2.2864091272962748</v>
      </c>
      <c r="W31" s="65">
        <f t="shared" si="17"/>
        <v>-1.9246274217982748</v>
      </c>
      <c r="X31" s="65">
        <f t="shared" si="17"/>
        <v>-1.6227382671965465</v>
      </c>
      <c r="Y31" s="65">
        <f t="shared" si="17"/>
        <v>-1.3703959112568753</v>
      </c>
    </row>
    <row r="32" spans="1:25" x14ac:dyDescent="0.25">
      <c r="A32" s="21">
        <v>20</v>
      </c>
      <c r="C32" s="25">
        <f t="shared" si="18"/>
        <v>6.02</v>
      </c>
      <c r="D32" s="23">
        <f>FishHarvestTimeTrends!AC41*((1+D$10)^MIN($A32,20))</f>
        <v>1.5349635383133331</v>
      </c>
      <c r="E32" s="23">
        <f>FishHarvestTimeTrends!AD41*((1+E$10)^MIN($A32,20))</f>
        <v>0.215435254115938</v>
      </c>
      <c r="F32" s="23">
        <f t="shared" si="18"/>
        <v>5.7342942069264815</v>
      </c>
      <c r="H32" s="22">
        <f t="shared" si="14"/>
        <v>2.8000000000000001E-2</v>
      </c>
      <c r="I32" s="22"/>
      <c r="J32" s="41"/>
      <c r="K32" s="41">
        <f t="shared" si="6"/>
        <v>1.6645801647252536</v>
      </c>
      <c r="L32" s="41">
        <f t="shared" si="15"/>
        <v>0.42443020921143959</v>
      </c>
      <c r="M32" s="41">
        <f t="shared" si="15"/>
        <v>5.9569642987364613E-2</v>
      </c>
      <c r="N32" s="41">
        <f t="shared" si="6"/>
        <v>1.5855801321509553</v>
      </c>
      <c r="O32" s="41"/>
      <c r="P32" s="41">
        <f t="shared" si="16"/>
        <v>7.7422333243035062E-3</v>
      </c>
      <c r="R32" s="65">
        <f t="shared" si="17"/>
        <v>-4.2416012075707279</v>
      </c>
      <c r="S32" s="65">
        <f t="shared" si="17"/>
        <v>-3.5109426231909913</v>
      </c>
      <c r="T32" s="65">
        <f t="shared" si="17"/>
        <v>-2.911565539555053</v>
      </c>
      <c r="U32" s="65">
        <f t="shared" si="17"/>
        <v>-2.4189258999861738</v>
      </c>
      <c r="V32" s="65">
        <f t="shared" si="17"/>
        <v>-2.013243879011994</v>
      </c>
      <c r="W32" s="65">
        <f t="shared" si="17"/>
        <v>-1.6785456299585677</v>
      </c>
      <c r="X32" s="65">
        <f t="shared" si="17"/>
        <v>-1.4019043844514525</v>
      </c>
      <c r="Y32" s="65">
        <f t="shared" si="17"/>
        <v>-1.1728380792021458</v>
      </c>
    </row>
    <row r="33" spans="1:25" x14ac:dyDescent="0.25">
      <c r="A33" s="21">
        <v>21</v>
      </c>
      <c r="C33" s="25">
        <f>C32</f>
        <v>6.02</v>
      </c>
      <c r="D33" s="23">
        <f>FishHarvestTimeTrends!AC42*((1+D$10)^MIN($A33,20))</f>
        <v>1.5772550471010494</v>
      </c>
      <c r="E33" s="23">
        <f>FishHarvestTimeTrends!AD42*((1+E$10)^MIN($A33,20))</f>
        <v>0.22230750690404252</v>
      </c>
      <c r="F33" s="23">
        <f t="shared" si="18"/>
        <v>5.7371613540299444</v>
      </c>
      <c r="H33" s="22">
        <f t="shared" si="14"/>
        <v>2.8000000000000001E-2</v>
      </c>
      <c r="I33" s="22"/>
      <c r="J33" s="41"/>
      <c r="K33" s="41">
        <f t="shared" si="6"/>
        <v>1.5556823969394895</v>
      </c>
      <c r="L33" s="41">
        <f t="shared" si="15"/>
        <v>0.4075926764549947</v>
      </c>
      <c r="M33" s="41">
        <f t="shared" si="15"/>
        <v>5.7448484252179903E-2</v>
      </c>
      <c r="N33" s="41">
        <f t="shared" si="6"/>
        <v>1.4825915160906831</v>
      </c>
      <c r="O33" s="41"/>
      <c r="P33" s="41">
        <f t="shared" si="16"/>
        <v>7.2357320787883239E-3</v>
      </c>
      <c r="R33" s="65">
        <f t="shared" si="17"/>
        <v>-4.1924374459949076</v>
      </c>
      <c r="S33" s="65">
        <f t="shared" si="17"/>
        <v>-3.4358889261001404</v>
      </c>
      <c r="T33" s="65">
        <f t="shared" si="17"/>
        <v>-2.8213902170033336</v>
      </c>
      <c r="U33" s="65">
        <f t="shared" si="17"/>
        <v>-2.3212509647902624</v>
      </c>
      <c r="V33" s="65">
        <f t="shared" si="17"/>
        <v>-1.9133737231175603</v>
      </c>
      <c r="W33" s="65">
        <f t="shared" si="17"/>
        <v>-1.5800855809984242</v>
      </c>
      <c r="X33" s="65">
        <f t="shared" si="17"/>
        <v>-1.3072218128354349</v>
      </c>
      <c r="Y33" s="65">
        <f t="shared" si="17"/>
        <v>-1.0834055041535264</v>
      </c>
    </row>
    <row r="34" spans="1:25" x14ac:dyDescent="0.25">
      <c r="A34" s="21">
        <v>22</v>
      </c>
      <c r="C34" s="25">
        <f t="shared" ref="C34:C97" si="19">C33</f>
        <v>6.02</v>
      </c>
      <c r="D34" s="23">
        <f>FishHarvestTimeTrends!AC43*((1+D$10)^MIN($A34,20))</f>
        <v>1.6195465558887661</v>
      </c>
      <c r="E34" s="23">
        <f>FishHarvestTimeTrends!AD43*((1+E$10)^MIN($A34,20))</f>
        <v>0.22917975969214707</v>
      </c>
      <c r="F34" s="23">
        <f t="shared" si="18"/>
        <v>5.7400299347069588</v>
      </c>
      <c r="H34" s="22">
        <f t="shared" si="14"/>
        <v>2.8000000000000001E-2</v>
      </c>
      <c r="I34" s="22"/>
      <c r="J34" s="41"/>
      <c r="K34" s="41">
        <f t="shared" si="6"/>
        <v>1.4539087821864387</v>
      </c>
      <c r="L34" s="41">
        <f t="shared" si="15"/>
        <v>0.39114168783496295</v>
      </c>
      <c r="M34" s="41">
        <f t="shared" si="15"/>
        <v>5.5349911182024959E-2</v>
      </c>
      <c r="N34" s="41">
        <f t="shared" si="6"/>
        <v>1.3862923475221758</v>
      </c>
      <c r="O34" s="41"/>
      <c r="P34" s="41">
        <f t="shared" si="16"/>
        <v>6.7623664287741339E-3</v>
      </c>
      <c r="R34" s="65">
        <f t="shared" si="17"/>
        <v>-4.1432736844190865</v>
      </c>
      <c r="S34" s="65">
        <f t="shared" si="17"/>
        <v>-3.3619772645145498</v>
      </c>
      <c r="T34" s="65">
        <f t="shared" si="17"/>
        <v>-2.7336317792500462</v>
      </c>
      <c r="U34" s="65">
        <f t="shared" si="17"/>
        <v>-2.2272137689525562</v>
      </c>
      <c r="V34" s="65">
        <f t="shared" si="17"/>
        <v>-1.818207715488656</v>
      </c>
      <c r="W34" s="65">
        <f t="shared" si="17"/>
        <v>-1.4871964536400204</v>
      </c>
      <c r="X34" s="65">
        <f t="shared" si="17"/>
        <v>-1.2187663392307482</v>
      </c>
      <c r="Y34" s="65">
        <f t="shared" si="17"/>
        <v>-1.0006548167406766</v>
      </c>
    </row>
    <row r="35" spans="1:25" x14ac:dyDescent="0.25">
      <c r="A35" s="21">
        <v>23</v>
      </c>
      <c r="C35" s="25">
        <f t="shared" si="19"/>
        <v>6.02</v>
      </c>
      <c r="D35" s="23">
        <f>FishHarvestTimeTrends!AC44*((1+D$10)^MIN($A35,20))</f>
        <v>1.6618380646764821</v>
      </c>
      <c r="E35" s="23">
        <f>FishHarvestTimeTrends!AD44*((1+E$10)^MIN($A35,20))</f>
        <v>0.23605201248025157</v>
      </c>
      <c r="F35" s="23">
        <f t="shared" si="18"/>
        <v>5.7428999496743121</v>
      </c>
      <c r="H35" s="22">
        <f t="shared" si="14"/>
        <v>2.8000000000000001E-2</v>
      </c>
      <c r="I35" s="22"/>
      <c r="J35" s="41"/>
      <c r="K35" s="41">
        <f t="shared" si="6"/>
        <v>1.3587932543798493</v>
      </c>
      <c r="L35" s="41">
        <f t="shared" si="15"/>
        <v>0.37509872959369894</v>
      </c>
      <c r="M35" s="41">
        <f t="shared" si="15"/>
        <v>5.3280046883879377E-2</v>
      </c>
      <c r="N35" s="41">
        <f t="shared" si="6"/>
        <v>1.2962481249494737</v>
      </c>
      <c r="O35" s="41"/>
      <c r="P35" s="41">
        <f t="shared" si="16"/>
        <v>6.319968625022555E-3</v>
      </c>
      <c r="R35" s="65">
        <f t="shared" si="17"/>
        <v>-4.0941099228432662</v>
      </c>
      <c r="S35" s="65">
        <f t="shared" si="17"/>
        <v>-3.2891923813540336</v>
      </c>
      <c r="T35" s="65">
        <f t="shared" si="17"/>
        <v>-2.6482301159811228</v>
      </c>
      <c r="U35" s="65">
        <f t="shared" si="17"/>
        <v>-2.1366852665208813</v>
      </c>
      <c r="V35" s="65">
        <f t="shared" si="17"/>
        <v>-1.7275317354833999</v>
      </c>
      <c r="W35" s="65">
        <f t="shared" si="17"/>
        <v>-1.3995709493384301</v>
      </c>
      <c r="X35" s="65">
        <f t="shared" si="17"/>
        <v>-1.1361363708915555</v>
      </c>
      <c r="Y35" s="65">
        <f t="shared" si="17"/>
        <v>-0.92409450927724845</v>
      </c>
    </row>
    <row r="36" spans="1:25" x14ac:dyDescent="0.25">
      <c r="A36" s="21">
        <v>24</v>
      </c>
      <c r="C36" s="25">
        <f t="shared" si="19"/>
        <v>6.02</v>
      </c>
      <c r="D36" s="23">
        <f>FishHarvestTimeTrends!AC45*((1+D$10)^MIN($A36,20))</f>
        <v>1.7041295734641988</v>
      </c>
      <c r="E36" s="23">
        <f>FishHarvestTimeTrends!AD45*((1+E$10)^MIN($A36,20))</f>
        <v>0.24292426526835609</v>
      </c>
      <c r="F36" s="23">
        <f t="shared" si="18"/>
        <v>5.7457713996491488</v>
      </c>
      <c r="H36" s="22">
        <f t="shared" si="14"/>
        <v>2.8000000000000001E-2</v>
      </c>
      <c r="I36" s="22"/>
      <c r="J36" s="41"/>
      <c r="K36" s="41">
        <f t="shared" si="6"/>
        <v>1.2699002377381767</v>
      </c>
      <c r="L36" s="41">
        <f t="shared" si="15"/>
        <v>0.3594808223386784</v>
      </c>
      <c r="M36" s="41">
        <f t="shared" si="15"/>
        <v>5.1244116647285273E-2</v>
      </c>
      <c r="N36" s="41">
        <f t="shared" si="6"/>
        <v>1.2120525691700452</v>
      </c>
      <c r="O36" s="41"/>
      <c r="P36" s="41">
        <f t="shared" si="16"/>
        <v>5.9065127336659397E-3</v>
      </c>
      <c r="R36" s="65">
        <f t="shared" si="17"/>
        <v>-4.0449461612674451</v>
      </c>
      <c r="S36" s="65">
        <f t="shared" si="17"/>
        <v>-3.2175192097055181</v>
      </c>
      <c r="T36" s="65">
        <f t="shared" si="17"/>
        <v>-2.5651265449360294</v>
      </c>
      <c r="U36" s="65">
        <f t="shared" si="17"/>
        <v>-2.0495408427565835</v>
      </c>
      <c r="V36" s="65">
        <f t="shared" si="17"/>
        <v>-1.6411411744793043</v>
      </c>
      <c r="W36" s="65">
        <f t="shared" si="17"/>
        <v>-1.3169184036015256</v>
      </c>
      <c r="X36" s="65">
        <f t="shared" si="17"/>
        <v>-1.0589558268595134</v>
      </c>
      <c r="Y36" s="65">
        <f t="shared" si="17"/>
        <v>-0.85326878601854728</v>
      </c>
    </row>
    <row r="37" spans="1:25" x14ac:dyDescent="0.25">
      <c r="A37" s="21">
        <v>25</v>
      </c>
      <c r="C37" s="25">
        <f t="shared" si="19"/>
        <v>6.02</v>
      </c>
      <c r="D37" s="23">
        <f>FishHarvestTimeTrends!AC46*((1+D$10)^MIN($A37,20))</f>
        <v>1.7464210822519153</v>
      </c>
      <c r="E37" s="23">
        <f>FishHarvestTimeTrends!AD46*((1+E$10)^MIN($A37,20))</f>
        <v>0.24979651805646064</v>
      </c>
      <c r="F37" s="23">
        <f t="shared" si="18"/>
        <v>5.7486442853489734</v>
      </c>
      <c r="H37" s="22">
        <f t="shared" si="14"/>
        <v>2.8000000000000001E-2</v>
      </c>
      <c r="I37" s="22"/>
      <c r="J37" s="41"/>
      <c r="K37" s="41">
        <f t="shared" si="6"/>
        <v>1.186822652091754</v>
      </c>
      <c r="L37" s="41">
        <f t="shared" si="15"/>
        <v>0.34430101337328395</v>
      </c>
      <c r="M37" s="41">
        <f t="shared" si="15"/>
        <v>4.9246539209809689E-2</v>
      </c>
      <c r="N37" s="41">
        <f t="shared" si="6"/>
        <v>1.1333257901445142</v>
      </c>
      <c r="O37" s="41"/>
      <c r="P37" s="41">
        <f t="shared" si="16"/>
        <v>5.5201053585662982E-3</v>
      </c>
      <c r="R37" s="65">
        <f t="shared" si="17"/>
        <v>-3.9957823996916235</v>
      </c>
      <c r="S37" s="65">
        <f t="shared" si="17"/>
        <v>-3.1469428705529956</v>
      </c>
      <c r="T37" s="65">
        <f t="shared" si="17"/>
        <v>-2.4842637790161244</v>
      </c>
      <c r="U37" s="65">
        <f t="shared" si="17"/>
        <v>-1.9656601654799515</v>
      </c>
      <c r="V37" s="65">
        <f t="shared" si="17"/>
        <v>-1.5588405209259915</v>
      </c>
      <c r="W37" s="65">
        <f t="shared" si="17"/>
        <v>-1.2389638986165752</v>
      </c>
      <c r="X37" s="65">
        <f t="shared" si="17"/>
        <v>-0.98687253653489948</v>
      </c>
      <c r="Y37" s="65">
        <f t="shared" si="17"/>
        <v>-0.78775499415009398</v>
      </c>
    </row>
    <row r="38" spans="1:25" x14ac:dyDescent="0.25">
      <c r="A38" s="21">
        <v>26</v>
      </c>
      <c r="C38" s="25">
        <f t="shared" si="19"/>
        <v>6.02</v>
      </c>
      <c r="D38" s="23">
        <f>FishHarvestTimeTrends!AC47*((1+D$10)^MIN($A38,20))</f>
        <v>1.760188261198198</v>
      </c>
      <c r="E38" s="23">
        <f>FishHarvestTimeTrends!AD47*((1+E$10)^MIN($A38,20))</f>
        <v>0.25174364840002228</v>
      </c>
      <c r="F38" s="23">
        <f t="shared" si="18"/>
        <v>5.751518607491648</v>
      </c>
      <c r="H38" s="22">
        <f t="shared" si="14"/>
        <v>2.8000000000000001E-2</v>
      </c>
      <c r="I38" s="22"/>
      <c r="J38" s="41"/>
      <c r="K38" s="41">
        <f t="shared" si="6"/>
        <v>1.1091800486838821</v>
      </c>
      <c r="L38" s="41">
        <f t="shared" si="15"/>
        <v>0.32431323941006901</v>
      </c>
      <c r="M38" s="41">
        <f t="shared" si="15"/>
        <v>4.6383560164151967E-2</v>
      </c>
      <c r="N38" s="41">
        <f t="shared" si="6"/>
        <v>1.0597125729341927</v>
      </c>
      <c r="O38" s="41"/>
      <c r="P38" s="41">
        <f t="shared" si="16"/>
        <v>5.1589769706227081E-3</v>
      </c>
      <c r="R38" s="65">
        <f t="shared" si="17"/>
        <v>-3.9800680904017791</v>
      </c>
      <c r="S38" s="65">
        <f t="shared" si="17"/>
        <v>-3.1035314978618356</v>
      </c>
      <c r="T38" s="65">
        <f t="shared" si="17"/>
        <v>-2.4259743679044226</v>
      </c>
      <c r="U38" s="65">
        <f t="shared" si="17"/>
        <v>-1.9009026860165084</v>
      </c>
      <c r="V38" s="65">
        <f t="shared" si="17"/>
        <v>-1.4929904148245554</v>
      </c>
      <c r="W38" s="65">
        <f t="shared" si="17"/>
        <v>-1.1753251386414645</v>
      </c>
      <c r="X38" s="65">
        <f t="shared" si="17"/>
        <v>-0.92735041437586807</v>
      </c>
      <c r="Y38" s="65">
        <f t="shared" si="17"/>
        <v>-0.7333242721390385</v>
      </c>
    </row>
    <row r="39" spans="1:25" x14ac:dyDescent="0.25">
      <c r="A39" s="21">
        <v>27</v>
      </c>
      <c r="C39" s="25">
        <f t="shared" si="19"/>
        <v>6.02</v>
      </c>
      <c r="D39" s="23">
        <f>FishHarvestTimeTrends!AC48*((1+D$10)^MIN($A39,20))</f>
        <v>1.7739554401444804</v>
      </c>
      <c r="E39" s="23">
        <f>FishHarvestTimeTrends!AD48*((1+E$10)^MIN($A39,20))</f>
        <v>0.25369077874358398</v>
      </c>
      <c r="F39" s="23">
        <f t="shared" si="18"/>
        <v>5.7543943667953936</v>
      </c>
      <c r="H39" s="22">
        <f t="shared" si="14"/>
        <v>2.8000000000000001E-2</v>
      </c>
      <c r="I39" s="22"/>
      <c r="J39" s="41"/>
      <c r="K39" s="41">
        <f t="shared" si="6"/>
        <v>1.0366168679288619</v>
      </c>
      <c r="L39" s="41">
        <f t="shared" si="15"/>
        <v>0.30546713159600286</v>
      </c>
      <c r="M39" s="41">
        <f t="shared" si="15"/>
        <v>4.36844087182073E-2</v>
      </c>
      <c r="N39" s="41">
        <f t="shared" si="6"/>
        <v>0.99088077497257943</v>
      </c>
      <c r="O39" s="41"/>
      <c r="P39" s="41">
        <f t="shared" si="16"/>
        <v>4.8214738043202889E-3</v>
      </c>
      <c r="R39" s="65">
        <f t="shared" si="17"/>
        <v>-3.9643537811119351</v>
      </c>
      <c r="S39" s="65">
        <f t="shared" si="17"/>
        <v>-3.0606712627467041</v>
      </c>
      <c r="T39" s="65">
        <f t="shared" si="17"/>
        <v>-2.3690156973365033</v>
      </c>
      <c r="U39" s="65">
        <f t="shared" si="17"/>
        <v>-1.8382499460025032</v>
      </c>
      <c r="V39" s="65">
        <f t="shared" si="17"/>
        <v>-1.4298997243981919</v>
      </c>
      <c r="W39" s="65">
        <f t="shared" si="17"/>
        <v>-1.1149377710027215</v>
      </c>
      <c r="X39" s="65">
        <f t="shared" si="17"/>
        <v>-0.87140471870945257</v>
      </c>
      <c r="Y39" s="65">
        <f t="shared" si="17"/>
        <v>-0.68264385381033155</v>
      </c>
    </row>
    <row r="40" spans="1:25" x14ac:dyDescent="0.25">
      <c r="A40" s="21">
        <v>28</v>
      </c>
      <c r="C40" s="25">
        <f t="shared" si="19"/>
        <v>6.02</v>
      </c>
      <c r="D40" s="23">
        <f>FishHarvestTimeTrends!AC49*((1+D$10)^MIN($A40,20))</f>
        <v>1.7877226190907629</v>
      </c>
      <c r="E40" s="23">
        <f>FishHarvestTimeTrends!AD49*((1+E$10)^MIN($A40,20))</f>
        <v>0.25563790908714551</v>
      </c>
      <c r="F40" s="23">
        <f t="shared" si="18"/>
        <v>5.757271563978791</v>
      </c>
      <c r="H40" s="22">
        <f t="shared" si="14"/>
        <v>2.8000000000000001E-2</v>
      </c>
      <c r="I40" s="22"/>
      <c r="J40" s="41"/>
      <c r="K40" s="41">
        <f t="shared" si="6"/>
        <v>0.96880081114846894</v>
      </c>
      <c r="L40" s="41">
        <f t="shared" si="15"/>
        <v>0.28769885772152765</v>
      </c>
      <c r="M40" s="41">
        <f t="shared" si="15"/>
        <v>4.1139902605303182E-2</v>
      </c>
      <c r="N40" s="41">
        <f t="shared" si="6"/>
        <v>0.92651982743931349</v>
      </c>
      <c r="O40" s="41"/>
      <c r="P40" s="41">
        <f t="shared" si="16"/>
        <v>4.5060502844114832E-3</v>
      </c>
      <c r="R40" s="65">
        <f t="shared" si="17"/>
        <v>-3.9486394718220912</v>
      </c>
      <c r="S40" s="65">
        <f t="shared" si="17"/>
        <v>-3.0183555071919499</v>
      </c>
      <c r="T40" s="65">
        <f t="shared" si="17"/>
        <v>-2.3133579917935836</v>
      </c>
      <c r="U40" s="65">
        <f t="shared" si="17"/>
        <v>-1.7776342753781214</v>
      </c>
      <c r="V40" s="65">
        <f t="shared" si="17"/>
        <v>-1.369453598302222</v>
      </c>
      <c r="W40" s="65">
        <f t="shared" si="17"/>
        <v>-1.0576364448655335</v>
      </c>
      <c r="X40" s="65">
        <f t="shared" si="17"/>
        <v>-0.81882127918135572</v>
      </c>
      <c r="Y40" s="65">
        <f t="shared" si="17"/>
        <v>-0.63545600053722662</v>
      </c>
    </row>
    <row r="41" spans="1:25" x14ac:dyDescent="0.25">
      <c r="A41" s="21">
        <v>29</v>
      </c>
      <c r="C41" s="25">
        <f t="shared" si="19"/>
        <v>6.02</v>
      </c>
      <c r="D41" s="23">
        <f>FishHarvestTimeTrends!AC50*((1+D$10)^MIN($A41,20))</f>
        <v>1.8014897980370457</v>
      </c>
      <c r="E41" s="23">
        <f>FishHarvestTimeTrends!AD50*((1+E$10)^MIN($A41,20))</f>
        <v>0.25758503943070721</v>
      </c>
      <c r="F41" s="23">
        <f t="shared" si="18"/>
        <v>5.7601501997607798</v>
      </c>
      <c r="H41" s="22">
        <f t="shared" si="14"/>
        <v>2.8000000000000001E-2</v>
      </c>
      <c r="I41" s="22"/>
      <c r="J41" s="41"/>
      <c r="K41" s="41">
        <f t="shared" si="6"/>
        <v>0.90542131883034493</v>
      </c>
      <c r="L41" s="41">
        <f t="shared" si="15"/>
        <v>0.27094805129536775</v>
      </c>
      <c r="M41" s="41">
        <f t="shared" si="15"/>
        <v>3.8741359819321815E-2</v>
      </c>
      <c r="N41" s="41">
        <f t="shared" si="6"/>
        <v>0.86633933397479745</v>
      </c>
      <c r="O41" s="41"/>
      <c r="P41" s="41">
        <f t="shared" si="16"/>
        <v>4.2112619480481166E-3</v>
      </c>
      <c r="R41" s="65">
        <f t="shared" si="17"/>
        <v>-3.9329251625322468</v>
      </c>
      <c r="S41" s="65">
        <f t="shared" si="17"/>
        <v>-2.9765776509960129</v>
      </c>
      <c r="T41" s="65">
        <f t="shared" si="17"/>
        <v>-2.2589721317977762</v>
      </c>
      <c r="U41" s="65">
        <f t="shared" si="17"/>
        <v>-1.7189901605018627</v>
      </c>
      <c r="V41" s="65">
        <f t="shared" si="17"/>
        <v>-1.3115419379349387</v>
      </c>
      <c r="W41" s="65">
        <f t="shared" si="17"/>
        <v>-1.0032641843219039</v>
      </c>
      <c r="X41" s="65">
        <f t="shared" si="17"/>
        <v>-0.76939871231311996</v>
      </c>
      <c r="Y41" s="65">
        <f t="shared" si="17"/>
        <v>-0.59152064576760732</v>
      </c>
    </row>
    <row r="42" spans="1:25" x14ac:dyDescent="0.25">
      <c r="A42" s="21">
        <v>30</v>
      </c>
      <c r="C42" s="25">
        <f t="shared" si="19"/>
        <v>6.02</v>
      </c>
      <c r="D42" s="23">
        <f>FishHarvestTimeTrends!AC51*((1+D$10)^MIN($A42,20))</f>
        <v>1.8152569769833287</v>
      </c>
      <c r="E42" s="23">
        <f>FishHarvestTimeTrends!AD51*((1+E$10)^MIN($A42,20))</f>
        <v>0.25953216977426885</v>
      </c>
      <c r="F42" s="23">
        <f t="shared" si="18"/>
        <v>5.7630302748606601</v>
      </c>
      <c r="H42" s="22">
        <f t="shared" si="14"/>
        <v>2.8000000000000001E-2</v>
      </c>
      <c r="I42" s="22"/>
      <c r="J42" s="41"/>
      <c r="K42" s="41">
        <f t="shared" si="6"/>
        <v>0.84618814843957468</v>
      </c>
      <c r="L42" s="41">
        <f t="shared" si="15"/>
        <v>0.25515763127832936</v>
      </c>
      <c r="M42" s="41">
        <f t="shared" si="15"/>
        <v>3.6480572458769754E-2</v>
      </c>
      <c r="N42" s="41">
        <f t="shared" si="6"/>
        <v>0.81006776041288298</v>
      </c>
      <c r="O42" s="41"/>
      <c r="P42" s="41">
        <f t="shared" si="16"/>
        <v>3.9357588299515104E-3</v>
      </c>
      <c r="R42" s="65">
        <f t="shared" si="17"/>
        <v>-3.9172108532424019</v>
      </c>
      <c r="S42" s="65">
        <f t="shared" si="17"/>
        <v>-2.9353311908832427</v>
      </c>
      <c r="T42" s="65">
        <f t="shared" si="17"/>
        <v>-2.2058296396327184</v>
      </c>
      <c r="U42" s="65">
        <f t="shared" si="17"/>
        <v>-1.6622541759409144</v>
      </c>
      <c r="V42" s="65">
        <f t="shared" si="17"/>
        <v>-1.2560592017404313</v>
      </c>
      <c r="W42" s="65">
        <f t="shared" si="17"/>
        <v>-0.95167196572377699</v>
      </c>
      <c r="X42" s="65">
        <f t="shared" si="17"/>
        <v>-0.7229476601303475</v>
      </c>
      <c r="Y42" s="65">
        <f t="shared" si="17"/>
        <v>-0.55061418587252409</v>
      </c>
    </row>
    <row r="43" spans="1:25" x14ac:dyDescent="0.25">
      <c r="A43" s="21">
        <v>31</v>
      </c>
      <c r="C43" s="25">
        <f t="shared" si="19"/>
        <v>6.02</v>
      </c>
      <c r="D43" s="23">
        <f>FishHarvestTimeTrends!AC52*((1+D$10)^MIN($A43,20))</f>
        <v>1.8175671943521008</v>
      </c>
      <c r="E43" s="23">
        <f>FishHarvestTimeTrends!AD52*((1+E$10)^MIN($A43,20))</f>
        <v>0.25986654218280919</v>
      </c>
      <c r="F43" s="23">
        <f t="shared" si="18"/>
        <v>5.7659117899980901</v>
      </c>
      <c r="H43" s="22">
        <f t="shared" si="14"/>
        <v>2.8000000000000001E-2</v>
      </c>
      <c r="I43" s="22"/>
      <c r="J43" s="41"/>
      <c r="K43" s="41">
        <f t="shared" si="6"/>
        <v>0.79083004527063061</v>
      </c>
      <c r="L43" s="41">
        <f t="shared" si="15"/>
        <v>0.23876856255679152</v>
      </c>
      <c r="M43" s="41">
        <f t="shared" si="15"/>
        <v>3.413791849148725E-2</v>
      </c>
      <c r="N43" s="41">
        <f t="shared" si="6"/>
        <v>0.75745120961970969</v>
      </c>
      <c r="O43" s="41"/>
      <c r="P43" s="41">
        <f t="shared" si="16"/>
        <v>3.6782792803285148E-3</v>
      </c>
      <c r="R43" s="65">
        <f t="shared" si="17"/>
        <v>-3.9145662634650895</v>
      </c>
      <c r="S43" s="65">
        <f t="shared" si="17"/>
        <v>-2.9043064240610583</v>
      </c>
      <c r="T43" s="65">
        <f t="shared" si="17"/>
        <v>-2.1611180770419445</v>
      </c>
      <c r="U43" s="65">
        <f t="shared" si="17"/>
        <v>-1.612749469795274</v>
      </c>
      <c r="V43" s="65">
        <f t="shared" si="17"/>
        <v>-1.2069338560452456</v>
      </c>
      <c r="W43" s="65">
        <f t="shared" si="17"/>
        <v>-0.9057423546348482</v>
      </c>
      <c r="X43" s="65">
        <f t="shared" si="17"/>
        <v>-0.68156564459025926</v>
      </c>
      <c r="Y43" s="65">
        <f t="shared" si="17"/>
        <v>-0.51424528494202326</v>
      </c>
    </row>
    <row r="44" spans="1:25" x14ac:dyDescent="0.25">
      <c r="A44" s="21">
        <v>32</v>
      </c>
      <c r="C44" s="25">
        <f t="shared" si="19"/>
        <v>6.02</v>
      </c>
      <c r="D44" s="23">
        <f>FishHarvestTimeTrends!AC53*((1+D$10)^MIN($A44,20))</f>
        <v>1.8198774117208731</v>
      </c>
      <c r="E44" s="23">
        <f>FishHarvestTimeTrends!AD53*((1+E$10)^MIN($A44,20))</f>
        <v>0.26020091459134953</v>
      </c>
      <c r="F44" s="23">
        <f t="shared" si="18"/>
        <v>5.7687947458930884</v>
      </c>
      <c r="H44" s="22">
        <f t="shared" si="14"/>
        <v>2.8000000000000001E-2</v>
      </c>
      <c r="I44" s="22"/>
      <c r="J44" s="41"/>
      <c r="K44" s="41">
        <f t="shared" si="6"/>
        <v>0.73909350025292564</v>
      </c>
      <c r="L44" s="41">
        <f t="shared" si="15"/>
        <v>0.22343182163787623</v>
      </c>
      <c r="M44" s="41">
        <f t="shared" si="15"/>
        <v>3.1945648626965632E-2</v>
      </c>
      <c r="N44" s="41">
        <f t="shared" si="6"/>
        <v>0.70825227591076578</v>
      </c>
      <c r="O44" s="41"/>
      <c r="P44" s="41">
        <f t="shared" si="16"/>
        <v>3.4376441872229105E-3</v>
      </c>
      <c r="R44" s="65">
        <f t="shared" si="17"/>
        <v>-3.9119216736877771</v>
      </c>
      <c r="S44" s="65">
        <f t="shared" si="17"/>
        <v>-2.8736082597001245</v>
      </c>
      <c r="T44" s="65">
        <f t="shared" si="17"/>
        <v>-2.1173118392280363</v>
      </c>
      <c r="U44" s="65">
        <f t="shared" si="17"/>
        <v>-1.5647183823521067</v>
      </c>
      <c r="V44" s="65">
        <f t="shared" si="17"/>
        <v>-1.1597293073536235</v>
      </c>
      <c r="W44" s="65">
        <f t="shared" si="17"/>
        <v>-0.86202900590422094</v>
      </c>
      <c r="X44" s="65">
        <f t="shared" si="17"/>
        <v>-0.64255207048860963</v>
      </c>
      <c r="Y44" s="65">
        <f t="shared" si="17"/>
        <v>-0.48027838580086091</v>
      </c>
    </row>
    <row r="45" spans="1:25" x14ac:dyDescent="0.25">
      <c r="A45" s="21">
        <v>33</v>
      </c>
      <c r="C45" s="25">
        <f t="shared" si="19"/>
        <v>6.02</v>
      </c>
      <c r="D45" s="23">
        <f>FishHarvestTimeTrends!AC54*((1+D$10)^MIN($A45,20))</f>
        <v>1.8221876290896453</v>
      </c>
      <c r="E45" s="23">
        <f>FishHarvestTimeTrends!AD54*((1+E$10)^MIN($A45,20))</f>
        <v>0.26053528699988981</v>
      </c>
      <c r="F45" s="23">
        <f t="shared" si="18"/>
        <v>5.7716791432660344</v>
      </c>
      <c r="H45" s="22">
        <f t="shared" si="14"/>
        <v>2.8000000000000001E-2</v>
      </c>
      <c r="I45" s="22"/>
      <c r="J45" s="41"/>
      <c r="K45" s="41">
        <f t="shared" si="6"/>
        <v>0.69074158902142591</v>
      </c>
      <c r="L45" s="41">
        <f t="shared" si="15"/>
        <v>0.2090798635236821</v>
      </c>
      <c r="M45" s="41">
        <f t="shared" si="15"/>
        <v>2.9894112647584244E-2</v>
      </c>
      <c r="N45" s="41">
        <f t="shared" si="6"/>
        <v>0.66224897387730952</v>
      </c>
      <c r="O45" s="41"/>
      <c r="P45" s="41">
        <f t="shared" si="16"/>
        <v>3.2127515768438416E-3</v>
      </c>
      <c r="R45" s="65">
        <f t="shared" si="17"/>
        <v>-3.9092770839104647</v>
      </c>
      <c r="S45" s="65">
        <f t="shared" si="17"/>
        <v>-2.8432332717706026</v>
      </c>
      <c r="T45" s="65">
        <f t="shared" si="17"/>
        <v>-2.0743926134018151</v>
      </c>
      <c r="U45" s="65">
        <f t="shared" si="17"/>
        <v>-1.518117068385396</v>
      </c>
      <c r="V45" s="65">
        <f t="shared" si="17"/>
        <v>-1.1143704726796331</v>
      </c>
      <c r="W45" s="65">
        <f t="shared" si="17"/>
        <v>-0.82042499570432303</v>
      </c>
      <c r="X45" s="65">
        <f t="shared" si="17"/>
        <v>-0.60577139982697903</v>
      </c>
      <c r="Y45" s="65">
        <f t="shared" si="17"/>
        <v>-0.44855486127331573</v>
      </c>
    </row>
    <row r="46" spans="1:25" x14ac:dyDescent="0.25">
      <c r="A46" s="21">
        <v>34</v>
      </c>
      <c r="C46" s="25">
        <f t="shared" si="19"/>
        <v>6.02</v>
      </c>
      <c r="D46" s="23">
        <f>FishHarvestTimeTrends!AC55*((1+D$10)^MIN($A46,20))</f>
        <v>1.8244978464584176</v>
      </c>
      <c r="E46" s="23">
        <f>FishHarvestTimeTrends!AD55*((1+E$10)^MIN($A46,20))</f>
        <v>0.26086965940843015</v>
      </c>
      <c r="F46" s="23">
        <f t="shared" si="18"/>
        <v>5.7745649828376671</v>
      </c>
      <c r="H46" s="22">
        <f t="shared" si="14"/>
        <v>2.8000000000000001E-2</v>
      </c>
      <c r="I46" s="22"/>
      <c r="J46" s="41"/>
      <c r="K46" s="41">
        <f t="shared" si="6"/>
        <v>0.64555288693591206</v>
      </c>
      <c r="L46" s="41">
        <f t="shared" si="15"/>
        <v>0.19564947707468205</v>
      </c>
      <c r="M46" s="41">
        <f t="shared" si="15"/>
        <v>2.7974279359651199E-2</v>
      </c>
      <c r="N46" s="41">
        <f t="shared" si="6"/>
        <v>0.61923373678901683</v>
      </c>
      <c r="O46" s="41"/>
      <c r="P46" s="41">
        <f t="shared" si="16"/>
        <v>3.0025715671437771E-3</v>
      </c>
      <c r="R46" s="65">
        <f t="shared" ref="R46:Y61" si="20">(($D46/((1+R$10)^$M$7))+$G46+$H46+IF($M$3="Yes",$E46/((1+R$10)^$M$7),0)+IF($M$4="Yes",$F46)-($B46*(1+$M$5))-$C46)/((1+R$10)^($A46-1))</f>
        <v>-3.9066324941331518</v>
      </c>
      <c r="S46" s="65">
        <f t="shared" si="20"/>
        <v>-2.8131780700681235</v>
      </c>
      <c r="T46" s="65">
        <f t="shared" si="20"/>
        <v>-2.0323424568547352</v>
      </c>
      <c r="U46" s="65">
        <f t="shared" si="20"/>
        <v>-1.4729029866356944</v>
      </c>
      <c r="V46" s="65">
        <f t="shared" si="20"/>
        <v>-1.0707852032359593</v>
      </c>
      <c r="W46" s="65">
        <f t="shared" si="20"/>
        <v>-0.7808285578910269</v>
      </c>
      <c r="X46" s="65">
        <f t="shared" si="20"/>
        <v>-0.57109585007528085</v>
      </c>
      <c r="Y46" s="65">
        <f t="shared" si="20"/>
        <v>-0.41892655893443503</v>
      </c>
    </row>
    <row r="47" spans="1:25" x14ac:dyDescent="0.25">
      <c r="A47" s="21">
        <v>35</v>
      </c>
      <c r="C47" s="25">
        <f t="shared" si="19"/>
        <v>6.02</v>
      </c>
      <c r="D47" s="23">
        <f>FishHarvestTimeTrends!AC56*((1+D$10)^MIN($A47,20))</f>
        <v>1.82680806382719</v>
      </c>
      <c r="E47" s="23">
        <f>FishHarvestTimeTrends!AD56*((1+E$10)^MIN($A47,20))</f>
        <v>0.26120403181697049</v>
      </c>
      <c r="F47" s="23">
        <f t="shared" ref="F47:F110" si="21">F46*(1+F$10)</f>
        <v>5.7774522653290852</v>
      </c>
      <c r="H47" s="22">
        <f t="shared" si="14"/>
        <v>2.8000000000000001E-2</v>
      </c>
      <c r="I47" s="22"/>
      <c r="J47" s="41"/>
      <c r="K47" s="41">
        <f t="shared" si="6"/>
        <v>0.60332045508029164</v>
      </c>
      <c r="L47" s="41">
        <f t="shared" si="15"/>
        <v>0.18308150704527687</v>
      </c>
      <c r="M47" s="41">
        <f t="shared" si="15"/>
        <v>2.6177696901099938E-2</v>
      </c>
      <c r="N47" s="41">
        <f t="shared" si="6"/>
        <v>0.57901248005365547</v>
      </c>
      <c r="O47" s="41"/>
      <c r="P47" s="41">
        <f t="shared" si="16"/>
        <v>2.8061416515362406E-3</v>
      </c>
      <c r="R47" s="65">
        <f t="shared" si="20"/>
        <v>-3.903987904355839</v>
      </c>
      <c r="S47" s="65">
        <f t="shared" si="20"/>
        <v>-2.7834392998402184</v>
      </c>
      <c r="T47" s="65">
        <f t="shared" si="20"/>
        <v>-1.9911437894865871</v>
      </c>
      <c r="U47" s="65">
        <f t="shared" si="20"/>
        <v>-1.4290348610464085</v>
      </c>
      <c r="V47" s="65">
        <f t="shared" si="20"/>
        <v>-1.0289041697958228</v>
      </c>
      <c r="W47" s="65">
        <f t="shared" si="20"/>
        <v>-0.74314283525336389</v>
      </c>
      <c r="X47" s="65">
        <f t="shared" si="20"/>
        <v>-0.53840495045622672</v>
      </c>
      <c r="Y47" s="65">
        <f t="shared" si="20"/>
        <v>-0.39125510948237857</v>
      </c>
    </row>
    <row r="48" spans="1:25" x14ac:dyDescent="0.25">
      <c r="A48" s="21">
        <v>36</v>
      </c>
      <c r="C48" s="25">
        <f t="shared" si="19"/>
        <v>6.02</v>
      </c>
      <c r="D48" s="23">
        <f>FishHarvestTimeTrends!AC57*((1+D$10)^MIN($A48,20))</f>
        <v>1.8291182811959621</v>
      </c>
      <c r="E48" s="23">
        <f>FishHarvestTimeTrends!AD57*((1+E$10)^MIN($A48,20))</f>
        <v>0.26153840422551083</v>
      </c>
      <c r="F48" s="23">
        <f t="shared" si="21"/>
        <v>5.7803409914617498</v>
      </c>
      <c r="H48" s="22">
        <f t="shared" si="14"/>
        <v>2.8000000000000001E-2</v>
      </c>
      <c r="I48" s="22"/>
      <c r="J48" s="41"/>
      <c r="K48" s="41">
        <f t="shared" si="6"/>
        <v>0.56385089259840337</v>
      </c>
      <c r="L48" s="41">
        <f t="shared" si="15"/>
        <v>0.17132059394026589</v>
      </c>
      <c r="M48" s="41">
        <f t="shared" si="15"/>
        <v>2.4496455593241914E-2</v>
      </c>
      <c r="N48" s="41">
        <f t="shared" si="6"/>
        <v>0.54140372550811422</v>
      </c>
      <c r="O48" s="41"/>
      <c r="P48" s="41">
        <f t="shared" si="16"/>
        <v>2.6225622911553647E-3</v>
      </c>
      <c r="R48" s="65">
        <f t="shared" si="20"/>
        <v>-3.9013433145785266</v>
      </c>
      <c r="S48" s="65">
        <f t="shared" si="20"/>
        <v>-2.7540136414166438</v>
      </c>
      <c r="T48" s="65">
        <f t="shared" si="20"/>
        <v>-1.9507793864839509</v>
      </c>
      <c r="U48" s="65">
        <f t="shared" si="20"/>
        <v>-1.386472643151953</v>
      </c>
      <c r="V48" s="65">
        <f t="shared" si="20"/>
        <v>-0.98866075253268515</v>
      </c>
      <c r="W48" s="65">
        <f t="shared" si="20"/>
        <v>-0.70727564275831023</v>
      </c>
      <c r="X48" s="65">
        <f t="shared" si="20"/>
        <v>-0.50758512361331432</v>
      </c>
      <c r="Y48" s="65">
        <f t="shared" si="20"/>
        <v>-0.36541128077374019</v>
      </c>
    </row>
    <row r="49" spans="1:25" x14ac:dyDescent="0.25">
      <c r="A49" s="21">
        <v>37</v>
      </c>
      <c r="C49" s="25">
        <f t="shared" si="19"/>
        <v>6.02</v>
      </c>
      <c r="D49" s="23">
        <f>FishHarvestTimeTrends!AC58*((1+D$10)^MIN($A49,20))</f>
        <v>1.8314284985647347</v>
      </c>
      <c r="E49" s="23">
        <f>FishHarvestTimeTrends!AD58*((1+E$10)^MIN($A49,20))</f>
        <v>0.26187277663405112</v>
      </c>
      <c r="F49" s="23">
        <f t="shared" si="21"/>
        <v>5.7832311619574801</v>
      </c>
      <c r="H49" s="22">
        <f t="shared" si="14"/>
        <v>2.8000000000000001E-2</v>
      </c>
      <c r="I49" s="22"/>
      <c r="J49" s="41"/>
      <c r="K49" s="41">
        <f t="shared" si="6"/>
        <v>0.52696345102654518</v>
      </c>
      <c r="L49" s="41">
        <f t="shared" si="15"/>
        <v>0.16031493055017224</v>
      </c>
      <c r="M49" s="41">
        <f t="shared" si="15"/>
        <v>2.2923153173585252E-2</v>
      </c>
      <c r="N49" s="41">
        <f t="shared" si="6"/>
        <v>0.50623778258959651</v>
      </c>
      <c r="O49" s="41"/>
      <c r="P49" s="41">
        <f t="shared" si="16"/>
        <v>2.4509927954723034E-3</v>
      </c>
      <c r="R49" s="65">
        <f t="shared" si="20"/>
        <v>-3.8986987248012137</v>
      </c>
      <c r="S49" s="65">
        <f t="shared" si="20"/>
        <v>-2.7248978098435463</v>
      </c>
      <c r="T49" s="65">
        <f t="shared" si="20"/>
        <v>-1.9112323711463597</v>
      </c>
      <c r="U49" s="65">
        <f t="shared" si="20"/>
        <v>-1.345177475583575</v>
      </c>
      <c r="V49" s="65">
        <f t="shared" si="20"/>
        <v>-0.94999093516287192</v>
      </c>
      <c r="W49" s="65">
        <f t="shared" si="20"/>
        <v>-0.67313924221232457</v>
      </c>
      <c r="X49" s="65">
        <f t="shared" si="20"/>
        <v>-0.47852929121039472</v>
      </c>
      <c r="Y49" s="65">
        <f t="shared" si="20"/>
        <v>-0.3412743745073154</v>
      </c>
    </row>
    <row r="50" spans="1:25" x14ac:dyDescent="0.25">
      <c r="A50" s="21">
        <v>38</v>
      </c>
      <c r="C50" s="25">
        <f t="shared" si="19"/>
        <v>6.02</v>
      </c>
      <c r="D50" s="23">
        <f>FishHarvestTimeTrends!AC59*((1+D$10)^MIN($A50,20))</f>
        <v>1.8337387159335068</v>
      </c>
      <c r="E50" s="23">
        <f>FishHarvestTimeTrends!AD59*((1+E$10)^MIN($A50,20))</f>
        <v>0.26220714904259146</v>
      </c>
      <c r="F50" s="23">
        <f t="shared" si="21"/>
        <v>5.7861227775384583</v>
      </c>
      <c r="H50" s="22">
        <f t="shared" si="14"/>
        <v>2.8000000000000001E-2</v>
      </c>
      <c r="I50" s="22"/>
      <c r="J50" s="41"/>
      <c r="K50" s="41">
        <f t="shared" si="6"/>
        <v>0.49248920656686462</v>
      </c>
      <c r="L50" s="41">
        <f t="shared" si="15"/>
        <v>0.15001603409651729</v>
      </c>
      <c r="M50" s="41">
        <f t="shared" si="15"/>
        <v>2.1450862257167025E-2</v>
      </c>
      <c r="N50" s="41">
        <f t="shared" si="6"/>
        <v>0.47335598269242168</v>
      </c>
      <c r="O50" s="41"/>
      <c r="P50" s="41">
        <f t="shared" si="16"/>
        <v>2.290647472404022E-3</v>
      </c>
      <c r="R50" s="65">
        <f t="shared" si="20"/>
        <v>-3.8960541350239013</v>
      </c>
      <c r="S50" s="65">
        <f t="shared" si="20"/>
        <v>-2.696088554521439</v>
      </c>
      <c r="T50" s="65">
        <f t="shared" si="20"/>
        <v>-1.8724862078571922</v>
      </c>
      <c r="U50" s="65">
        <f t="shared" si="20"/>
        <v>-1.3051116566596399</v>
      </c>
      <c r="V50" s="65">
        <f t="shared" si="20"/>
        <v>-0.9128332032230847</v>
      </c>
      <c r="W50" s="65">
        <f t="shared" si="20"/>
        <v>-0.64065012778918029</v>
      </c>
      <c r="X50" s="65">
        <f t="shared" si="20"/>
        <v>-0.4511365020939147</v>
      </c>
      <c r="Y50" s="65">
        <f t="shared" si="20"/>
        <v>-0.3187316627407763</v>
      </c>
    </row>
    <row r="51" spans="1:25" x14ac:dyDescent="0.25">
      <c r="A51" s="21">
        <v>39</v>
      </c>
      <c r="C51" s="25">
        <f t="shared" si="19"/>
        <v>6.02</v>
      </c>
      <c r="D51" s="23">
        <f>FishHarvestTimeTrends!AC60*((1+D$10)^MIN($A51,20))</f>
        <v>1.8360489333022791</v>
      </c>
      <c r="E51" s="23">
        <f>FishHarvestTimeTrends!AD60*((1+E$10)^MIN($A51,20))</f>
        <v>0.2625415214511318</v>
      </c>
      <c r="F51" s="23">
        <f t="shared" si="21"/>
        <v>5.7890158389272273</v>
      </c>
      <c r="H51" s="22">
        <f t="shared" si="14"/>
        <v>2.8000000000000001E-2</v>
      </c>
      <c r="I51" s="22"/>
      <c r="J51" s="41"/>
      <c r="K51" s="41">
        <f t="shared" si="6"/>
        <v>0.46027028651108848</v>
      </c>
      <c r="L51" s="41">
        <f t="shared" si="15"/>
        <v>0.14037853298661437</v>
      </c>
      <c r="M51" s="41">
        <f t="shared" si="15"/>
        <v>2.0073099883616198E-2</v>
      </c>
      <c r="N51" s="41">
        <f t="shared" si="6"/>
        <v>0.44260996325585783</v>
      </c>
      <c r="O51" s="41"/>
      <c r="P51" s="41">
        <f t="shared" si="16"/>
        <v>2.1407920302841327E-3</v>
      </c>
      <c r="R51" s="65">
        <f t="shared" si="20"/>
        <v>-3.8934095452465884</v>
      </c>
      <c r="S51" s="65">
        <f t="shared" si="20"/>
        <v>-2.6675826588469365</v>
      </c>
      <c r="T51" s="65">
        <f t="shared" si="20"/>
        <v>-1.8345246951963785</v>
      </c>
      <c r="U51" s="65">
        <f t="shared" si="20"/>
        <v>-1.2662386060281672</v>
      </c>
      <c r="V51" s="65">
        <f t="shared" si="20"/>
        <v>-0.87712844632132436</v>
      </c>
      <c r="W51" s="65">
        <f t="shared" si="20"/>
        <v>-0.60972882190018518</v>
      </c>
      <c r="X51" s="65">
        <f t="shared" si="20"/>
        <v>-0.42531158172721995</v>
      </c>
      <c r="Y51" s="65">
        <f t="shared" si="20"/>
        <v>-0.29767786161057375</v>
      </c>
    </row>
    <row r="52" spans="1:25" x14ac:dyDescent="0.25">
      <c r="A52" s="21">
        <v>40</v>
      </c>
      <c r="C52" s="25">
        <f t="shared" si="19"/>
        <v>6.02</v>
      </c>
      <c r="D52" s="23">
        <f>FishHarvestTimeTrends!AC61*((1+D$10)^MIN($A52,20))</f>
        <v>1.8383591506710515</v>
      </c>
      <c r="E52" s="23">
        <f>FishHarvestTimeTrends!AD61*((1+E$10)^MIN($A52,20))</f>
        <v>0.26287589385967214</v>
      </c>
      <c r="F52" s="23">
        <f t="shared" si="21"/>
        <v>5.7919103468466906</v>
      </c>
      <c r="H52" s="22">
        <f t="shared" si="14"/>
        <v>2.8000000000000001E-2</v>
      </c>
      <c r="I52" s="22"/>
      <c r="J52" s="41"/>
      <c r="K52" s="41">
        <f t="shared" si="6"/>
        <v>0.43015914627204527</v>
      </c>
      <c r="L52" s="41">
        <f t="shared" si="15"/>
        <v>0.13135996724153851</v>
      </c>
      <c r="M52" s="41">
        <f t="shared" si="15"/>
        <v>1.8783799016308535E-2</v>
      </c>
      <c r="N52" s="41">
        <f t="shared" si="6"/>
        <v>0.41386099835279044</v>
      </c>
      <c r="O52" s="41"/>
      <c r="P52" s="41">
        <f t="shared" si="16"/>
        <v>2.0007402152188154E-3</v>
      </c>
      <c r="R52" s="65">
        <f t="shared" si="20"/>
        <v>-3.890764955469276</v>
      </c>
      <c r="S52" s="65">
        <f t="shared" si="20"/>
        <v>-2.6393769398582236</v>
      </c>
      <c r="T52" s="65">
        <f t="shared" si="20"/>
        <v>-1.7973319591920618</v>
      </c>
      <c r="U52" s="65">
        <f t="shared" si="20"/>
        <v>-1.2285228313303653</v>
      </c>
      <c r="V52" s="65">
        <f t="shared" si="20"/>
        <v>-0.84281986420605592</v>
      </c>
      <c r="W52" s="65">
        <f t="shared" si="20"/>
        <v>-0.58029968090812545</v>
      </c>
      <c r="X52" s="65">
        <f t="shared" si="20"/>
        <v>-0.40096480168012788</v>
      </c>
      <c r="Y52" s="65">
        <f t="shared" si="20"/>
        <v>-0.27801463979897945</v>
      </c>
    </row>
    <row r="53" spans="1:25" x14ac:dyDescent="0.25">
      <c r="A53" s="21">
        <v>41</v>
      </c>
      <c r="C53" s="25">
        <f t="shared" si="19"/>
        <v>6.02</v>
      </c>
      <c r="D53" s="23">
        <f>FishHarvestTimeTrends!AC62*((1+D$10)^MIN($A53,20))</f>
        <v>1.8384617055526467</v>
      </c>
      <c r="E53" s="23">
        <f>FishHarvestTimeTrends!AD62*((1+E$10)^MIN($A53,20))</f>
        <v>0.26288528915839238</v>
      </c>
      <c r="F53" s="23">
        <f t="shared" si="21"/>
        <v>5.7948063020201133</v>
      </c>
      <c r="H53" s="22">
        <f t="shared" si="14"/>
        <v>2.8000000000000001E-2</v>
      </c>
      <c r="I53" s="22"/>
      <c r="J53" s="41"/>
      <c r="K53" s="41">
        <f t="shared" si="6"/>
        <v>0.40201789371219188</v>
      </c>
      <c r="L53" s="41">
        <f t="shared" si="15"/>
        <v>0.12277317317887025</v>
      </c>
      <c r="M53" s="41">
        <f t="shared" si="15"/>
        <v>1.7555579773318508E-2</v>
      </c>
      <c r="N53" s="41">
        <f t="shared" si="6"/>
        <v>0.38697937275884747</v>
      </c>
      <c r="O53" s="41"/>
      <c r="P53" s="41">
        <f t="shared" si="16"/>
        <v>1.8698506684287997E-3</v>
      </c>
      <c r="R53" s="65">
        <f t="shared" si="20"/>
        <v>-3.8906530052889607</v>
      </c>
      <c r="S53" s="65">
        <f t="shared" si="20"/>
        <v>-2.6131693032191268</v>
      </c>
      <c r="T53" s="65">
        <f t="shared" si="20"/>
        <v>-1.7620394549070053</v>
      </c>
      <c r="U53" s="65">
        <f t="shared" si="20"/>
        <v>-1.1927062938485011</v>
      </c>
      <c r="V53" s="65">
        <f t="shared" si="20"/>
        <v>-0.81038039758663805</v>
      </c>
      <c r="W53" s="65">
        <f t="shared" si="20"/>
        <v>-0.55265046072989688</v>
      </c>
      <c r="X53" s="65">
        <f t="shared" si="20"/>
        <v>-0.37825779678886473</v>
      </c>
      <c r="Y53" s="65">
        <f t="shared" si="20"/>
        <v>-0.25981929009157434</v>
      </c>
    </row>
    <row r="54" spans="1:25" x14ac:dyDescent="0.25">
      <c r="A54" s="21">
        <v>42</v>
      </c>
      <c r="C54" s="25">
        <f t="shared" si="19"/>
        <v>6.02</v>
      </c>
      <c r="D54" s="23">
        <f>FishHarvestTimeTrends!AC63*((1+D$10)^MIN($A54,20))</f>
        <v>1.8385642604342414</v>
      </c>
      <c r="E54" s="23">
        <f>FishHarvestTimeTrends!AD63*((1+E$10)^MIN($A54,20))</f>
        <v>0.26289468445711273</v>
      </c>
      <c r="F54" s="23">
        <f t="shared" si="21"/>
        <v>5.7977037051711227</v>
      </c>
      <c r="H54" s="22">
        <f t="shared" si="14"/>
        <v>2.8000000000000001E-2</v>
      </c>
      <c r="I54" s="22"/>
      <c r="J54" s="41"/>
      <c r="K54" s="41">
        <f t="shared" si="6"/>
        <v>0.37571765767494569</v>
      </c>
      <c r="L54" s="41">
        <f t="shared" si="15"/>
        <v>0.11474768395601695</v>
      </c>
      <c r="M54" s="41">
        <f t="shared" si="15"/>
        <v>1.640767027565122E-2</v>
      </c>
      <c r="N54" s="41">
        <f t="shared" si="6"/>
        <v>0.3618437966777821</v>
      </c>
      <c r="O54" s="41"/>
      <c r="P54" s="41">
        <f t="shared" si="16"/>
        <v>1.747523989185794E-3</v>
      </c>
      <c r="R54" s="65">
        <f t="shared" si="20"/>
        <v>-3.8905410551086455</v>
      </c>
      <c r="S54" s="65">
        <f t="shared" si="20"/>
        <v>-2.587221892603091</v>
      </c>
      <c r="T54" s="65">
        <f t="shared" si="20"/>
        <v>-1.7274399546503552</v>
      </c>
      <c r="U54" s="65">
        <f t="shared" si="20"/>
        <v>-1.157933956072718</v>
      </c>
      <c r="V54" s="65">
        <f t="shared" si="20"/>
        <v>-0.77918949960627915</v>
      </c>
      <c r="W54" s="65">
        <f t="shared" si="20"/>
        <v>-0.52631862732395263</v>
      </c>
      <c r="X54" s="65">
        <f t="shared" si="20"/>
        <v>-0.35683671013907564</v>
      </c>
      <c r="Y54" s="65">
        <f t="shared" si="20"/>
        <v>-0.24281477945409172</v>
      </c>
    </row>
    <row r="55" spans="1:25" x14ac:dyDescent="0.25">
      <c r="A55" s="21">
        <v>43</v>
      </c>
      <c r="C55" s="25">
        <f t="shared" si="19"/>
        <v>6.02</v>
      </c>
      <c r="D55" s="23">
        <f>FishHarvestTimeTrends!AC64*((1+D$10)^MIN($A55,20))</f>
        <v>1.838666815315837</v>
      </c>
      <c r="E55" s="23">
        <f>FishHarvestTimeTrends!AD64*((1+E$10)^MIN($A55,20))</f>
        <v>0.26290407975583302</v>
      </c>
      <c r="F55" s="23">
        <f t="shared" si="21"/>
        <v>5.8006025570237076</v>
      </c>
      <c r="H55" s="22">
        <f t="shared" si="14"/>
        <v>2.8000000000000001E-2</v>
      </c>
      <c r="I55" s="22"/>
      <c r="J55" s="41"/>
      <c r="K55" s="41">
        <f t="shared" si="6"/>
        <v>0.35113799782705207</v>
      </c>
      <c r="L55" s="41">
        <f t="shared" si="15"/>
        <v>0.10724680800681813</v>
      </c>
      <c r="M55" s="41">
        <f t="shared" si="15"/>
        <v>1.5334819300004455E-2</v>
      </c>
      <c r="N55" s="41">
        <f t="shared" si="6"/>
        <v>0.33834085848235607</v>
      </c>
      <c r="O55" s="41"/>
      <c r="P55" s="41">
        <f t="shared" si="16"/>
        <v>1.6331999898932656E-3</v>
      </c>
      <c r="R55" s="65">
        <f t="shared" si="20"/>
        <v>-3.8904291049283297</v>
      </c>
      <c r="S55" s="65">
        <f t="shared" si="20"/>
        <v>-2.5615321241438256</v>
      </c>
      <c r="T55" s="65">
        <f t="shared" si="20"/>
        <v>-1.6935198506148781</v>
      </c>
      <c r="U55" s="65">
        <f t="shared" si="20"/>
        <v>-1.1241753753052104</v>
      </c>
      <c r="V55" s="65">
        <f t="shared" si="20"/>
        <v>-0.7491991139001688</v>
      </c>
      <c r="W55" s="65">
        <f t="shared" si="20"/>
        <v>-0.5012414119278038</v>
      </c>
      <c r="X55" s="65">
        <f t="shared" si="20"/>
        <v>-0.33662871903344205</v>
      </c>
      <c r="Y55" s="65">
        <f t="shared" si="20"/>
        <v>-0.2269231705303362</v>
      </c>
    </row>
    <row r="56" spans="1:25" x14ac:dyDescent="0.25">
      <c r="A56" s="21">
        <v>44</v>
      </c>
      <c r="C56" s="25">
        <f t="shared" si="19"/>
        <v>6.02</v>
      </c>
      <c r="D56" s="23">
        <f>FishHarvestTimeTrends!AC65*((1+D$10)^MIN($A56,20))</f>
        <v>1.8387693701974319</v>
      </c>
      <c r="E56" s="23">
        <f>FishHarvestTimeTrends!AD65*((1+E$10)^MIN($A56,20))</f>
        <v>0.26291347505455331</v>
      </c>
      <c r="F56" s="23">
        <f t="shared" si="21"/>
        <v>5.8035028583022195</v>
      </c>
      <c r="H56" s="22">
        <f t="shared" si="14"/>
        <v>2.8000000000000001E-2</v>
      </c>
      <c r="I56" s="22"/>
      <c r="J56" s="41"/>
      <c r="K56" s="41">
        <f t="shared" si="6"/>
        <v>0.3281663531093944</v>
      </c>
      <c r="L56" s="41">
        <f t="shared" si="15"/>
        <v>0.10023625223039023</v>
      </c>
      <c r="M56" s="41">
        <f t="shared" si="15"/>
        <v>1.433211898537716E-2</v>
      </c>
      <c r="N56" s="41">
        <f t="shared" si="6"/>
        <v>0.31636451300149265</v>
      </c>
      <c r="O56" s="41"/>
      <c r="P56" s="41">
        <f t="shared" si="16"/>
        <v>1.5263551307413694E-3</v>
      </c>
      <c r="R56" s="65">
        <f t="shared" si="20"/>
        <v>-3.8903171547480144</v>
      </c>
      <c r="S56" s="65">
        <f t="shared" si="20"/>
        <v>-2.5360974396308578</v>
      </c>
      <c r="T56" s="65">
        <f t="shared" si="20"/>
        <v>-1.6602658021953058</v>
      </c>
      <c r="U56" s="65">
        <f t="shared" si="20"/>
        <v>-1.0914009963766762</v>
      </c>
      <c r="V56" s="65">
        <f t="shared" si="20"/>
        <v>-0.72036303375191557</v>
      </c>
      <c r="W56" s="65">
        <f t="shared" si="20"/>
        <v>-0.47735903648474864</v>
      </c>
      <c r="X56" s="65">
        <f t="shared" si="20"/>
        <v>-0.31756512478802196</v>
      </c>
      <c r="Y56" s="65">
        <f t="shared" si="20"/>
        <v>-0.21207162676288563</v>
      </c>
    </row>
    <row r="57" spans="1:25" x14ac:dyDescent="0.25">
      <c r="A57" s="21">
        <v>45</v>
      </c>
      <c r="C57" s="25">
        <f t="shared" si="19"/>
        <v>6.02</v>
      </c>
      <c r="D57" s="23">
        <f>FishHarvestTimeTrends!AC66*((1+D$10)^MIN($A57,20))</f>
        <v>1.8388719250790269</v>
      </c>
      <c r="E57" s="23">
        <f>FishHarvestTimeTrends!AD66*((1+E$10)^MIN($A57,20))</f>
        <v>0.26292287035327361</v>
      </c>
      <c r="F57" s="23">
        <f t="shared" si="21"/>
        <v>5.80640460973137</v>
      </c>
      <c r="H57" s="22">
        <f t="shared" si="14"/>
        <v>2.8000000000000001E-2</v>
      </c>
      <c r="I57" s="22"/>
      <c r="J57" s="41"/>
      <c r="K57" s="41">
        <f t="shared" si="6"/>
        <v>0.3066975262704621</v>
      </c>
      <c r="L57" s="41">
        <f t="shared" si="15"/>
        <v>9.368396520763124E-2</v>
      </c>
      <c r="M57" s="41">
        <f t="shared" si="15"/>
        <v>1.3394982381607714E-2</v>
      </c>
      <c r="N57" s="41">
        <f t="shared" si="6"/>
        <v>0.29581560304485371</v>
      </c>
      <c r="O57" s="41"/>
      <c r="P57" s="41">
        <f t="shared" si="16"/>
        <v>1.426500122188196E-3</v>
      </c>
      <c r="R57" s="65">
        <f t="shared" si="20"/>
        <v>-3.8902052045676991</v>
      </c>
      <c r="S57" s="65">
        <f t="shared" si="20"/>
        <v>-2.5109153062547853</v>
      </c>
      <c r="T57" s="65">
        <f t="shared" si="20"/>
        <v>-1.6276647307415855</v>
      </c>
      <c r="U57" s="65">
        <f t="shared" si="20"/>
        <v>-1.0595821257712723</v>
      </c>
      <c r="V57" s="65">
        <f t="shared" si="20"/>
        <v>-0.69263683090219641</v>
      </c>
      <c r="W57" s="65">
        <f t="shared" si="20"/>
        <v>-0.45461457114754505</v>
      </c>
      <c r="X57" s="65">
        <f t="shared" si="20"/>
        <v>-0.29958111918579977</v>
      </c>
      <c r="Y57" s="65">
        <f t="shared" si="20"/>
        <v>-0.19819207855903495</v>
      </c>
    </row>
    <row r="58" spans="1:25" x14ac:dyDescent="0.25">
      <c r="A58" s="21">
        <v>46</v>
      </c>
      <c r="C58" s="25">
        <f t="shared" si="19"/>
        <v>6.02</v>
      </c>
      <c r="D58" s="23">
        <f>FishHarvestTimeTrends!AC67*((1+D$10)^MIN($A58,20))</f>
        <v>1.838974479960622</v>
      </c>
      <c r="E58" s="23">
        <f>FishHarvestTimeTrends!AD67*((1+E$10)^MIN($A58,20))</f>
        <v>0.26293226565199396</v>
      </c>
      <c r="F58" s="23">
        <f t="shared" si="21"/>
        <v>5.8093078120362351</v>
      </c>
      <c r="H58" s="22">
        <f t="shared" si="14"/>
        <v>2.8000000000000001E-2</v>
      </c>
      <c r="I58" s="22"/>
      <c r="J58" s="41"/>
      <c r="K58" s="41">
        <f t="shared" si="6"/>
        <v>0.28663320212192717</v>
      </c>
      <c r="L58" s="41">
        <f t="shared" si="15"/>
        <v>8.7559990666381884E-2</v>
      </c>
      <c r="M58" s="41">
        <f t="shared" si="15"/>
        <v>1.2519122465947548E-2</v>
      </c>
      <c r="N58" s="41">
        <f t="shared" si="6"/>
        <v>0.27660141200595895</v>
      </c>
      <c r="O58" s="41"/>
      <c r="P58" s="41">
        <f t="shared" si="16"/>
        <v>1.3331776842880334E-3</v>
      </c>
      <c r="R58" s="65">
        <f t="shared" si="20"/>
        <v>-3.8900932543873834</v>
      </c>
      <c r="S58" s="65">
        <f t="shared" si="20"/>
        <v>-2.4859832163550712</v>
      </c>
      <c r="T58" s="65">
        <f t="shared" si="20"/>
        <v>-1.5957038144151565</v>
      </c>
      <c r="U58" s="65">
        <f t="shared" si="20"/>
        <v>-1.0286909065059329</v>
      </c>
      <c r="V58" s="65">
        <f t="shared" si="20"/>
        <v>-0.66597778709749711</v>
      </c>
      <c r="W58" s="65">
        <f t="shared" si="20"/>
        <v>-0.43295379857151545</v>
      </c>
      <c r="X58" s="65">
        <f t="shared" si="20"/>
        <v>-0.28261556415617078</v>
      </c>
      <c r="Y58" s="65">
        <f t="shared" si="20"/>
        <v>-0.18522091130530971</v>
      </c>
    </row>
    <row r="59" spans="1:25" x14ac:dyDescent="0.25">
      <c r="A59" s="21">
        <v>47</v>
      </c>
      <c r="C59" s="25">
        <f t="shared" si="19"/>
        <v>6.02</v>
      </c>
      <c r="D59" s="23">
        <f>FishHarvestTimeTrends!AC68*((1+D$10)^MIN($A59,20))</f>
        <v>1.8390770348422167</v>
      </c>
      <c r="E59" s="23">
        <f>FishHarvestTimeTrends!AD68*((1+E$10)^MIN($A59,20))</f>
        <v>0.26294166095071431</v>
      </c>
      <c r="F59" s="23">
        <f t="shared" si="21"/>
        <v>5.8122124659422534</v>
      </c>
      <c r="H59" s="22">
        <f t="shared" si="14"/>
        <v>2.8000000000000001E-2</v>
      </c>
      <c r="I59" s="22"/>
      <c r="J59" s="41"/>
      <c r="K59" s="41">
        <f t="shared" si="6"/>
        <v>0.26788149731021232</v>
      </c>
      <c r="L59" s="41">
        <f t="shared" si="15"/>
        <v>8.1836330525308726E-2</v>
      </c>
      <c r="M59" s="41">
        <f t="shared" si="15"/>
        <v>1.1700532531679656E-2</v>
      </c>
      <c r="N59" s="41">
        <f t="shared" si="6"/>
        <v>0.25863524552519807</v>
      </c>
      <c r="O59" s="41"/>
      <c r="P59" s="41">
        <f t="shared" si="16"/>
        <v>1.2459604526056387E-3</v>
      </c>
      <c r="R59" s="65">
        <f t="shared" si="20"/>
        <v>-3.8899813042070686</v>
      </c>
      <c r="S59" s="65">
        <f t="shared" si="20"/>
        <v>-2.4612986871703351</v>
      </c>
      <c r="T59" s="65">
        <f t="shared" si="20"/>
        <v>-1.5643704831462262</v>
      </c>
      <c r="U59" s="65">
        <f t="shared" si="20"/>
        <v>-0.99870029374205849</v>
      </c>
      <c r="V59" s="65">
        <f t="shared" si="20"/>
        <v>-0.64034482827348171</v>
      </c>
      <c r="W59" s="65">
        <f t="shared" si="20"/>
        <v>-0.41232508467359424</v>
      </c>
      <c r="X59" s="65">
        <f t="shared" si="20"/>
        <v>-0.26661078393136556</v>
      </c>
      <c r="Y59" s="65">
        <f t="shared" si="20"/>
        <v>-0.17309867380061827</v>
      </c>
    </row>
    <row r="60" spans="1:25" x14ac:dyDescent="0.25">
      <c r="A60" s="21">
        <v>48</v>
      </c>
      <c r="C60" s="25">
        <f t="shared" si="19"/>
        <v>6.02</v>
      </c>
      <c r="D60" s="23">
        <f>FishHarvestTimeTrends!AC69*((1+D$10)^MIN($A60,20))</f>
        <v>1.8391795897238123</v>
      </c>
      <c r="E60" s="23">
        <f>FishHarvestTimeTrends!AD69*((1+E$10)^MIN($A60,20))</f>
        <v>0.2629510562494346</v>
      </c>
      <c r="F60" s="23">
        <f t="shared" si="21"/>
        <v>5.8151185721752245</v>
      </c>
      <c r="H60" s="22">
        <f t="shared" si="14"/>
        <v>2.8000000000000001E-2</v>
      </c>
      <c r="I60" s="22"/>
      <c r="J60" s="41"/>
      <c r="K60" s="41">
        <f t="shared" si="6"/>
        <v>0.25035653954225451</v>
      </c>
      <c r="L60" s="41">
        <f t="shared" si="15"/>
        <v>7.6486816890364961E-2</v>
      </c>
      <c r="M60" s="41">
        <f t="shared" si="15"/>
        <v>1.0935467859067967E-2</v>
      </c>
      <c r="N60" s="41">
        <f t="shared" si="6"/>
        <v>0.24183604032519687</v>
      </c>
      <c r="O60" s="41"/>
      <c r="P60" s="41">
        <f t="shared" si="16"/>
        <v>1.1644490211267652E-3</v>
      </c>
      <c r="R60" s="65">
        <f t="shared" si="20"/>
        <v>-3.8898693540267528</v>
      </c>
      <c r="S60" s="65">
        <f t="shared" si="20"/>
        <v>-2.4368592605911248</v>
      </c>
      <c r="T60" s="65">
        <f t="shared" si="20"/>
        <v>-1.5336524136900667</v>
      </c>
      <c r="U60" s="65">
        <f t="shared" si="20"/>
        <v>-0.96958403110821689</v>
      </c>
      <c r="V60" s="65">
        <f t="shared" si="20"/>
        <v>-0.61569846127158345</v>
      </c>
      <c r="W60" s="65">
        <f t="shared" si="20"/>
        <v>-0.3926792555492355</v>
      </c>
      <c r="X60" s="65">
        <f t="shared" si="20"/>
        <v>-0.25151236897323254</v>
      </c>
      <c r="Y60" s="65">
        <f t="shared" si="20"/>
        <v>-0.16176980577169481</v>
      </c>
    </row>
    <row r="61" spans="1:25" x14ac:dyDescent="0.25">
      <c r="A61" s="21">
        <v>49</v>
      </c>
      <c r="C61" s="25">
        <f t="shared" si="19"/>
        <v>6.02</v>
      </c>
      <c r="D61" s="23">
        <f>FishHarvestTimeTrends!AC70*((1+D$10)^MIN($A61,20))</f>
        <v>1.8392821446054073</v>
      </c>
      <c r="E61" s="23">
        <f>FishHarvestTimeTrends!AD70*((1+E$10)^MIN($A61,20))</f>
        <v>0.26296045154815489</v>
      </c>
      <c r="F61" s="23">
        <f t="shared" si="21"/>
        <v>5.8180261314613118</v>
      </c>
      <c r="H61" s="22">
        <f t="shared" si="14"/>
        <v>2.8000000000000001E-2</v>
      </c>
      <c r="I61" s="22"/>
      <c r="J61" s="41"/>
      <c r="K61" s="41">
        <f t="shared" si="6"/>
        <v>0.23397807433855561</v>
      </c>
      <c r="L61" s="41">
        <f t="shared" si="15"/>
        <v>7.1486992418614947E-2</v>
      </c>
      <c r="M61" s="41">
        <f t="shared" si="15"/>
        <v>1.0220428584789757E-2</v>
      </c>
      <c r="N61" s="41">
        <f t="shared" si="6"/>
        <v>0.22612799845360698</v>
      </c>
      <c r="O61" s="41"/>
      <c r="P61" s="41">
        <f t="shared" si="16"/>
        <v>1.0882701132025844E-3</v>
      </c>
      <c r="R61" s="65">
        <f t="shared" si="20"/>
        <v>-3.8897574038464375</v>
      </c>
      <c r="S61" s="65">
        <f t="shared" si="20"/>
        <v>-2.4126625029151412</v>
      </c>
      <c r="T61" s="65">
        <f t="shared" si="20"/>
        <v>-1.5035375247803817</v>
      </c>
      <c r="U61" s="65">
        <f t="shared" si="20"/>
        <v>-0.9413166277131384</v>
      </c>
      <c r="V61" s="65">
        <f t="shared" si="20"/>
        <v>-0.59200071299132018</v>
      </c>
      <c r="W61" s="65">
        <f t="shared" si="20"/>
        <v>-0.37396948025378735</v>
      </c>
      <c r="X61" s="65">
        <f t="shared" si="20"/>
        <v>-0.23726899100381593</v>
      </c>
      <c r="Y61" s="65">
        <f t="shared" si="20"/>
        <v>-0.15118238322194832</v>
      </c>
    </row>
    <row r="62" spans="1:25" x14ac:dyDescent="0.25">
      <c r="A62" s="21">
        <v>50</v>
      </c>
      <c r="C62" s="25">
        <f t="shared" si="19"/>
        <v>6.02</v>
      </c>
      <c r="D62" s="23">
        <f>FishHarvestTimeTrends!AC71*((1+D$10)^MIN($A62,20))</f>
        <v>1.8393846994870022</v>
      </c>
      <c r="E62" s="23">
        <f>FishHarvestTimeTrends!AD71*((1+E$10)^MIN($A62,20))</f>
        <v>0.26296984684687519</v>
      </c>
      <c r="F62" s="23">
        <f t="shared" si="21"/>
        <v>5.8209351445270423</v>
      </c>
      <c r="H62" s="22">
        <f t="shared" si="14"/>
        <v>2.8000000000000001E-2</v>
      </c>
      <c r="I62" s="22"/>
      <c r="J62" s="41"/>
      <c r="K62" s="41">
        <f t="shared" si="6"/>
        <v>0.21867109751266881</v>
      </c>
      <c r="L62" s="41">
        <f t="shared" si="15"/>
        <v>6.6813998502464E-2</v>
      </c>
      <c r="M62" s="41">
        <f t="shared" si="15"/>
        <v>9.552143691485819E-3</v>
      </c>
      <c r="N62" s="41">
        <f t="shared" si="6"/>
        <v>0.21144024528302224</v>
      </c>
      <c r="O62" s="41"/>
      <c r="P62" s="41">
        <f t="shared" si="16"/>
        <v>1.0170748721519481E-3</v>
      </c>
      <c r="R62" s="65">
        <f t="shared" ref="R62:Y77" si="22">(($D62/((1+R$10)^$M$7))+$G62+$H62+IF($M$3="Yes",$E62/((1+R$10)^$M$7),0)+IF($M$4="Yes",$F62)-($B62*(1+$M$5))-$C62)/((1+R$10)^($A62-1))</f>
        <v>-3.8896454536661222</v>
      </c>
      <c r="S62" s="65">
        <f t="shared" si="22"/>
        <v>-2.3887060046049027</v>
      </c>
      <c r="T62" s="65">
        <f t="shared" si="22"/>
        <v>-1.4740139723778471</v>
      </c>
      <c r="U62" s="65">
        <f t="shared" si="22"/>
        <v>-0.91387333582887009</v>
      </c>
      <c r="V62" s="65">
        <f t="shared" si="22"/>
        <v>-0.56921507188458076</v>
      </c>
      <c r="W62" s="65">
        <f t="shared" si="22"/>
        <v>-0.35615115916890505</v>
      </c>
      <c r="X62" s="65">
        <f t="shared" si="22"/>
        <v>-0.22383222851090884</v>
      </c>
      <c r="Y62" s="65">
        <f t="shared" si="22"/>
        <v>-0.14128788044656704</v>
      </c>
    </row>
    <row r="63" spans="1:25" x14ac:dyDescent="0.25">
      <c r="A63" s="21">
        <v>51</v>
      </c>
      <c r="C63" s="25">
        <f t="shared" si="19"/>
        <v>6.02</v>
      </c>
      <c r="D63" s="23">
        <f>FishHarvestTimeTrends!AC72*((1+D$10)^MIN($A63,20))</f>
        <v>1.8393860142990097</v>
      </c>
      <c r="E63" s="23">
        <f>FishHarvestTimeTrends!AD72*((1+E$10)^MIN($A63,20))</f>
        <v>0.26296998552618545</v>
      </c>
      <c r="F63" s="23">
        <f t="shared" si="21"/>
        <v>5.8238456120993058</v>
      </c>
      <c r="H63" s="22">
        <f t="shared" si="14"/>
        <v>2.8000000000000001E-2</v>
      </c>
      <c r="I63" s="22"/>
      <c r="J63" s="41"/>
      <c r="K63" s="41">
        <f t="shared" si="6"/>
        <v>0.20436551169408299</v>
      </c>
      <c r="L63" s="41">
        <f t="shared" si="15"/>
        <v>6.2443033889560962E-2</v>
      </c>
      <c r="M63" s="41">
        <f t="shared" si="15"/>
        <v>8.9272418026984206E-3</v>
      </c>
      <c r="N63" s="41">
        <f t="shared" si="6"/>
        <v>0.19770650972491938</v>
      </c>
      <c r="O63" s="41"/>
      <c r="P63" s="41">
        <f t="shared" si="16"/>
        <v>9.5053726369340934E-4</v>
      </c>
      <c r="R63" s="65">
        <f t="shared" si="22"/>
        <v>-3.8896440001748043</v>
      </c>
      <c r="S63" s="65">
        <f t="shared" si="22"/>
        <v>-2.3650545663247109</v>
      </c>
      <c r="T63" s="65">
        <f t="shared" si="22"/>
        <v>-1.4451111976127893</v>
      </c>
      <c r="U63" s="65">
        <f t="shared" si="22"/>
        <v>-0.88725533430161196</v>
      </c>
      <c r="V63" s="65">
        <f t="shared" si="22"/>
        <v>-0.54732197997983978</v>
      </c>
      <c r="W63" s="65">
        <f t="shared" si="22"/>
        <v>-0.33919145341100193</v>
      </c>
      <c r="X63" s="65">
        <f t="shared" si="22"/>
        <v>-0.21116240081960994</v>
      </c>
      <c r="Y63" s="65">
        <f t="shared" si="22"/>
        <v>-0.13204469873813018</v>
      </c>
    </row>
    <row r="64" spans="1:25" x14ac:dyDescent="0.25">
      <c r="A64" s="21">
        <v>52</v>
      </c>
      <c r="C64" s="25">
        <f t="shared" si="19"/>
        <v>6.02</v>
      </c>
      <c r="D64" s="23">
        <f>FishHarvestTimeTrends!AC73*((1+D$10)^MIN($A64,20))</f>
        <v>1.8393873291110174</v>
      </c>
      <c r="E64" s="23">
        <f>FishHarvestTimeTrends!AD73*((1+E$10)^MIN($A64,20))</f>
        <v>0.26297012420549565</v>
      </c>
      <c r="F64" s="23">
        <f t="shared" si="21"/>
        <v>5.8267575349053553</v>
      </c>
      <c r="H64" s="22">
        <f t="shared" si="14"/>
        <v>2.8000000000000001E-2</v>
      </c>
      <c r="I64" s="22"/>
      <c r="J64" s="41"/>
      <c r="K64" s="41">
        <f t="shared" si="6"/>
        <v>0.19099580532157284</v>
      </c>
      <c r="L64" s="41">
        <f t="shared" si="15"/>
        <v>5.8358017312600624E-2</v>
      </c>
      <c r="M64" s="41">
        <f t="shared" si="15"/>
        <v>8.3432210378974556E-3</v>
      </c>
      <c r="N64" s="41">
        <f t="shared" si="6"/>
        <v>0.18486482521474934</v>
      </c>
      <c r="O64" s="41"/>
      <c r="P64" s="41">
        <f t="shared" si="16"/>
        <v>8.8835258289103667E-4</v>
      </c>
      <c r="R64" s="65">
        <f t="shared" si="22"/>
        <v>-3.8896425466834863</v>
      </c>
      <c r="S64" s="65">
        <f t="shared" si="22"/>
        <v>-2.3416373094510483</v>
      </c>
      <c r="T64" s="65">
        <f t="shared" si="22"/>
        <v>-1.4167751545100378</v>
      </c>
      <c r="U64" s="65">
        <f t="shared" si="22"/>
        <v>-0.86141262402907948</v>
      </c>
      <c r="V64" s="65">
        <f t="shared" si="22"/>
        <v>-0.52627093793776447</v>
      </c>
      <c r="W64" s="65">
        <f t="shared" si="22"/>
        <v>-0.32303935872489703</v>
      </c>
      <c r="X64" s="65">
        <f t="shared" si="22"/>
        <v>-0.19920973765278049</v>
      </c>
      <c r="Y64" s="65">
        <f t="shared" si="22"/>
        <v>-0.12340621438818374</v>
      </c>
    </row>
    <row r="65" spans="1:25" x14ac:dyDescent="0.25">
      <c r="A65" s="21">
        <v>53</v>
      </c>
      <c r="C65" s="25">
        <f t="shared" si="19"/>
        <v>6.02</v>
      </c>
      <c r="D65" s="23">
        <f>FishHarvestTimeTrends!AC74*((1+D$10)^MIN($A65,20))</f>
        <v>1.8393886439230247</v>
      </c>
      <c r="E65" s="23">
        <f>FishHarvestTimeTrends!AD74*((1+E$10)^MIN($A65,20))</f>
        <v>0.26297026288480585</v>
      </c>
      <c r="F65" s="23">
        <f t="shared" si="21"/>
        <v>5.8296709136728078</v>
      </c>
      <c r="H65" s="22">
        <f t="shared" si="14"/>
        <v>2.8000000000000001E-2</v>
      </c>
      <c r="I65" s="22"/>
      <c r="J65" s="41"/>
      <c r="K65" s="41">
        <f t="shared" si="6"/>
        <v>0.17850075263698398</v>
      </c>
      <c r="L65" s="41">
        <f t="shared" si="15"/>
        <v>5.4540242081757687E-2</v>
      </c>
      <c r="M65" s="41">
        <f t="shared" si="15"/>
        <v>7.7974069511766416E-3</v>
      </c>
      <c r="N65" s="41">
        <f t="shared" si="6"/>
        <v>0.17285725011902497</v>
      </c>
      <c r="O65" s="41"/>
      <c r="P65" s="41">
        <f t="shared" si="16"/>
        <v>8.3023605877666977E-4</v>
      </c>
      <c r="R65" s="65">
        <f t="shared" si="22"/>
        <v>-3.8896410931921688</v>
      </c>
      <c r="S65" s="65">
        <f t="shared" si="22"/>
        <v>-2.3184519152694896</v>
      </c>
      <c r="T65" s="65">
        <f t="shared" si="22"/>
        <v>-1.3889947304764392</v>
      </c>
      <c r="U65" s="65">
        <f t="shared" si="22"/>
        <v>-0.83632262343132424</v>
      </c>
      <c r="V65" s="65">
        <f t="shared" si="22"/>
        <v>-0.50602955892262425</v>
      </c>
      <c r="W65" s="65">
        <f t="shared" si="22"/>
        <v>-0.30765641715309011</v>
      </c>
      <c r="X65" s="65">
        <f t="shared" si="22"/>
        <v>-0.18793364453923531</v>
      </c>
      <c r="Y65" s="65">
        <f t="shared" si="22"/>
        <v>-0.11533286754527299</v>
      </c>
    </row>
    <row r="66" spans="1:25" x14ac:dyDescent="0.25">
      <c r="A66" s="21">
        <v>54</v>
      </c>
      <c r="C66" s="25">
        <f t="shared" si="19"/>
        <v>6.02</v>
      </c>
      <c r="D66" s="23">
        <f>FishHarvestTimeTrends!AC75*((1+D$10)^MIN($A66,20))</f>
        <v>1.839389958735032</v>
      </c>
      <c r="E66" s="23">
        <f>FishHarvestTimeTrends!AD75*((1+E$10)^MIN($A66,20))</f>
        <v>0.26297040156411611</v>
      </c>
      <c r="F66" s="23">
        <f t="shared" si="21"/>
        <v>5.8325857491296436</v>
      </c>
      <c r="H66" s="22">
        <f t="shared" si="14"/>
        <v>2.8000000000000001E-2</v>
      </c>
      <c r="I66" s="22"/>
      <c r="J66" s="41"/>
      <c r="K66" s="41">
        <f t="shared" si="6"/>
        <v>0.16682313330559251</v>
      </c>
      <c r="L66" s="41">
        <f t="shared" si="15"/>
        <v>5.0972225296847598E-2</v>
      </c>
      <c r="M66" s="41">
        <f t="shared" si="15"/>
        <v>7.2873000590624147E-3</v>
      </c>
      <c r="N66" s="41">
        <f t="shared" si="6"/>
        <v>0.16162960630288267</v>
      </c>
      <c r="O66" s="41"/>
      <c r="P66" s="41">
        <f t="shared" si="16"/>
        <v>7.7592155025856977E-4</v>
      </c>
      <c r="R66" s="65">
        <f t="shared" si="22"/>
        <v>-3.8896396397008512</v>
      </c>
      <c r="S66" s="65">
        <f t="shared" si="22"/>
        <v>-2.2954960880240378</v>
      </c>
      <c r="T66" s="65">
        <f t="shared" si="22"/>
        <v>-1.3617590308168961</v>
      </c>
      <c r="U66" s="65">
        <f t="shared" si="22"/>
        <v>-0.81196340865251082</v>
      </c>
      <c r="V66" s="65">
        <f t="shared" si="22"/>
        <v>-0.48656670175785305</v>
      </c>
      <c r="W66" s="65">
        <f t="shared" si="22"/>
        <v>-0.29300600208307687</v>
      </c>
      <c r="X66" s="65">
        <f t="shared" si="22"/>
        <v>-0.1772958248223552</v>
      </c>
      <c r="Y66" s="65">
        <f t="shared" si="22"/>
        <v>-0.1077876863994239</v>
      </c>
    </row>
    <row r="67" spans="1:25" x14ac:dyDescent="0.25">
      <c r="A67" s="21">
        <v>55</v>
      </c>
      <c r="C67" s="25">
        <f t="shared" si="19"/>
        <v>6.02</v>
      </c>
      <c r="D67" s="23">
        <f>FishHarvestTimeTrends!AC76*((1+D$10)^MIN($A67,20))</f>
        <v>1.8393912735470395</v>
      </c>
      <c r="E67" s="23">
        <f>FishHarvestTimeTrends!AD76*((1+E$10)^MIN($A67,20))</f>
        <v>0.26297054024342631</v>
      </c>
      <c r="F67" s="23">
        <f t="shared" si="21"/>
        <v>5.8355020420042081</v>
      </c>
      <c r="H67" s="22">
        <f t="shared" si="14"/>
        <v>2.8000000000000001E-2</v>
      </c>
      <c r="I67" s="22"/>
      <c r="J67" s="41"/>
      <c r="K67" s="41">
        <f t="shared" si="6"/>
        <v>0.15590947037905842</v>
      </c>
      <c r="L67" s="41">
        <f t="shared" si="15"/>
        <v>4.7637627787139654E-2</v>
      </c>
      <c r="M67" s="41">
        <f t="shared" si="15"/>
        <v>6.8105643944597121E-3</v>
      </c>
      <c r="N67" s="41">
        <f t="shared" si="6"/>
        <v>0.15113123467853656</v>
      </c>
      <c r="O67" s="41"/>
      <c r="P67" s="41">
        <f t="shared" si="16"/>
        <v>7.2516032734445783E-4</v>
      </c>
      <c r="R67" s="65">
        <f t="shared" si="22"/>
        <v>-3.8896381862095337</v>
      </c>
      <c r="S67" s="65">
        <f t="shared" si="22"/>
        <v>-2.2727675546898007</v>
      </c>
      <c r="T67" s="65">
        <f t="shared" si="22"/>
        <v>-1.3350573744617729</v>
      </c>
      <c r="U67" s="65">
        <f t="shared" si="22"/>
        <v>-0.7883136944036645</v>
      </c>
      <c r="V67" s="65">
        <f t="shared" si="22"/>
        <v>-0.46785242301563446</v>
      </c>
      <c r="W67" s="65">
        <f t="shared" si="22"/>
        <v>-0.27905323103979257</v>
      </c>
      <c r="X67" s="65">
        <f t="shared" si="22"/>
        <v>-0.16726014959430202</v>
      </c>
      <c r="Y67" s="65">
        <f t="shared" si="22"/>
        <v>-0.10073611787011461</v>
      </c>
    </row>
    <row r="68" spans="1:25" x14ac:dyDescent="0.25">
      <c r="A68" s="21">
        <v>56</v>
      </c>
      <c r="C68" s="25">
        <f t="shared" si="19"/>
        <v>6.02</v>
      </c>
      <c r="D68" s="23">
        <f>FishHarvestTimeTrends!AC77*((1+D$10)^MIN($A68,20))</f>
        <v>1.839392588359047</v>
      </c>
      <c r="E68" s="23">
        <f>FishHarvestTimeTrends!AD77*((1+E$10)^MIN($A68,20))</f>
        <v>0.26297067892273651</v>
      </c>
      <c r="F68" s="23">
        <f t="shared" si="21"/>
        <v>5.83841979302521</v>
      </c>
      <c r="H68" s="22">
        <f t="shared" si="14"/>
        <v>2.8000000000000001E-2</v>
      </c>
      <c r="I68" s="22"/>
      <c r="J68" s="41"/>
      <c r="K68" s="41">
        <f t="shared" si="6"/>
        <v>0.14570978540098917</v>
      </c>
      <c r="L68" s="41">
        <f t="shared" si="15"/>
        <v>4.4521179288698802E-2</v>
      </c>
      <c r="M68" s="41">
        <f t="shared" si="15"/>
        <v>6.3650168093993967E-3</v>
      </c>
      <c r="N68" s="41">
        <f t="shared" si="6"/>
        <v>0.14131476663165965</v>
      </c>
      <c r="O68" s="41"/>
      <c r="P68" s="41">
        <f t="shared" si="16"/>
        <v>6.7771993209762415E-4</v>
      </c>
      <c r="R68" s="65">
        <f t="shared" si="22"/>
        <v>-3.8896367327182162</v>
      </c>
      <c r="S68" s="65">
        <f t="shared" si="22"/>
        <v>-2.250264064747928</v>
      </c>
      <c r="T68" s="65">
        <f t="shared" si="22"/>
        <v>-1.3088792897780863</v>
      </c>
      <c r="U68" s="65">
        <f t="shared" si="22"/>
        <v>-0.76535281536340671</v>
      </c>
      <c r="V68" s="65">
        <f t="shared" si="22"/>
        <v>-0.449857930949211</v>
      </c>
      <c r="W68" s="65">
        <f t="shared" si="22"/>
        <v>-0.26576488263082765</v>
      </c>
      <c r="X68" s="65">
        <f t="shared" si="22"/>
        <v>-0.15779253499249293</v>
      </c>
      <c r="Y68" s="65">
        <f t="shared" si="22"/>
        <v>-9.4145869370793361E-2</v>
      </c>
    </row>
    <row r="69" spans="1:25" x14ac:dyDescent="0.25">
      <c r="A69" s="21">
        <v>57</v>
      </c>
      <c r="C69" s="25">
        <f t="shared" si="19"/>
        <v>6.02</v>
      </c>
      <c r="D69" s="23">
        <f>FishHarvestTimeTrends!AC78*((1+D$10)^MIN($A69,20))</f>
        <v>1.8393939031710542</v>
      </c>
      <c r="E69" s="23">
        <f>FishHarvestTimeTrends!AD78*((1+E$10)^MIN($A69,20))</f>
        <v>0.26297081760204677</v>
      </c>
      <c r="F69" s="23">
        <f t="shared" si="21"/>
        <v>5.841339002921722</v>
      </c>
      <c r="H69" s="22">
        <f t="shared" si="14"/>
        <v>2.8000000000000001E-2</v>
      </c>
      <c r="I69" s="22"/>
      <c r="J69" s="41"/>
      <c r="K69" s="41">
        <f t="shared" si="6"/>
        <v>0.13617736953363474</v>
      </c>
      <c r="L69" s="41">
        <f t="shared" si="15"/>
        <v>4.1608608516617844E-2</v>
      </c>
      <c r="M69" s="41">
        <f t="shared" si="15"/>
        <v>5.9486169776006622E-3</v>
      </c>
      <c r="N69" s="41">
        <f t="shared" si="6"/>
        <v>0.13213591029436958</v>
      </c>
      <c r="O69" s="41"/>
      <c r="P69" s="41">
        <f t="shared" si="16"/>
        <v>6.3338311410992914E-4</v>
      </c>
      <c r="R69" s="65">
        <f t="shared" si="22"/>
        <v>-3.8896352792268987</v>
      </c>
      <c r="S69" s="65">
        <f t="shared" si="22"/>
        <v>-2.2279833899627608</v>
      </c>
      <c r="T69" s="65">
        <f t="shared" si="22"/>
        <v>-1.2832145104628248</v>
      </c>
      <c r="U69" s="65">
        <f t="shared" si="22"/>
        <v>-0.74306070812041991</v>
      </c>
      <c r="V69" s="65">
        <f t="shared" si="22"/>
        <v>-0.43255554119704548</v>
      </c>
      <c r="W69" s="65">
        <f t="shared" si="22"/>
        <v>-0.25310931744666265</v>
      </c>
      <c r="X69" s="65">
        <f t="shared" si="22"/>
        <v>-0.14886082644160117</v>
      </c>
      <c r="Y69" s="65">
        <f t="shared" si="22"/>
        <v>-8.7986760925306315E-2</v>
      </c>
    </row>
    <row r="70" spans="1:25" x14ac:dyDescent="0.25">
      <c r="A70" s="21">
        <v>58</v>
      </c>
      <c r="C70" s="25">
        <f t="shared" si="19"/>
        <v>6.02</v>
      </c>
      <c r="D70" s="23">
        <f>FishHarvestTimeTrends!AC79*((1+D$10)^MIN($A70,20))</f>
        <v>1.8393952179830615</v>
      </c>
      <c r="E70" s="23">
        <f>FishHarvestTimeTrends!AD79*((1+E$10)^MIN($A70,20))</f>
        <v>0.26297095628135703</v>
      </c>
      <c r="F70" s="23">
        <f t="shared" si="21"/>
        <v>5.844259672423183</v>
      </c>
      <c r="H70" s="22">
        <f t="shared" si="14"/>
        <v>2.8000000000000001E-2</v>
      </c>
      <c r="I70" s="22"/>
      <c r="J70" s="41"/>
      <c r="K70" s="41">
        <f t="shared" si="6"/>
        <v>0.12726856965760255</v>
      </c>
      <c r="L70" s="41">
        <f t="shared" si="15"/>
        <v>3.8886577811916664E-2</v>
      </c>
      <c r="M70" s="41">
        <f t="shared" si="15"/>
        <v>5.5594580510664859E-3</v>
      </c>
      <c r="N70" s="41">
        <f t="shared" si="6"/>
        <v>0.12355325070048297</v>
      </c>
      <c r="O70" s="41"/>
      <c r="P70" s="41">
        <f t="shared" si="16"/>
        <v>5.9194683561675612E-4</v>
      </c>
      <c r="R70" s="65">
        <f t="shared" si="22"/>
        <v>-3.8896338257355811</v>
      </c>
      <c r="S70" s="65">
        <f t="shared" si="22"/>
        <v>-2.2059233241612088</v>
      </c>
      <c r="T70" s="65">
        <f t="shared" si="22"/>
        <v>-1.2580529715167976</v>
      </c>
      <c r="U70" s="65">
        <f t="shared" si="22"/>
        <v>-0.72141789364186826</v>
      </c>
      <c r="V70" s="65">
        <f t="shared" si="22"/>
        <v>-0.4159186341906837</v>
      </c>
      <c r="W70" s="65">
        <f t="shared" si="22"/>
        <v>-0.24105640272758622</v>
      </c>
      <c r="X70" s="65">
        <f t="shared" si="22"/>
        <v>-0.14043468944793655</v>
      </c>
      <c r="Y70" s="65">
        <f t="shared" si="22"/>
        <v>-8.2230586959002649E-2</v>
      </c>
    </row>
    <row r="71" spans="1:25" x14ac:dyDescent="0.25">
      <c r="A71" s="21">
        <v>59</v>
      </c>
      <c r="C71" s="25">
        <f t="shared" si="19"/>
        <v>6.02</v>
      </c>
      <c r="D71" s="23">
        <f>FishHarvestTimeTrends!AC80*((1+D$10)^MIN($A71,20))</f>
        <v>1.8393965327950688</v>
      </c>
      <c r="E71" s="23">
        <f>FishHarvestTimeTrends!AD80*((1+E$10)^MIN($A71,20))</f>
        <v>0.26297109496066717</v>
      </c>
      <c r="F71" s="23">
        <f t="shared" si="21"/>
        <v>5.847181802259394</v>
      </c>
      <c r="H71" s="22">
        <f t="shared" si="14"/>
        <v>2.8000000000000001E-2</v>
      </c>
      <c r="I71" s="22"/>
      <c r="J71" s="41"/>
      <c r="K71" s="41">
        <f t="shared" si="6"/>
        <v>0.11894258846504914</v>
      </c>
      <c r="L71" s="41">
        <f t="shared" si="15"/>
        <v>3.6342622063834241E-2</v>
      </c>
      <c r="M71" s="41">
        <f t="shared" si="15"/>
        <v>5.1957579279252484E-3</v>
      </c>
      <c r="N71" s="41">
        <f t="shared" si="6"/>
        <v>0.11552806292133945</v>
      </c>
      <c r="O71" s="41"/>
      <c r="P71" s="41">
        <f t="shared" si="16"/>
        <v>5.5322134169790305E-4</v>
      </c>
      <c r="R71" s="65">
        <f t="shared" si="22"/>
        <v>-3.8896323722442636</v>
      </c>
      <c r="S71" s="65">
        <f t="shared" si="22"/>
        <v>-2.184081683014294</v>
      </c>
      <c r="T71" s="65">
        <f t="shared" si="22"/>
        <v>-1.2333848052974261</v>
      </c>
      <c r="U71" s="65">
        <f t="shared" si="22"/>
        <v>-0.70040546025245443</v>
      </c>
      <c r="V71" s="65">
        <f t="shared" si="22"/>
        <v>-0.3999216142007922</v>
      </c>
      <c r="W71" s="65">
        <f t="shared" si="22"/>
        <v>-0.22957744061793059</v>
      </c>
      <c r="X71" s="65">
        <f t="shared" si="22"/>
        <v>-0.13248550657531533</v>
      </c>
      <c r="Y71" s="65">
        <f t="shared" si="22"/>
        <v>-7.6850987131591747E-2</v>
      </c>
    </row>
    <row r="72" spans="1:25" x14ac:dyDescent="0.25">
      <c r="A72" s="21">
        <v>60</v>
      </c>
      <c r="C72" s="25">
        <f t="shared" si="19"/>
        <v>6.02</v>
      </c>
      <c r="D72" s="23">
        <f>FishHarvestTimeTrends!AC81*((1+D$10)^MIN($A72,20))</f>
        <v>1.8393978476070763</v>
      </c>
      <c r="E72" s="23">
        <f>FishHarvestTimeTrends!AD81*((1+E$10)^MIN($A72,20))</f>
        <v>0.26297123363997749</v>
      </c>
      <c r="F72" s="23">
        <f t="shared" si="21"/>
        <v>5.8501053931605238</v>
      </c>
      <c r="H72" s="22">
        <f t="shared" si="14"/>
        <v>2.8000000000000001E-2</v>
      </c>
      <c r="I72" s="22"/>
      <c r="J72" s="41"/>
      <c r="K72" s="41">
        <f t="shared" si="6"/>
        <v>0.11116129763088702</v>
      </c>
      <c r="L72" s="41">
        <f t="shared" si="15"/>
        <v>3.3965091627817801E-2</v>
      </c>
      <c r="M72" s="41">
        <f t="shared" si="15"/>
        <v>4.8558510915307418E-3</v>
      </c>
      <c r="N72" s="41">
        <f t="shared" si="6"/>
        <v>0.1080241373390655</v>
      </c>
      <c r="O72" s="41"/>
      <c r="P72" s="41">
        <f t="shared" si="16"/>
        <v>5.170292913064513E-4</v>
      </c>
      <c r="R72" s="65">
        <f t="shared" si="22"/>
        <v>-3.8896309187529456</v>
      </c>
      <c r="S72" s="65">
        <f t="shared" si="22"/>
        <v>-2.1624563038208664</v>
      </c>
      <c r="T72" s="65">
        <f t="shared" si="22"/>
        <v>-1.2092003376489351</v>
      </c>
      <c r="U72" s="65">
        <f t="shared" si="22"/>
        <v>-0.68000504710923526</v>
      </c>
      <c r="V72" s="65">
        <f t="shared" si="22"/>
        <v>-0.38453986995836159</v>
      </c>
      <c r="W72" s="65">
        <f t="shared" si="22"/>
        <v>-0.21864509983679634</v>
      </c>
      <c r="X72" s="65">
        <f t="shared" si="22"/>
        <v>-0.12498628025252038</v>
      </c>
      <c r="Y72" s="65">
        <f t="shared" si="22"/>
        <v>-7.1823325620232012E-2</v>
      </c>
    </row>
    <row r="73" spans="1:25" x14ac:dyDescent="0.25">
      <c r="A73" s="21">
        <v>61</v>
      </c>
      <c r="C73" s="25">
        <f t="shared" si="19"/>
        <v>6.02</v>
      </c>
      <c r="D73" s="23">
        <f>FishHarvestTimeTrends!AC82*((1+D$10)^MIN($A73,20))</f>
        <v>1.8393991624190837</v>
      </c>
      <c r="E73" s="23">
        <f>FishHarvestTimeTrends!AD82*((1+E$10)^MIN($A73,20))</f>
        <v>0.26297137231928763</v>
      </c>
      <c r="F73" s="23">
        <f t="shared" si="21"/>
        <v>5.8530304458571036</v>
      </c>
      <c r="H73" s="22">
        <f t="shared" si="14"/>
        <v>2.8000000000000001E-2</v>
      </c>
      <c r="I73" s="22"/>
      <c r="J73" s="41"/>
      <c r="K73" s="41">
        <f t="shared" si="6"/>
        <v>0.10388906320643648</v>
      </c>
      <c r="L73" s="41">
        <f t="shared" si="15"/>
        <v>3.1743098977811052E-2</v>
      </c>
      <c r="M73" s="41">
        <f t="shared" si="15"/>
        <v>4.5381809834488061E-3</v>
      </c>
      <c r="N73" s="41">
        <f t="shared" si="6"/>
        <v>0.10100761626891126</v>
      </c>
      <c r="O73" s="41"/>
      <c r="P73" s="41">
        <f t="shared" si="16"/>
        <v>4.8320494514621622E-4</v>
      </c>
      <c r="R73" s="65">
        <f t="shared" si="22"/>
        <v>-3.8896294652616281</v>
      </c>
      <c r="S73" s="65">
        <f t="shared" si="22"/>
        <v>-2.1410450452934566</v>
      </c>
      <c r="T73" s="65">
        <f t="shared" si="22"/>
        <v>-1.1854900841084208</v>
      </c>
      <c r="U73" s="65">
        <f t="shared" si="22"/>
        <v>-0.66019882815776254</v>
      </c>
      <c r="V73" s="65">
        <f t="shared" si="22"/>
        <v>-0.36974973679049544</v>
      </c>
      <c r="W73" s="65">
        <f t="shared" si="22"/>
        <v>-0.20823335060257761</v>
      </c>
      <c r="X73" s="65">
        <f t="shared" si="22"/>
        <v>-0.11791154108226054</v>
      </c>
      <c r="Y73" s="65">
        <f t="shared" si="22"/>
        <v>-6.7124578300030407E-2</v>
      </c>
    </row>
    <row r="74" spans="1:25" x14ac:dyDescent="0.25">
      <c r="A74" s="21">
        <v>62</v>
      </c>
      <c r="C74" s="25">
        <f t="shared" si="19"/>
        <v>6.02</v>
      </c>
      <c r="D74" s="23">
        <f>FishHarvestTimeTrends!AC83*((1+D$10)^MIN($A74,20))</f>
        <v>1.8394004772310912</v>
      </c>
      <c r="E74" s="23">
        <f>FishHarvestTimeTrends!AD83*((1+E$10)^MIN($A74,20))</f>
        <v>0.26297151099859789</v>
      </c>
      <c r="F74" s="23">
        <f t="shared" si="21"/>
        <v>5.8559569610800315</v>
      </c>
      <c r="H74" s="22">
        <f t="shared" si="14"/>
        <v>2.8000000000000001E-2</v>
      </c>
      <c r="I74" s="22"/>
      <c r="J74" s="41"/>
      <c r="K74" s="41">
        <f t="shared" si="6"/>
        <v>9.7092582435921948E-2</v>
      </c>
      <c r="L74" s="41">
        <f t="shared" si="15"/>
        <v>2.9666468848543837E-2</v>
      </c>
      <c r="M74" s="41">
        <f t="shared" si="15"/>
        <v>4.2412928754037077E-3</v>
      </c>
      <c r="N74" s="41">
        <f t="shared" si="6"/>
        <v>9.444684119350065E-2</v>
      </c>
      <c r="O74" s="41"/>
      <c r="P74" s="41">
        <f t="shared" si="16"/>
        <v>4.5159340667870674E-4</v>
      </c>
      <c r="R74" s="65">
        <f t="shared" si="22"/>
        <v>-3.8896280117703106</v>
      </c>
      <c r="S74" s="65">
        <f t="shared" si="22"/>
        <v>-2.1198457873462564</v>
      </c>
      <c r="T74" s="65">
        <f t="shared" si="22"/>
        <v>-1.1622447461863166</v>
      </c>
      <c r="U74" s="65">
        <f t="shared" si="22"/>
        <v>-0.64096949655552427</v>
      </c>
      <c r="V74" s="65">
        <f t="shared" si="22"/>
        <v>-0.35552846021252682</v>
      </c>
      <c r="W74" s="65">
        <f t="shared" si="22"/>
        <v>-0.19831740265634154</v>
      </c>
      <c r="X74" s="65">
        <f t="shared" si="22"/>
        <v>-0.11123726134022065</v>
      </c>
      <c r="Y74" s="65">
        <f t="shared" si="22"/>
        <v>-6.2733227305295694E-2</v>
      </c>
    </row>
    <row r="75" spans="1:25" x14ac:dyDescent="0.25">
      <c r="A75" s="21">
        <v>63</v>
      </c>
      <c r="C75" s="25">
        <f t="shared" si="19"/>
        <v>6.02</v>
      </c>
      <c r="D75" s="23">
        <f>FishHarvestTimeTrends!AC84*((1+D$10)^MIN($A75,20))</f>
        <v>1.8394017920430983</v>
      </c>
      <c r="E75" s="23">
        <f>FishHarvestTimeTrends!AD84*((1+E$10)^MIN($A75,20))</f>
        <v>0.26297164967790809</v>
      </c>
      <c r="F75" s="23">
        <f t="shared" si="21"/>
        <v>5.8588849395605713</v>
      </c>
      <c r="H75" s="22">
        <f t="shared" si="14"/>
        <v>2.8000000000000001E-2</v>
      </c>
      <c r="I75" s="22"/>
      <c r="J75" s="41"/>
      <c r="K75" s="41">
        <f t="shared" si="6"/>
        <v>9.0740731248525192E-2</v>
      </c>
      <c r="L75" s="41">
        <f t="shared" si="15"/>
        <v>2.7725691639508044E-2</v>
      </c>
      <c r="M75" s="41">
        <f t="shared" si="15"/>
        <v>3.9638272075422547E-3</v>
      </c>
      <c r="N75" s="41">
        <f t="shared" si="6"/>
        <v>8.8312209919717208E-2</v>
      </c>
      <c r="O75" s="41"/>
      <c r="P75" s="41">
        <f t="shared" si="16"/>
        <v>4.2204991278383812E-4</v>
      </c>
      <c r="R75" s="65">
        <f t="shared" si="22"/>
        <v>-3.8896265582789931</v>
      </c>
      <c r="S75" s="65">
        <f t="shared" si="22"/>
        <v>-2.0988564308851889</v>
      </c>
      <c r="T75" s="65">
        <f t="shared" si="22"/>
        <v>-1.1394552077197855</v>
      </c>
      <c r="U75" s="65">
        <f t="shared" si="22"/>
        <v>-0.62230024954907848</v>
      </c>
      <c r="V75" s="65">
        <f t="shared" si="22"/>
        <v>-0.34185416092045157</v>
      </c>
      <c r="W75" s="65">
        <f t="shared" si="22"/>
        <v>-0.18887364623649863</v>
      </c>
      <c r="X75" s="65">
        <f t="shared" si="22"/>
        <v>-0.10494077337042299</v>
      </c>
      <c r="Y75" s="65">
        <f t="shared" si="22"/>
        <v>-5.8629162488691051E-2</v>
      </c>
    </row>
    <row r="76" spans="1:25" x14ac:dyDescent="0.25">
      <c r="A76" s="21">
        <v>64</v>
      </c>
      <c r="C76" s="25">
        <f t="shared" si="19"/>
        <v>6.02</v>
      </c>
      <c r="D76" s="23">
        <f>FishHarvestTimeTrends!AC85*((1+D$10)^MIN($A76,20))</f>
        <v>1.8394031068551058</v>
      </c>
      <c r="E76" s="23">
        <f>FishHarvestTimeTrends!AD85*((1+E$10)^MIN($A76,20))</f>
        <v>0.26297178835721835</v>
      </c>
      <c r="F76" s="23">
        <f t="shared" si="21"/>
        <v>5.8618143820303512</v>
      </c>
      <c r="H76" s="22">
        <f t="shared" si="14"/>
        <v>2.8000000000000001E-2</v>
      </c>
      <c r="I76" s="22"/>
      <c r="J76" s="41"/>
      <c r="K76" s="41">
        <f t="shared" si="6"/>
        <v>8.4804421727593615E-2</v>
      </c>
      <c r="L76" s="41">
        <f t="shared" si="15"/>
        <v>2.5911879867240258E-2</v>
      </c>
      <c r="M76" s="41">
        <f t="shared" si="15"/>
        <v>3.7045133625091429E-3</v>
      </c>
      <c r="N76" s="41">
        <f t="shared" si="6"/>
        <v>8.2576043013716863E-2</v>
      </c>
      <c r="O76" s="41"/>
      <c r="P76" s="41">
        <f t="shared" si="16"/>
        <v>3.9443917082601686E-4</v>
      </c>
      <c r="R76" s="65">
        <f t="shared" si="22"/>
        <v>-3.8896251047876755</v>
      </c>
      <c r="S76" s="65">
        <f t="shared" si="22"/>
        <v>-2.0780748976000649</v>
      </c>
      <c r="T76" s="65">
        <f t="shared" si="22"/>
        <v>-1.1171125312976222</v>
      </c>
      <c r="U76" s="65">
        <f t="shared" si="22"/>
        <v>-0.60417477379166495</v>
      </c>
      <c r="V76" s="65">
        <f t="shared" si="22"/>
        <v>-0.32870580112981918</v>
      </c>
      <c r="W76" s="65">
        <f t="shared" si="22"/>
        <v>-0.17987959586422261</v>
      </c>
      <c r="X76" s="65">
        <f t="shared" si="22"/>
        <v>-9.9000692599747281E-2</v>
      </c>
      <c r="Y76" s="65">
        <f t="shared" si="22"/>
        <v>-5.4793589327018201E-2</v>
      </c>
    </row>
    <row r="77" spans="1:25" x14ac:dyDescent="0.25">
      <c r="A77" s="21">
        <v>65</v>
      </c>
      <c r="C77" s="25">
        <f t="shared" si="19"/>
        <v>6.02</v>
      </c>
      <c r="D77" s="23">
        <f>FishHarvestTimeTrends!AC86*((1+D$10)^MIN($A77,20))</f>
        <v>1.8394044216671133</v>
      </c>
      <c r="E77" s="23">
        <f>FishHarvestTimeTrends!AD86*((1+E$10)^MIN($A77,20))</f>
        <v>0.26297192703652855</v>
      </c>
      <c r="F77" s="23">
        <f t="shared" si="21"/>
        <v>5.8647452892213661</v>
      </c>
      <c r="H77" s="22">
        <f t="shared" si="14"/>
        <v>2.8000000000000001E-2</v>
      </c>
      <c r="I77" s="22"/>
      <c r="J77" s="41"/>
      <c r="K77" s="41">
        <f t="shared" ref="K77:N112" si="23">C77/((1+$M$9)^($A77-1))</f>
        <v>7.9256468904293109E-2</v>
      </c>
      <c r="L77" s="41">
        <f t="shared" si="15"/>
        <v>2.4216727466491499E-2</v>
      </c>
      <c r="M77" s="41">
        <f t="shared" si="15"/>
        <v>3.4621638468227017E-3</v>
      </c>
      <c r="N77" s="41">
        <f t="shared" si="23"/>
        <v>7.7212458911424045E-2</v>
      </c>
      <c r="O77" s="41"/>
      <c r="P77" s="41">
        <f t="shared" si="16"/>
        <v>3.6863473908973544E-4</v>
      </c>
      <c r="R77" s="65">
        <f t="shared" si="22"/>
        <v>-3.8896236512963576</v>
      </c>
      <c r="S77" s="65">
        <f t="shared" si="22"/>
        <v>-2.057499129758789</v>
      </c>
      <c r="T77" s="65">
        <f t="shared" si="22"/>
        <v>-1.0952079547552509</v>
      </c>
      <c r="U77" s="65">
        <f t="shared" si="22"/>
        <v>-0.58657723108846394</v>
      </c>
      <c r="V77" s="65">
        <f t="shared" si="22"/>
        <v>-0.31606315220929382</v>
      </c>
      <c r="W77" s="65">
        <f t="shared" si="22"/>
        <v>-0.17131383680577683</v>
      </c>
      <c r="X77" s="65">
        <f t="shared" si="22"/>
        <v>-9.3396844910147131E-2</v>
      </c>
      <c r="Y77" s="65">
        <f t="shared" si="22"/>
        <v>-5.1208942851889171E-2</v>
      </c>
    </row>
    <row r="78" spans="1:25" x14ac:dyDescent="0.25">
      <c r="A78" s="21">
        <v>66</v>
      </c>
      <c r="C78" s="25">
        <f t="shared" si="19"/>
        <v>6.02</v>
      </c>
      <c r="D78" s="23">
        <f>FishHarvestTimeTrends!AC87*((1+D$10)^MIN($A78,20))</f>
        <v>1.8394057364791205</v>
      </c>
      <c r="E78" s="23">
        <f>FishHarvestTimeTrends!AD87*((1+E$10)^MIN($A78,20))</f>
        <v>0.26297206571583881</v>
      </c>
      <c r="F78" s="23">
        <f t="shared" si="21"/>
        <v>5.8676776618659767</v>
      </c>
      <c r="H78" s="22">
        <f t="shared" si="14"/>
        <v>2.8000000000000001E-2</v>
      </c>
      <c r="I78" s="22"/>
      <c r="J78" s="41"/>
      <c r="K78" s="41">
        <f t="shared" si="23"/>
        <v>7.4071466265694483E-2</v>
      </c>
      <c r="L78" s="41">
        <f t="shared" si="15"/>
        <v>2.2632471753909984E-2</v>
      </c>
      <c r="M78" s="41">
        <f t="shared" si="15"/>
        <v>3.2356688529054404E-3</v>
      </c>
      <c r="N78" s="41">
        <f t="shared" si="23"/>
        <v>7.2197257141009108E-2</v>
      </c>
      <c r="O78" s="41"/>
      <c r="P78" s="41">
        <f t="shared" si="16"/>
        <v>3.4451844774741628E-4</v>
      </c>
      <c r="R78" s="65">
        <f t="shared" ref="R78:Y93" si="24">(($D78/((1+R$10)^$M$7))+$G78+$H78+IF($M$3="Yes",$E78/((1+R$10)^$M$7),0)+IF($M$4="Yes",$F78)-($B78*(1+$M$5))-$C78)/((1+R$10)^($A78-1))</f>
        <v>-3.88962219780504</v>
      </c>
      <c r="S78" s="65">
        <f t="shared" si="24"/>
        <v>-2.0371270900036169</v>
      </c>
      <c r="T78" s="65">
        <f t="shared" si="24"/>
        <v>-1.0737328877384564</v>
      </c>
      <c r="U78" s="65">
        <f t="shared" si="24"/>
        <v>-0.56949224455704661</v>
      </c>
      <c r="V78" s="65">
        <f t="shared" si="24"/>
        <v>-0.3039067635590903</v>
      </c>
      <c r="W78" s="65">
        <f t="shared" si="24"/>
        <v>-0.1631559740842709</v>
      </c>
      <c r="X78" s="65">
        <f t="shared" si="24"/>
        <v>-8.8110198121898006E-2</v>
      </c>
      <c r="Y78" s="65">
        <f t="shared" si="24"/>
        <v>-4.7858807211131643E-2</v>
      </c>
    </row>
    <row r="79" spans="1:25" x14ac:dyDescent="0.25">
      <c r="A79" s="21">
        <v>67</v>
      </c>
      <c r="C79" s="25">
        <f t="shared" si="19"/>
        <v>6.02</v>
      </c>
      <c r="D79" s="23">
        <f>FishHarvestTimeTrends!AC88*((1+D$10)^MIN($A79,20))</f>
        <v>1.839407051291128</v>
      </c>
      <c r="E79" s="23">
        <f>FishHarvestTimeTrends!AD88*((1+E$10)^MIN($A79,20))</f>
        <v>0.26297220439514901</v>
      </c>
      <c r="F79" s="23">
        <f t="shared" si="21"/>
        <v>5.8706115006969091</v>
      </c>
      <c r="H79" s="22">
        <f t="shared" si="14"/>
        <v>2.8000000000000001E-2</v>
      </c>
      <c r="I79" s="22"/>
      <c r="J79" s="41"/>
      <c r="K79" s="41">
        <f t="shared" si="23"/>
        <v>6.9225669407191118E-2</v>
      </c>
      <c r="L79" s="41">
        <f t="shared" si="15"/>
        <v>2.1151857880055792E-2</v>
      </c>
      <c r="M79" s="41">
        <f t="shared" si="15"/>
        <v>3.0239911768669232E-3</v>
      </c>
      <c r="N79" s="41">
        <f t="shared" si="23"/>
        <v>6.7507809130448238E-2</v>
      </c>
      <c r="O79" s="41"/>
      <c r="P79" s="41">
        <f t="shared" si="16"/>
        <v>3.2197985770786568E-4</v>
      </c>
      <c r="R79" s="65">
        <f t="shared" si="24"/>
        <v>-3.8896207443137225</v>
      </c>
      <c r="S79" s="65">
        <f t="shared" si="24"/>
        <v>-2.0169567611494137</v>
      </c>
      <c r="T79" s="65">
        <f t="shared" si="24"/>
        <v>-1.0526789083344872</v>
      </c>
      <c r="U79" s="65">
        <f t="shared" si="24"/>
        <v>-0.55290488519092484</v>
      </c>
      <c r="V79" s="65">
        <f t="shared" si="24"/>
        <v>-0.29221793268640345</v>
      </c>
      <c r="W79" s="65">
        <f t="shared" si="24"/>
        <v>-0.15538658391944865</v>
      </c>
      <c r="X79" s="65">
        <f t="shared" si="24"/>
        <v>-8.3122797355176789E-2</v>
      </c>
      <c r="Y79" s="65">
        <f t="shared" si="24"/>
        <v>-4.4727840492560532E-2</v>
      </c>
    </row>
    <row r="80" spans="1:25" x14ac:dyDescent="0.25">
      <c r="A80" s="21">
        <v>68</v>
      </c>
      <c r="C80" s="25">
        <f t="shared" si="19"/>
        <v>6.02</v>
      </c>
      <c r="D80" s="23">
        <f>FishHarvestTimeTrends!AC89*((1+D$10)^MIN($A80,20))</f>
        <v>1.8394083661031355</v>
      </c>
      <c r="E80" s="23">
        <f>FishHarvestTimeTrends!AD89*((1+E$10)^MIN($A80,20))</f>
        <v>0.26297234307445921</v>
      </c>
      <c r="F80" s="23">
        <f t="shared" si="21"/>
        <v>5.8735468064472576</v>
      </c>
      <c r="H80" s="22">
        <f t="shared" si="14"/>
        <v>2.8000000000000001E-2</v>
      </c>
      <c r="I80" s="22"/>
      <c r="J80" s="41"/>
      <c r="K80" s="41">
        <f t="shared" si="23"/>
        <v>6.4696887296440297E-2</v>
      </c>
      <c r="L80" s="41">
        <f t="shared" si="15"/>
        <v>1.9768105606960788E-2</v>
      </c>
      <c r="M80" s="41">
        <f t="shared" si="15"/>
        <v>2.8261614687656346E-3</v>
      </c>
      <c r="N80" s="41">
        <f t="shared" si="23"/>
        <v>6.3122956107489206E-2</v>
      </c>
      <c r="O80" s="41"/>
      <c r="P80" s="41">
        <f t="shared" si="16"/>
        <v>3.0091575486716418E-4</v>
      </c>
      <c r="R80" s="65">
        <f t="shared" si="24"/>
        <v>-3.889619290822405</v>
      </c>
      <c r="S80" s="65">
        <f t="shared" si="24"/>
        <v>-1.9969861459839227</v>
      </c>
      <c r="T80" s="65">
        <f t="shared" si="24"/>
        <v>-1.0320377597692207</v>
      </c>
      <c r="U80" s="65">
        <f t="shared" si="24"/>
        <v>-0.53680065881445793</v>
      </c>
      <c r="V80" s="65">
        <f t="shared" si="24"/>
        <v>-0.28097867643179447</v>
      </c>
      <c r="W80" s="65">
        <f t="shared" si="24"/>
        <v>-0.14798716747988319</v>
      </c>
      <c r="X80" s="65">
        <f t="shared" si="24"/>
        <v>-7.8417704050442127E-2</v>
      </c>
      <c r="Y80" s="65">
        <f t="shared" si="24"/>
        <v>-4.1801704465846704E-2</v>
      </c>
    </row>
    <row r="81" spans="1:25" x14ac:dyDescent="0.25">
      <c r="A81" s="21">
        <v>69</v>
      </c>
      <c r="C81" s="25">
        <f t="shared" si="19"/>
        <v>6.02</v>
      </c>
      <c r="D81" s="23">
        <f>FishHarvestTimeTrends!AC90*((1+D$10)^MIN($A81,20))</f>
        <v>1.8394096809151428</v>
      </c>
      <c r="E81" s="23">
        <f>FishHarvestTimeTrends!AD90*((1+E$10)^MIN($A81,20))</f>
        <v>0.26297248175376947</v>
      </c>
      <c r="F81" s="23">
        <f t="shared" si="21"/>
        <v>5.8764835798504809</v>
      </c>
      <c r="H81" s="22">
        <f t="shared" si="14"/>
        <v>2.8000000000000001E-2</v>
      </c>
      <c r="I81" s="22"/>
      <c r="J81" s="41"/>
      <c r="K81" s="41">
        <f t="shared" si="23"/>
        <v>6.046438065087878E-2</v>
      </c>
      <c r="L81" s="41">
        <f t="shared" si="15"/>
        <v>1.8474878259097122E-2</v>
      </c>
      <c r="M81" s="41">
        <f t="shared" si="15"/>
        <v>2.6412737935990354E-3</v>
      </c>
      <c r="N81" s="41">
        <f t="shared" si="23"/>
        <v>5.9022913631348553E-2</v>
      </c>
      <c r="O81" s="41"/>
      <c r="P81" s="41">
        <f t="shared" si="16"/>
        <v>2.8122967744594784E-4</v>
      </c>
      <c r="R81" s="65">
        <f t="shared" si="24"/>
        <v>-3.8896178373310875</v>
      </c>
      <c r="S81" s="65">
        <f t="shared" si="24"/>
        <v>-1.9772132670700022</v>
      </c>
      <c r="T81" s="65">
        <f t="shared" si="24"/>
        <v>-1.0118013471690916</v>
      </c>
      <c r="U81" s="65">
        <f t="shared" si="24"/>
        <v>-0.52116549341771945</v>
      </c>
      <c r="V81" s="65">
        <f t="shared" si="24"/>
        <v>-0.27017170330226425</v>
      </c>
      <c r="W81" s="65">
        <f t="shared" si="24"/>
        <v>-0.14094010683746583</v>
      </c>
      <c r="X81" s="65">
        <f t="shared" si="24"/>
        <v>-7.397893844051312E-2</v>
      </c>
      <c r="Y81" s="65">
        <f t="shared" si="24"/>
        <v>-3.9066998920736673E-2</v>
      </c>
    </row>
    <row r="82" spans="1:25" x14ac:dyDescent="0.25">
      <c r="A82" s="21">
        <v>70</v>
      </c>
      <c r="C82" s="25">
        <f t="shared" si="19"/>
        <v>6.02</v>
      </c>
      <c r="D82" s="23">
        <f>FishHarvestTimeTrends!AC91*((1+D$10)^MIN($A82,20))</f>
        <v>1.8394109957271503</v>
      </c>
      <c r="E82" s="23">
        <f>FishHarvestTimeTrends!AD91*((1+E$10)^MIN($A82,20))</f>
        <v>0.26297262043307967</v>
      </c>
      <c r="F82" s="23">
        <f t="shared" si="21"/>
        <v>5.8794218216404062</v>
      </c>
      <c r="H82" s="22">
        <f t="shared" si="14"/>
        <v>2.8000000000000001E-2</v>
      </c>
      <c r="I82" s="22"/>
      <c r="J82" s="41"/>
      <c r="K82" s="41">
        <f t="shared" si="23"/>
        <v>5.6508766963438109E-2</v>
      </c>
      <c r="L82" s="41">
        <f t="shared" si="15"/>
        <v>1.7266253705569966E-2</v>
      </c>
      <c r="M82" s="41">
        <f t="shared" si="15"/>
        <v>2.4684814826939471E-3</v>
      </c>
      <c r="N82" s="41">
        <f t="shared" si="23"/>
        <v>5.5189182325387123E-2</v>
      </c>
      <c r="O82" s="41"/>
      <c r="P82" s="41">
        <f t="shared" si="16"/>
        <v>2.6283147424854933E-4</v>
      </c>
      <c r="R82" s="65">
        <f t="shared" si="24"/>
        <v>-3.8896163838397695</v>
      </c>
      <c r="S82" s="65">
        <f t="shared" si="24"/>
        <v>-1.9576361665498305</v>
      </c>
      <c r="T82" s="65">
        <f t="shared" si="24"/>
        <v>-0.99196173438651125</v>
      </c>
      <c r="U82" s="65">
        <f t="shared" si="24"/>
        <v>-0.50598572686025456</v>
      </c>
      <c r="V82" s="65">
        <f t="shared" si="24"/>
        <v>-0.25978038686844968</v>
      </c>
      <c r="W82" s="65">
        <f t="shared" si="24"/>
        <v>-0.13422862301931521</v>
      </c>
      <c r="X82" s="65">
        <f t="shared" si="24"/>
        <v>-6.9791425278965522E-2</v>
      </c>
      <c r="Y82" s="65">
        <f t="shared" si="24"/>
        <v>-3.6511200300925646E-2</v>
      </c>
    </row>
    <row r="83" spans="1:25" x14ac:dyDescent="0.25">
      <c r="A83" s="21">
        <v>71</v>
      </c>
      <c r="C83" s="25">
        <f t="shared" si="19"/>
        <v>6.02</v>
      </c>
      <c r="D83" s="23">
        <f>FishHarvestTimeTrends!AC92*((1+D$10)^MIN($A83,20))</f>
        <v>1.8394123105391578</v>
      </c>
      <c r="E83" s="23">
        <f>FishHarvestTimeTrends!AD92*((1+E$10)^MIN($A83,20))</f>
        <v>0.26297275911238988</v>
      </c>
      <c r="F83" s="23">
        <f t="shared" si="21"/>
        <v>5.8823615325512257</v>
      </c>
      <c r="H83" s="22">
        <f t="shared" si="14"/>
        <v>2.8000000000000001E-2</v>
      </c>
      <c r="I83" s="22"/>
      <c r="J83" s="41"/>
      <c r="K83" s="41">
        <f t="shared" si="23"/>
        <v>5.281193174153094E-2</v>
      </c>
      <c r="L83" s="41">
        <f t="shared" si="15"/>
        <v>1.6136697240652115E-2</v>
      </c>
      <c r="M83" s="41">
        <f t="shared" si="15"/>
        <v>2.3069932564992682E-3</v>
      </c>
      <c r="N83" s="41">
        <f t="shared" si="23"/>
        <v>5.1604464407990484E-2</v>
      </c>
      <c r="O83" s="41"/>
      <c r="P83" s="41">
        <f t="shared" si="16"/>
        <v>2.4563689182107416E-4</v>
      </c>
      <c r="R83" s="65">
        <f t="shared" si="24"/>
        <v>-3.889614930348452</v>
      </c>
      <c r="S83" s="65">
        <f t="shared" si="24"/>
        <v>-1.9382529059510392</v>
      </c>
      <c r="T83" s="65">
        <f t="shared" si="24"/>
        <v>-0.97251114088753488</v>
      </c>
      <c r="U83" s="65">
        <f t="shared" si="24"/>
        <v>-0.49124809493298616</v>
      </c>
      <c r="V83" s="65">
        <f t="shared" si="24"/>
        <v>-0.24978874018501396</v>
      </c>
      <c r="W83" s="65">
        <f t="shared" si="24"/>
        <v>-0.12783673605723006</v>
      </c>
      <c r="X83" s="65">
        <f t="shared" si="24"/>
        <v>-6.5840942640524924E-2</v>
      </c>
      <c r="Y83" s="65">
        <f t="shared" si="24"/>
        <v>-3.412260435255849E-2</v>
      </c>
    </row>
    <row r="84" spans="1:25" x14ac:dyDescent="0.25">
      <c r="A84" s="21">
        <v>72</v>
      </c>
      <c r="C84" s="25">
        <f t="shared" si="19"/>
        <v>6.02</v>
      </c>
      <c r="D84" s="23">
        <f>FishHarvestTimeTrends!AC93*((1+D$10)^MIN($A84,20))</f>
        <v>1.839413625351165</v>
      </c>
      <c r="E84" s="23">
        <f>FishHarvestTimeTrends!AD93*((1+E$10)^MIN($A84,20))</f>
        <v>0.26297289779170013</v>
      </c>
      <c r="F84" s="23">
        <f t="shared" si="21"/>
        <v>5.8853027133175013</v>
      </c>
      <c r="H84" s="22">
        <f t="shared" si="14"/>
        <v>2.8000000000000001E-2</v>
      </c>
      <c r="I84" s="22"/>
      <c r="J84" s="41"/>
      <c r="K84" s="41">
        <f t="shared" si="23"/>
        <v>4.9356945552832654E-2</v>
      </c>
      <c r="L84" s="41">
        <f t="shared" si="15"/>
        <v>1.5081036238471094E-2</v>
      </c>
      <c r="M84" s="41">
        <f t="shared" si="15"/>
        <v>2.1560696010258424E-3</v>
      </c>
      <c r="N84" s="41">
        <f t="shared" si="23"/>
        <v>4.8252585645041569E-2</v>
      </c>
      <c r="O84" s="41"/>
      <c r="P84" s="41">
        <f t="shared" si="16"/>
        <v>2.2956718861782632E-4</v>
      </c>
      <c r="R84" s="65">
        <f t="shared" si="24"/>
        <v>-3.8896134768571344</v>
      </c>
      <c r="S84" s="65">
        <f t="shared" si="24"/>
        <v>-1.919061565994775</v>
      </c>
      <c r="T84" s="65">
        <f t="shared" si="24"/>
        <v>-0.9534419387005576</v>
      </c>
      <c r="U84" s="65">
        <f t="shared" si="24"/>
        <v>-0.47693971976783567</v>
      </c>
      <c r="V84" s="65">
        <f t="shared" si="24"/>
        <v>-0.24018139119487741</v>
      </c>
      <c r="W84" s="65">
        <f t="shared" si="24"/>
        <v>-0.12174922693956272</v>
      </c>
      <c r="X84" s="65">
        <f t="shared" si="24"/>
        <v>-6.2114073619568631E-2</v>
      </c>
      <c r="Y84" s="65">
        <f t="shared" si="24"/>
        <v>-3.1890272524717891E-2</v>
      </c>
    </row>
    <row r="85" spans="1:25" x14ac:dyDescent="0.25">
      <c r="A85" s="21">
        <v>73</v>
      </c>
      <c r="C85" s="25">
        <f t="shared" si="19"/>
        <v>6.02</v>
      </c>
      <c r="D85" s="23">
        <f>FishHarvestTimeTrends!AC94*((1+D$10)^MIN($A85,20))</f>
        <v>1.8394149401631723</v>
      </c>
      <c r="E85" s="23">
        <f>FishHarvestTimeTrends!AD94*((1+E$10)^MIN($A85,20))</f>
        <v>0.26297303647101039</v>
      </c>
      <c r="F85" s="23">
        <f t="shared" si="21"/>
        <v>5.8882453646741597</v>
      </c>
      <c r="H85" s="22">
        <f t="shared" ref="H85:H112" si="25">B$8</f>
        <v>2.8000000000000001E-2</v>
      </c>
      <c r="I85" s="22"/>
      <c r="J85" s="41"/>
      <c r="K85" s="41">
        <f t="shared" si="23"/>
        <v>4.6127986497974442E-2</v>
      </c>
      <c r="L85" s="41">
        <f t="shared" si="15"/>
        <v>1.4094436465783934E-2</v>
      </c>
      <c r="M85" s="41">
        <f t="shared" si="15"/>
        <v>2.0150193813398853E-3</v>
      </c>
      <c r="N85" s="41">
        <f t="shared" si="23"/>
        <v>4.5118422371835588E-2</v>
      </c>
      <c r="O85" s="41"/>
      <c r="P85" s="41">
        <f t="shared" si="16"/>
        <v>2.1454877440918349E-4</v>
      </c>
      <c r="R85" s="65">
        <f t="shared" si="24"/>
        <v>-3.8896120233658169</v>
      </c>
      <c r="S85" s="65">
        <f t="shared" si="24"/>
        <v>-1.9000602464056511</v>
      </c>
      <c r="T85" s="65">
        <f t="shared" si="24"/>
        <v>-0.93474664942483887</v>
      </c>
      <c r="U85" s="65">
        <f t="shared" si="24"/>
        <v>-0.46304809858493301</v>
      </c>
      <c r="V85" s="65">
        <f t="shared" si="24"/>
        <v>-0.23094355907944802</v>
      </c>
      <c r="W85" s="65">
        <f t="shared" si="24"/>
        <v>-0.11595160137492215</v>
      </c>
      <c r="X85" s="65">
        <f t="shared" si="24"/>
        <v>-5.8598160762691871E-2</v>
      </c>
      <c r="Y85" s="65">
        <f t="shared" si="24"/>
        <v>-2.980398187644144E-2</v>
      </c>
    </row>
    <row r="86" spans="1:25" x14ac:dyDescent="0.25">
      <c r="A86" s="21">
        <v>74</v>
      </c>
      <c r="C86" s="25">
        <f t="shared" si="19"/>
        <v>6.02</v>
      </c>
      <c r="D86" s="23">
        <f>FishHarvestTimeTrends!AC95*((1+D$10)^MIN($A86,20))</f>
        <v>1.83941625497518</v>
      </c>
      <c r="E86" s="23">
        <f>FishHarvestTimeTrends!AD95*((1+E$10)^MIN($A86,20))</f>
        <v>0.26297317515032054</v>
      </c>
      <c r="F86" s="23">
        <f t="shared" si="21"/>
        <v>5.8911894873564963</v>
      </c>
      <c r="H86" s="22">
        <f t="shared" si="25"/>
        <v>2.8000000000000001E-2</v>
      </c>
      <c r="I86" s="22"/>
      <c r="J86" s="41"/>
      <c r="K86" s="41">
        <f t="shared" si="23"/>
        <v>4.3110267755116297E-2</v>
      </c>
      <c r="L86" s="41">
        <f t="shared" si="15"/>
        <v>1.3172379944367655E-2</v>
      </c>
      <c r="M86" s="41">
        <f t="shared" si="15"/>
        <v>1.8831966766018962E-3</v>
      </c>
      <c r="N86" s="41">
        <f t="shared" si="23"/>
        <v>4.2187833255160283E-2</v>
      </c>
      <c r="O86" s="41"/>
      <c r="P86" s="41">
        <f t="shared" si="16"/>
        <v>2.005128732796107E-4</v>
      </c>
      <c r="R86" s="65">
        <f t="shared" si="24"/>
        <v>-3.8896105698744989</v>
      </c>
      <c r="S86" s="65">
        <f t="shared" si="24"/>
        <v>-1.8812470657235965</v>
      </c>
      <c r="T86" s="65">
        <f t="shared" si="24"/>
        <v>-0.91641794129768728</v>
      </c>
      <c r="U86" s="65">
        <f t="shared" si="24"/>
        <v>-0.44956109276758055</v>
      </c>
      <c r="V86" s="65">
        <f t="shared" si="24"/>
        <v>-0.22206103151846751</v>
      </c>
      <c r="W86" s="65">
        <f t="shared" si="24"/>
        <v>-0.11043005528142746</v>
      </c>
      <c r="X86" s="65">
        <f t="shared" si="24"/>
        <v>-5.528126308057861E-2</v>
      </c>
      <c r="Y86" s="65">
        <f t="shared" si="24"/>
        <v>-2.7854178260867134E-2</v>
      </c>
    </row>
    <row r="87" spans="1:25" x14ac:dyDescent="0.25">
      <c r="A87" s="21">
        <v>75</v>
      </c>
      <c r="C87" s="25">
        <f t="shared" si="19"/>
        <v>6.02</v>
      </c>
      <c r="D87" s="23">
        <f>FishHarvestTimeTrends!AC96*((1+D$10)^MIN($A87,20))</f>
        <v>1.8394175697871873</v>
      </c>
      <c r="E87" s="23">
        <f>FishHarvestTimeTrends!AD96*((1+E$10)^MIN($A87,20))</f>
        <v>0.26297331382963085</v>
      </c>
      <c r="F87" s="23">
        <f t="shared" si="21"/>
        <v>5.8941350821001741</v>
      </c>
      <c r="H87" s="22">
        <f t="shared" si="25"/>
        <v>2.8000000000000001E-2</v>
      </c>
      <c r="I87" s="22"/>
      <c r="J87" s="41"/>
      <c r="K87" s="41">
        <f t="shared" si="23"/>
        <v>4.0289969864594675E-2</v>
      </c>
      <c r="L87" s="41">
        <f t="shared" si="15"/>
        <v>1.2310644261649793E-2</v>
      </c>
      <c r="M87" s="41">
        <f t="shared" si="15"/>
        <v>1.7599978221575457E-3</v>
      </c>
      <c r="N87" s="41">
        <f t="shared" si="23"/>
        <v>3.9447595487652205E-2</v>
      </c>
      <c r="O87" s="41"/>
      <c r="P87" s="41">
        <f t="shared" si="16"/>
        <v>1.8739520867253339E-4</v>
      </c>
      <c r="R87" s="65">
        <f t="shared" si="24"/>
        <v>-3.8896091163831814</v>
      </c>
      <c r="S87" s="65">
        <f t="shared" si="24"/>
        <v>-1.862620161117551</v>
      </c>
      <c r="T87" s="65">
        <f t="shared" si="24"/>
        <v>-0.89844862631914946</v>
      </c>
      <c r="U87" s="65">
        <f t="shared" si="24"/>
        <v>-0.43646691725542747</v>
      </c>
      <c r="V87" s="65">
        <f t="shared" si="24"/>
        <v>-0.21352014282448634</v>
      </c>
      <c r="W87" s="65">
        <f t="shared" si="24"/>
        <v>-0.1051714419193429</v>
      </c>
      <c r="X87" s="65">
        <f t="shared" si="24"/>
        <v>-5.2152115493177983E-2</v>
      </c>
      <c r="Y87" s="65">
        <f t="shared" si="24"/>
        <v>-2.6031932572114801E-2</v>
      </c>
    </row>
    <row r="88" spans="1:25" x14ac:dyDescent="0.25">
      <c r="A88" s="21">
        <v>76</v>
      </c>
      <c r="C88" s="25">
        <f t="shared" si="19"/>
        <v>6.02</v>
      </c>
      <c r="D88" s="23">
        <f>FishHarvestTimeTrends!AC97*((1+D$10)^MIN($A88,20))</f>
        <v>1.8394188845991946</v>
      </c>
      <c r="E88" s="23">
        <f>FishHarvestTimeTrends!AD97*((1+E$10)^MIN($A88,20))</f>
        <v>0.262973452508941</v>
      </c>
      <c r="F88" s="23">
        <f t="shared" si="21"/>
        <v>5.897082149641224</v>
      </c>
      <c r="H88" s="22">
        <f t="shared" si="25"/>
        <v>2.8000000000000001E-2</v>
      </c>
      <c r="I88" s="22"/>
      <c r="J88" s="41"/>
      <c r="K88" s="41">
        <f t="shared" si="23"/>
        <v>3.7654177443546419E-2</v>
      </c>
      <c r="L88" s="41">
        <f t="shared" ref="L88:M112" si="26">D88/((1+$M$9)^(($A88+$M$7)-1))</f>
        <v>1.1505283234835267E-2</v>
      </c>
      <c r="M88" s="41">
        <f t="shared" si="26"/>
        <v>1.6448586451351648E-3</v>
      </c>
      <c r="N88" s="41">
        <f t="shared" si="23"/>
        <v>3.6885345126538342E-2</v>
      </c>
      <c r="O88" s="41"/>
      <c r="P88" s="41">
        <f t="shared" si="16"/>
        <v>1.751357090397508E-4</v>
      </c>
      <c r="R88" s="65">
        <f t="shared" si="24"/>
        <v>-3.8896076628918639</v>
      </c>
      <c r="S88" s="65">
        <f t="shared" si="24"/>
        <v>-1.8441776882010166</v>
      </c>
      <c r="T88" s="65">
        <f t="shared" si="24"/>
        <v>-0.88083165743308134</v>
      </c>
      <c r="U88" s="65">
        <f t="shared" si="24"/>
        <v>-0.42375413024658309</v>
      </c>
      <c r="V88" s="65">
        <f t="shared" si="24"/>
        <v>-0.20530775291832853</v>
      </c>
      <c r="W88" s="65">
        <f t="shared" si="24"/>
        <v>-0.10016324058883681</v>
      </c>
      <c r="X88" s="65">
        <f t="shared" si="24"/>
        <v>-4.9200090570450966E-2</v>
      </c>
      <c r="Y88" s="65">
        <f t="shared" si="24"/>
        <v>-2.4328899854536234E-2</v>
      </c>
    </row>
    <row r="89" spans="1:25" x14ac:dyDescent="0.25">
      <c r="A89" s="21">
        <v>77</v>
      </c>
      <c r="C89" s="25">
        <f t="shared" si="19"/>
        <v>6.02</v>
      </c>
      <c r="D89" s="23">
        <f>FishHarvestTimeTrends!AC98*((1+D$10)^MIN($A89,20))</f>
        <v>1.8394201994112023</v>
      </c>
      <c r="E89" s="23">
        <f>FishHarvestTimeTrends!AD98*((1+E$10)^MIN($A89,20))</f>
        <v>0.26297359118825125</v>
      </c>
      <c r="F89" s="23">
        <f t="shared" si="21"/>
        <v>5.9000306907160445</v>
      </c>
      <c r="H89" s="22">
        <f t="shared" si="25"/>
        <v>2.8000000000000001E-2</v>
      </c>
      <c r="I89" s="22"/>
      <c r="J89" s="41"/>
      <c r="K89" s="41">
        <f t="shared" si="23"/>
        <v>3.5190820040697596E-2</v>
      </c>
      <c r="L89" s="41">
        <f t="shared" si="26"/>
        <v>1.0752608839984005E-2</v>
      </c>
      <c r="M89" s="41">
        <f t="shared" si="26"/>
        <v>1.5372518808906526E-3</v>
      </c>
      <c r="N89" s="41">
        <f t="shared" si="23"/>
        <v>3.4489521307571602E-2</v>
      </c>
      <c r="O89" s="41"/>
      <c r="P89" s="41">
        <f t="shared" si="16"/>
        <v>1.6367823274743068E-4</v>
      </c>
      <c r="R89" s="65">
        <f t="shared" si="24"/>
        <v>-3.8896062094005459</v>
      </c>
      <c r="S89" s="65">
        <f t="shared" si="24"/>
        <v>-1.8259178208494284</v>
      </c>
      <c r="T89" s="65">
        <f t="shared" si="24"/>
        <v>-0.86356012576349095</v>
      </c>
      <c r="U89" s="65">
        <f t="shared" si="24"/>
        <v>-0.41141162319967362</v>
      </c>
      <c r="V89" s="65">
        <f t="shared" si="24"/>
        <v>-0.19741122711319983</v>
      </c>
      <c r="W89" s="65">
        <f t="shared" si="24"/>
        <v>-9.5393526818335087E-2</v>
      </c>
      <c r="X89" s="65">
        <f t="shared" si="24"/>
        <v>-4.6415162438748728E-2</v>
      </c>
      <c r="Y89" s="65">
        <f t="shared" si="24"/>
        <v>-2.2737281087075505E-2</v>
      </c>
    </row>
    <row r="90" spans="1:25" x14ac:dyDescent="0.25">
      <c r="A90" s="21">
        <v>78</v>
      </c>
      <c r="C90" s="25">
        <f t="shared" si="19"/>
        <v>6.02</v>
      </c>
      <c r="D90" s="23">
        <f>FishHarvestTimeTrends!AC99*((1+D$10)^MIN($A90,20))</f>
        <v>1.8394215142232098</v>
      </c>
      <c r="E90" s="23">
        <f>FishHarvestTimeTrends!AD99*((1+E$10)^MIN($A90,20))</f>
        <v>0.26297372986756146</v>
      </c>
      <c r="F90" s="23">
        <f t="shared" si="21"/>
        <v>5.9029807060614026</v>
      </c>
      <c r="H90" s="22">
        <f t="shared" si="25"/>
        <v>2.8000000000000001E-2</v>
      </c>
      <c r="I90" s="22"/>
      <c r="J90" s="41"/>
      <c r="K90" s="41">
        <f t="shared" si="23"/>
        <v>3.2888616860465035E-2</v>
      </c>
      <c r="L90" s="41">
        <f t="shared" si="26"/>
        <v>1.004917432328631E-2</v>
      </c>
      <c r="M90" s="41">
        <f t="shared" si="26"/>
        <v>1.4366847584687144E-3</v>
      </c>
      <c r="N90" s="41">
        <f t="shared" si="23"/>
        <v>3.2249314082453635E-2</v>
      </c>
      <c r="O90" s="41"/>
      <c r="P90" s="41">
        <f t="shared" si="16"/>
        <v>1.5297031097890717E-4</v>
      </c>
      <c r="R90" s="65">
        <f t="shared" si="24"/>
        <v>-3.8896047559092284</v>
      </c>
      <c r="S90" s="65">
        <f t="shared" si="24"/>
        <v>-1.8078387510193403</v>
      </c>
      <c r="T90" s="65">
        <f t="shared" si="24"/>
        <v>-0.84662725790507554</v>
      </c>
      <c r="U90" s="65">
        <f t="shared" si="24"/>
        <v>-0.39942861112710393</v>
      </c>
      <c r="V90" s="65">
        <f t="shared" si="24"/>
        <v>-0.18981841667633795</v>
      </c>
      <c r="W90" s="65">
        <f t="shared" si="24"/>
        <v>-9.0850943972486942E-2</v>
      </c>
      <c r="X90" s="65">
        <f t="shared" si="24"/>
        <v>-4.3787872730238819E-2</v>
      </c>
      <c r="Y90" s="65">
        <f t="shared" si="24"/>
        <v>-2.1249787467731106E-2</v>
      </c>
    </row>
    <row r="91" spans="1:25" x14ac:dyDescent="0.25">
      <c r="A91" s="21">
        <v>79</v>
      </c>
      <c r="C91" s="25">
        <f t="shared" si="19"/>
        <v>6.02</v>
      </c>
      <c r="D91" s="23">
        <f>FishHarvestTimeTrends!AC100*((1+D$10)^MIN($A91,20))</f>
        <v>1.8394228290352168</v>
      </c>
      <c r="E91" s="23">
        <f>FishHarvestTimeTrends!AD100*((1+E$10)^MIN($A91,20))</f>
        <v>0.26297386854687171</v>
      </c>
      <c r="F91" s="23">
        <f t="shared" si="21"/>
        <v>5.9059321964144331</v>
      </c>
      <c r="H91" s="22">
        <f t="shared" si="25"/>
        <v>2.8000000000000001E-2</v>
      </c>
      <c r="I91" s="22"/>
      <c r="J91" s="41"/>
      <c r="K91" s="41">
        <f t="shared" si="23"/>
        <v>3.0737025103238357E-2</v>
      </c>
      <c r="L91" s="41">
        <f t="shared" si="26"/>
        <v>9.3917584171968743E-3</v>
      </c>
      <c r="M91" s="41">
        <f t="shared" si="26"/>
        <v>1.3426967440234054E-3</v>
      </c>
      <c r="N91" s="41">
        <f t="shared" si="23"/>
        <v>3.0154615644387723E-2</v>
      </c>
      <c r="O91" s="41"/>
      <c r="P91" s="41">
        <f t="shared" si="16"/>
        <v>1.429629074569226E-4</v>
      </c>
      <c r="R91" s="65">
        <f t="shared" si="24"/>
        <v>-3.8896033024179109</v>
      </c>
      <c r="S91" s="65">
        <f t="shared" si="24"/>
        <v>-1.789938688569394</v>
      </c>
      <c r="T91" s="65">
        <f t="shared" si="24"/>
        <v>-0.83002641326688109</v>
      </c>
      <c r="U91" s="65">
        <f t="shared" si="24"/>
        <v>-0.3877946231710438</v>
      </c>
      <c r="V91" s="65">
        <f t="shared" si="24"/>
        <v>-0.18251764013829799</v>
      </c>
      <c r="W91" s="65">
        <f t="shared" si="24"/>
        <v>-8.6524676212142881E-2</v>
      </c>
      <c r="X91" s="65">
        <f t="shared" si="24"/>
        <v>-4.1309298459734405E-2</v>
      </c>
      <c r="Y91" s="65">
        <f t="shared" si="24"/>
        <v>-1.9859607034561154E-2</v>
      </c>
    </row>
    <row r="92" spans="1:25" x14ac:dyDescent="0.25">
      <c r="A92" s="21">
        <v>80</v>
      </c>
      <c r="C92" s="25">
        <f t="shared" si="19"/>
        <v>6.02</v>
      </c>
      <c r="D92" s="23">
        <f>FishHarvestTimeTrends!AC101*((1+D$10)^MIN($A92,20))</f>
        <v>1.8394241438472243</v>
      </c>
      <c r="E92" s="23">
        <f>FishHarvestTimeTrends!AD101*((1+E$10)^MIN($A92,20))</f>
        <v>0.26297400722618192</v>
      </c>
      <c r="F92" s="23">
        <f t="shared" si="21"/>
        <v>5.9088851625126404</v>
      </c>
      <c r="H92" s="22">
        <f t="shared" si="25"/>
        <v>2.8000000000000001E-2</v>
      </c>
      <c r="I92" s="22"/>
      <c r="J92" s="41"/>
      <c r="K92" s="41">
        <f t="shared" si="23"/>
        <v>2.8726191685269489E-2</v>
      </c>
      <c r="L92" s="41">
        <f t="shared" si="26"/>
        <v>8.7773505891475222E-3</v>
      </c>
      <c r="M92" s="41">
        <f t="shared" si="26"/>
        <v>1.2548574318642434E-3</v>
      </c>
      <c r="N92" s="41">
        <f t="shared" si="23"/>
        <v>2.8195974721691507E-2</v>
      </c>
      <c r="O92" s="41"/>
      <c r="P92" s="41">
        <f t="shared" si="16"/>
        <v>1.3361019388497439E-4</v>
      </c>
      <c r="R92" s="65">
        <f t="shared" si="24"/>
        <v>-3.8896018489265933</v>
      </c>
      <c r="S92" s="65">
        <f t="shared" si="24"/>
        <v>-1.7722158610830667</v>
      </c>
      <c r="T92" s="65">
        <f t="shared" si="24"/>
        <v>-0.81375108146805275</v>
      </c>
      <c r="U92" s="65">
        <f t="shared" si="24"/>
        <v>-0.37649949345390366</v>
      </c>
      <c r="V92" s="65">
        <f t="shared" si="24"/>
        <v>-0.17549766532111863</v>
      </c>
      <c r="W92" s="65">
        <f t="shared" si="24"/>
        <v>-8.2404422741961955E-2</v>
      </c>
      <c r="X92" s="65">
        <f t="shared" si="24"/>
        <v>-3.8971021719827435E-2</v>
      </c>
      <c r="Y92" s="65">
        <f t="shared" si="24"/>
        <v>-1.8560373470372749E-2</v>
      </c>
    </row>
    <row r="93" spans="1:25" x14ac:dyDescent="0.25">
      <c r="A93" s="21">
        <v>81</v>
      </c>
      <c r="C93" s="25">
        <f t="shared" si="19"/>
        <v>6.02</v>
      </c>
      <c r="D93" s="23">
        <f>FishHarvestTimeTrends!AC102*((1+D$10)^MIN($A93,20))</f>
        <v>1.8394254586592318</v>
      </c>
      <c r="E93" s="23">
        <f>FishHarvestTimeTrends!AD102*((1+E$10)^MIN($A93,20))</f>
        <v>0.26297414590549217</v>
      </c>
      <c r="F93" s="23">
        <f t="shared" si="21"/>
        <v>5.9118396050938964</v>
      </c>
      <c r="H93" s="22">
        <f t="shared" si="25"/>
        <v>2.8000000000000001E-2</v>
      </c>
      <c r="I93" s="22"/>
      <c r="J93" s="41"/>
      <c r="K93" s="41">
        <f t="shared" si="23"/>
        <v>2.6846908117074294E-2</v>
      </c>
      <c r="L93" s="41">
        <f t="shared" si="26"/>
        <v>8.2031372552876479E-3</v>
      </c>
      <c r="M93" s="41">
        <f t="shared" si="26"/>
        <v>1.1727645734702387E-3</v>
      </c>
      <c r="N93" s="41">
        <f t="shared" si="23"/>
        <v>2.6364553933693791E-2</v>
      </c>
      <c r="O93" s="41"/>
      <c r="P93" s="41">
        <f t="shared" si="16"/>
        <v>1.2486934007941531E-4</v>
      </c>
      <c r="R93" s="65">
        <f t="shared" si="24"/>
        <v>-3.8896003954352754</v>
      </c>
      <c r="S93" s="65">
        <f t="shared" si="24"/>
        <v>-1.7546685136931668</v>
      </c>
      <c r="T93" s="65">
        <f t="shared" si="24"/>
        <v>-0.79779487978464636</v>
      </c>
      <c r="U93" s="65">
        <f t="shared" si="24"/>
        <v>-0.36553335219530381</v>
      </c>
      <c r="V93" s="65">
        <f t="shared" si="24"/>
        <v>-0.16874769205771881</v>
      </c>
      <c r="W93" s="65">
        <f t="shared" si="24"/>
        <v>-7.8480373284333105E-2</v>
      </c>
      <c r="X93" s="65">
        <f t="shared" si="24"/>
        <v>-3.6765101091402429E-2</v>
      </c>
      <c r="Y93" s="65">
        <f t="shared" si="24"/>
        <v>-1.7346136948236991E-2</v>
      </c>
    </row>
    <row r="94" spans="1:25" x14ac:dyDescent="0.25">
      <c r="A94" s="21">
        <v>82</v>
      </c>
      <c r="C94" s="25">
        <f t="shared" si="19"/>
        <v>6.02</v>
      </c>
      <c r="D94" s="23">
        <f>FishHarvestTimeTrends!AC103*((1+D$10)^MIN($A94,20))</f>
        <v>1.8394267734712393</v>
      </c>
      <c r="E94" s="23">
        <f>FishHarvestTimeTrends!AD103*((1+E$10)^MIN($A94,20))</f>
        <v>0.26297428458480238</v>
      </c>
      <c r="F94" s="23">
        <f t="shared" si="21"/>
        <v>5.9147955248964434</v>
      </c>
      <c r="H94" s="22">
        <f t="shared" si="25"/>
        <v>2.8000000000000001E-2</v>
      </c>
      <c r="I94" s="22"/>
      <c r="J94" s="41"/>
      <c r="K94" s="41">
        <f t="shared" si="23"/>
        <v>2.5090568333714293E-2</v>
      </c>
      <c r="L94" s="41">
        <f t="shared" si="26"/>
        <v>7.6664888961202214E-3</v>
      </c>
      <c r="M94" s="41">
        <f t="shared" si="26"/>
        <v>1.096042235445949E-3</v>
      </c>
      <c r="N94" s="41">
        <f t="shared" si="23"/>
        <v>2.465208991650527E-2</v>
      </c>
      <c r="O94" s="41"/>
      <c r="P94" s="41">
        <f t="shared" ref="P94:P112" si="27">H94/((1+$M$9)^($A94-1))</f>
        <v>1.1670031783122928E-4</v>
      </c>
      <c r="R94" s="65">
        <f t="shared" ref="R94:Y109" si="28">(($D94/((1+R$10)^$M$7))+$G94+$H94+IF($M$3="Yes",$E94/((1+R$10)^$M$7),0)+IF($M$4="Yes",$F94)-($B94*(1+$M$5))-$C94)/((1+R$10)^($A94-1))</f>
        <v>-3.8895989419439578</v>
      </c>
      <c r="S94" s="65">
        <f t="shared" si="28"/>
        <v>-1.7372949089080785</v>
      </c>
      <c r="T94" s="65">
        <f t="shared" si="28"/>
        <v>-0.78215155064650721</v>
      </c>
      <c r="U94" s="65">
        <f t="shared" si="28"/>
        <v>-0.35488661708777647</v>
      </c>
      <c r="V94" s="65">
        <f t="shared" si="28"/>
        <v>-0.16225733557593988</v>
      </c>
      <c r="W94" s="65">
        <f t="shared" si="28"/>
        <v>-7.4743184721213218E-2</v>
      </c>
      <c r="X94" s="65">
        <f t="shared" si="28"/>
        <v>-3.4684044672432988E-2</v>
      </c>
      <c r="Y94" s="65">
        <f t="shared" si="28"/>
        <v>-1.621133688431689E-2</v>
      </c>
    </row>
    <row r="95" spans="1:25" x14ac:dyDescent="0.25">
      <c r="A95" s="21">
        <v>83</v>
      </c>
      <c r="C95" s="25">
        <f t="shared" si="19"/>
        <v>6.02</v>
      </c>
      <c r="D95" s="23">
        <f>FishHarvestTimeTrends!AC104*((1+D$10)^MIN($A95,20))</f>
        <v>1.8394280882832466</v>
      </c>
      <c r="E95" s="23">
        <f>FishHarvestTimeTrends!AD104*((1+E$10)^MIN($A95,20))</f>
        <v>0.26297442326411263</v>
      </c>
      <c r="F95" s="23">
        <f t="shared" si="21"/>
        <v>5.9177529226588916</v>
      </c>
      <c r="H95" s="22">
        <f t="shared" si="25"/>
        <v>2.8000000000000001E-2</v>
      </c>
      <c r="I95" s="22"/>
      <c r="J95" s="41"/>
      <c r="K95" s="41">
        <f t="shared" si="23"/>
        <v>2.3449129283845131E-2</v>
      </c>
      <c r="L95" s="41">
        <f t="shared" si="26"/>
        <v>7.1649480150315524E-3</v>
      </c>
      <c r="M95" s="41">
        <f t="shared" si="26"/>
        <v>1.024339077984184E-3</v>
      </c>
      <c r="N95" s="41">
        <f t="shared" si="23"/>
        <v>2.3050856038750952E-2</v>
      </c>
      <c r="O95" s="41"/>
      <c r="P95" s="41">
        <f t="shared" si="27"/>
        <v>1.0906571759927968E-4</v>
      </c>
      <c r="R95" s="65">
        <f t="shared" si="28"/>
        <v>-3.8895974884526403</v>
      </c>
      <c r="S95" s="65">
        <f t="shared" si="28"/>
        <v>-1.7200933264397131</v>
      </c>
      <c r="T95" s="65">
        <f t="shared" si="28"/>
        <v>-0.76681495918322606</v>
      </c>
      <c r="U95" s="65">
        <f t="shared" si="28"/>
        <v>-0.34454998492366457</v>
      </c>
      <c r="V95" s="65">
        <f t="shared" si="28"/>
        <v>-0.15601661052166801</v>
      </c>
      <c r="W95" s="65">
        <f t="shared" si="28"/>
        <v>-7.1183958848267254E-2</v>
      </c>
      <c r="X95" s="65">
        <f t="shared" si="28"/>
        <v>-3.2720784633459871E-2</v>
      </c>
      <c r="Y95" s="65">
        <f t="shared" si="28"/>
        <v>-1.5150776473230114E-2</v>
      </c>
    </row>
    <row r="96" spans="1:25" x14ac:dyDescent="0.25">
      <c r="A96" s="21">
        <v>84</v>
      </c>
      <c r="C96" s="25">
        <f t="shared" si="19"/>
        <v>6.02</v>
      </c>
      <c r="D96" s="23">
        <f>FishHarvestTimeTrends!AC105*((1+D$10)^MIN($A96,20))</f>
        <v>1.839429403095254</v>
      </c>
      <c r="E96" s="23">
        <f>FishHarvestTimeTrends!AD105*((1+E$10)^MIN($A96,20))</f>
        <v>0.26297456194342284</v>
      </c>
      <c r="F96" s="23">
        <f t="shared" si="21"/>
        <v>5.9207117991202205</v>
      </c>
      <c r="H96" s="22">
        <f t="shared" si="25"/>
        <v>2.8000000000000001E-2</v>
      </c>
      <c r="I96" s="22"/>
      <c r="J96" s="41"/>
      <c r="K96" s="41">
        <f t="shared" si="23"/>
        <v>2.1915074097051526E-2</v>
      </c>
      <c r="L96" s="41">
        <f t="shared" si="26"/>
        <v>6.6962178845727163E-3</v>
      </c>
      <c r="M96" s="41">
        <f t="shared" si="26"/>
        <v>9.5732674595179034E-4</v>
      </c>
      <c r="N96" s="41">
        <f t="shared" si="23"/>
        <v>2.1553627539037688E-2</v>
      </c>
      <c r="O96" s="41"/>
      <c r="P96" s="41">
        <f t="shared" si="27"/>
        <v>1.0193057719558849E-4</v>
      </c>
      <c r="R96" s="65">
        <f t="shared" si="28"/>
        <v>-3.8895960349613228</v>
      </c>
      <c r="S96" s="65">
        <f t="shared" si="28"/>
        <v>-1.7030620630331761</v>
      </c>
      <c r="T96" s="65">
        <f t="shared" si="28"/>
        <v>-0.75177909081821792</v>
      </c>
      <c r="U96" s="65">
        <f t="shared" si="28"/>
        <v>-0.33451442346589938</v>
      </c>
      <c r="V96" s="65">
        <f t="shared" si="28"/>
        <v>-0.15001591559645858</v>
      </c>
      <c r="W96" s="65">
        <f t="shared" si="28"/>
        <v>-6.7794221188342885E-2</v>
      </c>
      <c r="X96" s="65">
        <f t="shared" si="28"/>
        <v>-3.0868653213333871E-2</v>
      </c>
      <c r="Y96" s="65">
        <f t="shared" si="28"/>
        <v>-1.415959888933143E-2</v>
      </c>
    </row>
    <row r="97" spans="1:25" x14ac:dyDescent="0.25">
      <c r="A97" s="21">
        <v>85</v>
      </c>
      <c r="C97" s="25">
        <f t="shared" si="19"/>
        <v>6.02</v>
      </c>
      <c r="D97" s="23">
        <f>FishHarvestTimeTrends!AC106*((1+D$10)^MIN($A97,20))</f>
        <v>1.8394307179072613</v>
      </c>
      <c r="E97" s="23">
        <f>FishHarvestTimeTrends!AD106*((1+E$10)^MIN($A97,20))</f>
        <v>0.26297470062273304</v>
      </c>
      <c r="F97" s="23">
        <f t="shared" si="21"/>
        <v>5.92367215501978</v>
      </c>
      <c r="H97" s="22">
        <f t="shared" si="25"/>
        <v>2.8000000000000001E-2</v>
      </c>
      <c r="I97" s="22"/>
      <c r="J97" s="41"/>
      <c r="K97" s="41">
        <f t="shared" si="23"/>
        <v>2.0481377660795819E-2</v>
      </c>
      <c r="L97" s="41">
        <f t="shared" si="26"/>
        <v>6.2581520289580403E-3</v>
      </c>
      <c r="M97" s="41">
        <f t="shared" si="26"/>
        <v>8.9469836523071652E-4</v>
      </c>
      <c r="N97" s="41">
        <f t="shared" si="23"/>
        <v>2.0153648927857204E-2</v>
      </c>
      <c r="O97" s="41"/>
      <c r="P97" s="41">
        <f t="shared" si="27"/>
        <v>9.5262221678120098E-5</v>
      </c>
      <c r="R97" s="65">
        <f t="shared" si="28"/>
        <v>-3.8895945814700053</v>
      </c>
      <c r="S97" s="65">
        <f t="shared" si="28"/>
        <v>-1.6861994322981102</v>
      </c>
      <c r="T97" s="65">
        <f t="shared" si="28"/>
        <v>-0.73703804890997537</v>
      </c>
      <c r="U97" s="65">
        <f t="shared" si="28"/>
        <v>-0.32477116355555474</v>
      </c>
      <c r="V97" s="65">
        <f t="shared" si="28"/>
        <v>-0.14424601878602608</v>
      </c>
      <c r="W97" s="65">
        <f t="shared" si="28"/>
        <v>-6.4565900813834731E-2</v>
      </c>
      <c r="X97" s="65">
        <f t="shared" si="28"/>
        <v>-2.9121360073698772E-2</v>
      </c>
      <c r="Y97" s="65">
        <f t="shared" si="28"/>
        <v>-1.3233265044928944E-2</v>
      </c>
    </row>
    <row r="98" spans="1:25" x14ac:dyDescent="0.25">
      <c r="A98" s="21">
        <v>86</v>
      </c>
      <c r="C98" s="25">
        <f t="shared" ref="C98:C112" si="29">C97</f>
        <v>6.02</v>
      </c>
      <c r="D98" s="23">
        <f>FishHarvestTimeTrends!AC107*((1+D$10)^MIN($A98,20))</f>
        <v>1.8394320327192688</v>
      </c>
      <c r="E98" s="23">
        <f>FishHarvestTimeTrends!AD107*((1+E$10)^MIN($A98,20))</f>
        <v>0.2629748393020433</v>
      </c>
      <c r="F98" s="23">
        <f t="shared" si="21"/>
        <v>5.9266339910972894</v>
      </c>
      <c r="H98" s="22">
        <f t="shared" si="25"/>
        <v>2.8000000000000001E-2</v>
      </c>
      <c r="I98" s="22"/>
      <c r="J98" s="41"/>
      <c r="K98" s="41">
        <f t="shared" si="23"/>
        <v>1.9141474449341885E-2</v>
      </c>
      <c r="L98" s="41">
        <f t="shared" si="26"/>
        <v>5.8487443946174241E-3</v>
      </c>
      <c r="M98" s="41">
        <f t="shared" si="26"/>
        <v>8.3616713742854659E-4</v>
      </c>
      <c r="N98" s="41">
        <f t="shared" si="23"/>
        <v>1.8844603506842177E-2</v>
      </c>
      <c r="O98" s="41"/>
      <c r="P98" s="41">
        <f t="shared" si="27"/>
        <v>8.9030113717869248E-5</v>
      </c>
      <c r="R98" s="65">
        <f t="shared" si="28"/>
        <v>-3.8895931279786873</v>
      </c>
      <c r="S98" s="65">
        <f t="shared" si="28"/>
        <v>-1.6695037645417181</v>
      </c>
      <c r="T98" s="65">
        <f t="shared" si="28"/>
        <v>-0.72258605243957308</v>
      </c>
      <c r="U98" s="65">
        <f t="shared" si="28"/>
        <v>-0.31531169144928217</v>
      </c>
      <c r="V98" s="65">
        <f t="shared" si="28"/>
        <v>-0.13869804315687467</v>
      </c>
      <c r="W98" s="65">
        <f t="shared" si="28"/>
        <v>-6.1491311129895733E-2</v>
      </c>
      <c r="X98" s="65">
        <f t="shared" si="28"/>
        <v>-2.7472970935303945E-2</v>
      </c>
      <c r="Y98" s="65">
        <f t="shared" si="28"/>
        <v>-1.2367532803578045E-2</v>
      </c>
    </row>
    <row r="99" spans="1:25" x14ac:dyDescent="0.25">
      <c r="A99" s="21">
        <v>87</v>
      </c>
      <c r="C99" s="25">
        <f t="shared" si="29"/>
        <v>6.02</v>
      </c>
      <c r="D99" s="23">
        <f>FishHarvestTimeTrends!AC108*((1+D$10)^MIN($A99,20))</f>
        <v>1.8394333475312763</v>
      </c>
      <c r="E99" s="23">
        <f>FishHarvestTimeTrends!AD108*((1+E$10)^MIN($A99,20))</f>
        <v>0.2629749779813535</v>
      </c>
      <c r="F99" s="23">
        <f t="shared" si="21"/>
        <v>5.9295973080928377</v>
      </c>
      <c r="H99" s="22">
        <f t="shared" si="25"/>
        <v>2.8000000000000001E-2</v>
      </c>
      <c r="I99" s="22"/>
      <c r="J99" s="41"/>
      <c r="K99" s="41">
        <f t="shared" si="23"/>
        <v>1.7889228457328866E-2</v>
      </c>
      <c r="L99" s="41">
        <f t="shared" si="26"/>
        <v>5.4661201637900671E-3</v>
      </c>
      <c r="M99" s="41">
        <f t="shared" si="26"/>
        <v>7.8146502652316622E-4</v>
      </c>
      <c r="N99" s="41">
        <f t="shared" si="23"/>
        <v>1.7620584867846352E-2</v>
      </c>
      <c r="O99" s="41"/>
      <c r="P99" s="41">
        <f t="shared" si="27"/>
        <v>8.320571375501798E-5</v>
      </c>
      <c r="R99" s="65">
        <f t="shared" si="28"/>
        <v>-3.8895916744873698</v>
      </c>
      <c r="S99" s="65">
        <f t="shared" si="28"/>
        <v>-1.6529734066034307</v>
      </c>
      <c r="T99" s="65">
        <f t="shared" si="28"/>
        <v>-0.70841743374351573</v>
      </c>
      <c r="U99" s="65">
        <f t="shared" si="28"/>
        <v>-0.30612774137992887</v>
      </c>
      <c r="V99" s="65">
        <f t="shared" si="28"/>
        <v>-0.13336345319921716</v>
      </c>
      <c r="W99" s="65">
        <f t="shared" si="28"/>
        <v>-5.8563131572740429E-2</v>
      </c>
      <c r="X99" s="65">
        <f t="shared" si="28"/>
        <v>-2.5917887423589889E-2</v>
      </c>
      <c r="Y99" s="65">
        <f t="shared" si="28"/>
        <v>-1.1558437553260612E-2</v>
      </c>
    </row>
    <row r="100" spans="1:25" x14ac:dyDescent="0.25">
      <c r="A100" s="21">
        <v>88</v>
      </c>
      <c r="C100" s="25">
        <f t="shared" si="29"/>
        <v>6.02</v>
      </c>
      <c r="D100" s="23">
        <f>FishHarvestTimeTrends!AC109*((1+D$10)^MIN($A100,20))</f>
        <v>1.8394346623432836</v>
      </c>
      <c r="E100" s="23">
        <f>FishHarvestTimeTrends!AD109*((1+E$10)^MIN($A100,20))</f>
        <v>0.26297511666066375</v>
      </c>
      <c r="F100" s="23">
        <f t="shared" si="21"/>
        <v>5.9325621067468841</v>
      </c>
      <c r="H100" s="22">
        <f t="shared" si="25"/>
        <v>2.8000000000000001E-2</v>
      </c>
      <c r="I100" s="22"/>
      <c r="J100" s="41"/>
      <c r="K100" s="41">
        <f t="shared" si="23"/>
        <v>1.6718905100307348E-2</v>
      </c>
      <c r="L100" s="41">
        <f t="shared" si="26"/>
        <v>5.1085271690919027E-3</v>
      </c>
      <c r="M100" s="41">
        <f t="shared" si="26"/>
        <v>7.3034153142722451E-4</v>
      </c>
      <c r="N100" s="41">
        <f t="shared" si="23"/>
        <v>1.6476070243252591E-2</v>
      </c>
      <c r="O100" s="41"/>
      <c r="P100" s="41">
        <f t="shared" si="27"/>
        <v>7.7762349303755115E-5</v>
      </c>
      <c r="R100" s="65">
        <f t="shared" si="28"/>
        <v>-3.8895902209960522</v>
      </c>
      <c r="S100" s="65">
        <f t="shared" si="28"/>
        <v>-1.6366067216912192</v>
      </c>
      <c r="T100" s="65">
        <f t="shared" si="28"/>
        <v>-0.69452663629104117</v>
      </c>
      <c r="U100" s="65">
        <f t="shared" si="28"/>
        <v>-0.29721128833384031</v>
      </c>
      <c r="V100" s="65">
        <f t="shared" si="28"/>
        <v>-0.12823404169517108</v>
      </c>
      <c r="W100" s="65">
        <f t="shared" si="28"/>
        <v>-5.5774390179464076E-2</v>
      </c>
      <c r="X100" s="65">
        <f t="shared" si="28"/>
        <v>-2.4450828055096668E-2</v>
      </c>
      <c r="Y100" s="65">
        <f t="shared" si="28"/>
        <v>-1.0802274050484468E-2</v>
      </c>
    </row>
    <row r="101" spans="1:25" x14ac:dyDescent="0.25">
      <c r="A101" s="21">
        <v>89</v>
      </c>
      <c r="C101" s="25">
        <f t="shared" si="29"/>
        <v>6.02</v>
      </c>
      <c r="D101" s="23">
        <f>FishHarvestTimeTrends!AC110*((1+D$10)^MIN($A101,20))</f>
        <v>1.8394359771552908</v>
      </c>
      <c r="E101" s="23">
        <f>FishHarvestTimeTrends!AD110*((1+E$10)^MIN($A101,20))</f>
        <v>0.26297525533997396</v>
      </c>
      <c r="F101" s="23">
        <f t="shared" si="21"/>
        <v>5.9355283878002574</v>
      </c>
      <c r="H101" s="22">
        <f t="shared" si="25"/>
        <v>2.8000000000000001E-2</v>
      </c>
      <c r="I101" s="22"/>
      <c r="J101" s="41"/>
      <c r="K101" s="41">
        <f t="shared" si="23"/>
        <v>1.5625144953558271E-2</v>
      </c>
      <c r="L101" s="41">
        <f t="shared" si="26"/>
        <v>4.774327869741116E-3</v>
      </c>
      <c r="M101" s="41">
        <f t="shared" si="26"/>
        <v>6.8256253885151023E-4</v>
      </c>
      <c r="N101" s="41">
        <f t="shared" si="23"/>
        <v>1.5405895587265623E-2</v>
      </c>
      <c r="O101" s="41"/>
      <c r="P101" s="41">
        <f t="shared" si="27"/>
        <v>7.2675092807247772E-5</v>
      </c>
      <c r="R101" s="65">
        <f t="shared" si="28"/>
        <v>-3.8895887675047347</v>
      </c>
      <c r="S101" s="65">
        <f t="shared" si="28"/>
        <v>-1.6204020892195192</v>
      </c>
      <c r="T101" s="65">
        <f t="shared" si="28"/>
        <v>-0.68090821250500577</v>
      </c>
      <c r="U101" s="65">
        <f t="shared" si="28"/>
        <v>-0.28855454103853556</v>
      </c>
      <c r="V101" s="65">
        <f t="shared" si="28"/>
        <v>-0.12330191709202909</v>
      </c>
      <c r="W101" s="65">
        <f t="shared" si="28"/>
        <v>-5.3118446987876787E-2</v>
      </c>
      <c r="X101" s="65">
        <f t="shared" si="28"/>
        <v>-2.30668103001202E-2</v>
      </c>
      <c r="Y101" s="65">
        <f t="shared" si="28"/>
        <v>-1.0095579452158396E-2</v>
      </c>
    </row>
    <row r="102" spans="1:25" x14ac:dyDescent="0.25">
      <c r="A102" s="21">
        <v>90</v>
      </c>
      <c r="C102" s="25">
        <f t="shared" si="29"/>
        <v>6.02</v>
      </c>
      <c r="D102" s="23">
        <f>FishHarvestTimeTrends!AC111*((1+D$10)^MIN($A102,20))</f>
        <v>1.8394372919672983</v>
      </c>
      <c r="E102" s="23">
        <f>FishHarvestTimeTrends!AD111*((1+E$10)^MIN($A102,20))</f>
        <v>0.26297539401928421</v>
      </c>
      <c r="F102" s="23">
        <f t="shared" si="21"/>
        <v>5.9384961519941575</v>
      </c>
      <c r="H102" s="22">
        <f t="shared" si="25"/>
        <v>2.8000000000000001E-2</v>
      </c>
      <c r="I102" s="22"/>
      <c r="J102" s="41"/>
      <c r="K102" s="41">
        <f t="shared" si="23"/>
        <v>1.4602939208932962E-2</v>
      </c>
      <c r="L102" s="41">
        <f t="shared" si="26"/>
        <v>4.4619918526981276E-3</v>
      </c>
      <c r="M102" s="41">
        <f t="shared" si="26"/>
        <v>6.3790925121408641E-4</v>
      </c>
      <c r="N102" s="41">
        <f t="shared" si="23"/>
        <v>1.4405232275756312E-2</v>
      </c>
      <c r="O102" s="41"/>
      <c r="P102" s="41">
        <f t="shared" si="27"/>
        <v>6.7920647483409133E-5</v>
      </c>
      <c r="R102" s="65">
        <f t="shared" si="28"/>
        <v>-3.8895873140134172</v>
      </c>
      <c r="S102" s="65">
        <f t="shared" si="28"/>
        <v>-1.6043579046487693</v>
      </c>
      <c r="T102" s="65">
        <f t="shared" si="28"/>
        <v>-0.66755682162550045</v>
      </c>
      <c r="U102" s="65">
        <f t="shared" si="28"/>
        <v>-0.28014993515462611</v>
      </c>
      <c r="V102" s="65">
        <f t="shared" si="28"/>
        <v>-0.11855949136117734</v>
      </c>
      <c r="W102" s="65">
        <f t="shared" si="28"/>
        <v>-5.0588978226827355E-2</v>
      </c>
      <c r="X102" s="65">
        <f t="shared" si="28"/>
        <v>-2.1761133660696114E-2</v>
      </c>
      <c r="Y102" s="65">
        <f t="shared" si="28"/>
        <v>-9.4351174575373377E-3</v>
      </c>
    </row>
    <row r="103" spans="1:25" x14ac:dyDescent="0.25">
      <c r="A103" s="21">
        <v>91</v>
      </c>
      <c r="C103" s="25">
        <f t="shared" si="29"/>
        <v>6.02</v>
      </c>
      <c r="D103" s="23">
        <f>FishHarvestTimeTrends!AC112*((1+D$10)^MIN($A103,20))</f>
        <v>1.8394386067793058</v>
      </c>
      <c r="E103" s="23">
        <f>FishHarvestTimeTrends!AD112*((1+E$10)^MIN($A103,20))</f>
        <v>0.26297553269859436</v>
      </c>
      <c r="F103" s="23">
        <f t="shared" si="21"/>
        <v>5.9414654000701539</v>
      </c>
      <c r="H103" s="22">
        <f t="shared" si="25"/>
        <v>2.8000000000000001E-2</v>
      </c>
      <c r="I103" s="22"/>
      <c r="J103" s="41"/>
      <c r="K103" s="41">
        <f t="shared" si="23"/>
        <v>1.3647606737320525E-2</v>
      </c>
      <c r="L103" s="41">
        <f t="shared" si="26"/>
        <v>4.1700888243801889E-3</v>
      </c>
      <c r="M103" s="41">
        <f t="shared" si="26"/>
        <v>5.9617718468567955E-4</v>
      </c>
      <c r="N103" s="41">
        <f t="shared" si="23"/>
        <v>1.3469565319527281E-2</v>
      </c>
      <c r="O103" s="41"/>
      <c r="P103" s="41">
        <f t="shared" si="27"/>
        <v>6.3477240638700131E-5</v>
      </c>
      <c r="R103" s="65">
        <f t="shared" si="28"/>
        <v>-3.8895858605220992</v>
      </c>
      <c r="S103" s="65">
        <f t="shared" si="28"/>
        <v>-1.5884725793265315</v>
      </c>
      <c r="T103" s="65">
        <f t="shared" si="28"/>
        <v>-0.6544672276153547</v>
      </c>
      <c r="U103" s="65">
        <f t="shared" si="28"/>
        <v>-0.27199012666603273</v>
      </c>
      <c r="V103" s="65">
        <f t="shared" si="28"/>
        <v>-0.11399946832398279</v>
      </c>
      <c r="W103" s="65">
        <f t="shared" si="28"/>
        <v>-4.8179961259374751E-2</v>
      </c>
      <c r="X103" s="65">
        <f t="shared" si="28"/>
        <v>-2.0529363706439617E-2</v>
      </c>
      <c r="Y103" s="65">
        <f t="shared" si="28"/>
        <v>-8.8178634876159567E-3</v>
      </c>
    </row>
    <row r="104" spans="1:25" x14ac:dyDescent="0.25">
      <c r="A104" s="21">
        <v>92</v>
      </c>
      <c r="C104" s="25">
        <f t="shared" si="29"/>
        <v>6.02</v>
      </c>
      <c r="D104" s="23">
        <f>FishHarvestTimeTrends!AC113*((1+D$10)^MIN($A104,20))</f>
        <v>1.8394399215913129</v>
      </c>
      <c r="E104" s="23">
        <f>FishHarvestTimeTrends!AD113*((1+E$10)^MIN($A104,20))</f>
        <v>0.26297567137790467</v>
      </c>
      <c r="F104" s="23">
        <f t="shared" si="21"/>
        <v>5.9444361327701882</v>
      </c>
      <c r="H104" s="22">
        <f t="shared" si="25"/>
        <v>2.8000000000000001E-2</v>
      </c>
      <c r="I104" s="22"/>
      <c r="J104" s="41"/>
      <c r="K104" s="41">
        <f t="shared" si="23"/>
        <v>1.2754772651701425E-2</v>
      </c>
      <c r="L104" s="41">
        <f t="shared" si="26"/>
        <v>3.8972820608572578E-3</v>
      </c>
      <c r="M104" s="41">
        <f t="shared" si="26"/>
        <v>5.5717523278300991E-4</v>
      </c>
      <c r="N104" s="41">
        <f t="shared" si="23"/>
        <v>1.259467299269817E-2</v>
      </c>
      <c r="O104" s="41"/>
      <c r="P104" s="41">
        <f t="shared" si="27"/>
        <v>5.9324523961401979E-5</v>
      </c>
      <c r="R104" s="65">
        <f t="shared" si="28"/>
        <v>-3.8895844070307821</v>
      </c>
      <c r="S104" s="65">
        <f t="shared" si="28"/>
        <v>-1.5727445403301885</v>
      </c>
      <c r="T104" s="65">
        <f t="shared" si="28"/>
        <v>-0.64163429710671227</v>
      </c>
      <c r="U104" s="65">
        <f t="shared" si="28"/>
        <v>-0.2640679854627217</v>
      </c>
      <c r="V104" s="65">
        <f t="shared" si="28"/>
        <v>-0.10961483242668905</v>
      </c>
      <c r="W104" s="65">
        <f t="shared" si="28"/>
        <v>-4.5885660242956573E-2</v>
      </c>
      <c r="X104" s="65">
        <f t="shared" si="28"/>
        <v>-1.9367317014022677E-2</v>
      </c>
      <c r="Y104" s="65">
        <f t="shared" si="28"/>
        <v>-8.2409908340997547E-3</v>
      </c>
    </row>
    <row r="105" spans="1:25" x14ac:dyDescent="0.25">
      <c r="A105" s="21">
        <v>93</v>
      </c>
      <c r="C105" s="25">
        <f t="shared" si="29"/>
        <v>6.02</v>
      </c>
      <c r="D105" s="23">
        <f>FishHarvestTimeTrends!AC114*((1+D$10)^MIN($A105,20))</f>
        <v>1.8394412364033204</v>
      </c>
      <c r="E105" s="23">
        <f>FishHarvestTimeTrends!AD114*((1+E$10)^MIN($A105,20))</f>
        <v>0.26297581005721482</v>
      </c>
      <c r="F105" s="23">
        <f t="shared" si="21"/>
        <v>5.9474083508365734</v>
      </c>
      <c r="H105" s="22">
        <f t="shared" si="25"/>
        <v>2.8000000000000001E-2</v>
      </c>
      <c r="I105" s="22"/>
      <c r="J105" s="41"/>
      <c r="K105" s="41">
        <f t="shared" si="23"/>
        <v>1.1920348272618156E-2</v>
      </c>
      <c r="L105" s="41">
        <f t="shared" si="26"/>
        <v>3.6423222865353696E-3</v>
      </c>
      <c r="M105" s="41">
        <f t="shared" si="26"/>
        <v>5.2072479122190719E-4</v>
      </c>
      <c r="N105" s="41">
        <f t="shared" si="23"/>
        <v>1.1776607784293945E-2</v>
      </c>
      <c r="O105" s="41"/>
      <c r="P105" s="41">
        <f t="shared" si="27"/>
        <v>5.5443480337758871E-5</v>
      </c>
      <c r="R105" s="65">
        <f t="shared" si="28"/>
        <v>-3.8895829535394641</v>
      </c>
      <c r="S105" s="65">
        <f t="shared" si="28"/>
        <v>-1.5571722303111937</v>
      </c>
      <c r="T105" s="65">
        <f t="shared" si="28"/>
        <v>-0.62905299738786802</v>
      </c>
      <c r="U105" s="65">
        <f t="shared" si="28"/>
        <v>-0.25637658911035338</v>
      </c>
      <c r="V105" s="65">
        <f t="shared" si="28"/>
        <v>-0.10539883794705104</v>
      </c>
      <c r="W105" s="65">
        <f t="shared" si="28"/>
        <v>-4.3700612472411846E-2</v>
      </c>
      <c r="X105" s="65">
        <f t="shared" si="28"/>
        <v>-1.8271046959138889E-2</v>
      </c>
      <c r="Y105" s="65">
        <f t="shared" si="28"/>
        <v>-7.7018577145231198E-3</v>
      </c>
    </row>
    <row r="106" spans="1:25" x14ac:dyDescent="0.25">
      <c r="A106" s="21">
        <v>94</v>
      </c>
      <c r="C106" s="25">
        <f t="shared" si="29"/>
        <v>6.02</v>
      </c>
      <c r="D106" s="23">
        <f>FishHarvestTimeTrends!AC115*((1+D$10)^MIN($A106,20))</f>
        <v>1.8394425512153281</v>
      </c>
      <c r="E106" s="23">
        <f>FishHarvestTimeTrends!AD115*((1+E$10)^MIN($A106,20))</f>
        <v>0.26297594873652508</v>
      </c>
      <c r="F106" s="23">
        <f t="shared" si="21"/>
        <v>5.9503820550119917</v>
      </c>
      <c r="H106" s="22">
        <f t="shared" si="25"/>
        <v>2.8000000000000001E-2</v>
      </c>
      <c r="I106" s="22"/>
      <c r="J106" s="41"/>
      <c r="K106" s="41">
        <f t="shared" si="23"/>
        <v>1.1140512404316034E-2</v>
      </c>
      <c r="L106" s="41">
        <f t="shared" si="26"/>
        <v>3.4040419532958628E-3</v>
      </c>
      <c r="M106" s="41">
        <f t="shared" si="26"/>
        <v>4.866589400225972E-4</v>
      </c>
      <c r="N106" s="41">
        <f t="shared" si="23"/>
        <v>1.1011678587089806E-2</v>
      </c>
      <c r="O106" s="41"/>
      <c r="P106" s="41">
        <f t="shared" si="27"/>
        <v>5.1816336764260622E-5</v>
      </c>
      <c r="R106" s="65">
        <f t="shared" si="28"/>
        <v>-3.8895815000481466</v>
      </c>
      <c r="S106" s="65">
        <f t="shared" si="28"/>
        <v>-1.5417541073408709</v>
      </c>
      <c r="T106" s="65">
        <f t="shared" si="28"/>
        <v>-0.61671839442958365</v>
      </c>
      <c r="U106" s="65">
        <f t="shared" si="28"/>
        <v>-0.24890921680140099</v>
      </c>
      <c r="V106" s="65">
        <f t="shared" si="28"/>
        <v>-0.10134499861610312</v>
      </c>
      <c r="W106" s="65">
        <f t="shared" si="28"/>
        <v>-4.161961537334085E-2</v>
      </c>
      <c r="X106" s="65">
        <f t="shared" si="28"/>
        <v>-1.7236830312701821E-2</v>
      </c>
      <c r="Y106" s="65">
        <f t="shared" si="28"/>
        <v>-7.1979951742333131E-3</v>
      </c>
    </row>
    <row r="107" spans="1:25" x14ac:dyDescent="0.25">
      <c r="A107" s="21">
        <v>95</v>
      </c>
      <c r="C107" s="25">
        <f t="shared" si="29"/>
        <v>6.02</v>
      </c>
      <c r="D107" s="23">
        <f>FishHarvestTimeTrends!AC116*((1+D$10)^MIN($A107,20))</f>
        <v>1.8394438660273351</v>
      </c>
      <c r="E107" s="23">
        <f>FishHarvestTimeTrends!AD116*((1+E$10)^MIN($A107,20))</f>
        <v>0.26297608741583534</v>
      </c>
      <c r="F107" s="23">
        <f t="shared" si="21"/>
        <v>5.9533572460394977</v>
      </c>
      <c r="H107" s="22">
        <f t="shared" si="25"/>
        <v>2.8000000000000001E-2</v>
      </c>
      <c r="I107" s="22"/>
      <c r="J107" s="41"/>
      <c r="K107" s="41">
        <f t="shared" si="23"/>
        <v>1.0411693835809378E-2</v>
      </c>
      <c r="L107" s="41">
        <f t="shared" si="26"/>
        <v>3.1813498938927207E-3</v>
      </c>
      <c r="M107" s="41">
        <f t="shared" si="26"/>
        <v>4.5482167912171449E-4</v>
      </c>
      <c r="N107" s="41">
        <f t="shared" si="23"/>
        <v>1.0296434043348927E-2</v>
      </c>
      <c r="O107" s="41"/>
      <c r="P107" s="41">
        <f t="shared" si="27"/>
        <v>4.8426482957252925E-5</v>
      </c>
      <c r="R107" s="65">
        <f t="shared" si="28"/>
        <v>-3.8895800465568291</v>
      </c>
      <c r="S107" s="65">
        <f t="shared" si="28"/>
        <v>-1.526488644757735</v>
      </c>
      <c r="T107" s="65">
        <f t="shared" si="28"/>
        <v>-0.60462565095009846</v>
      </c>
      <c r="U107" s="65">
        <f t="shared" si="28"/>
        <v>-0.24165934348245133</v>
      </c>
      <c r="V107" s="65">
        <f t="shared" si="28"/>
        <v>-9.7447077639093438E-2</v>
      </c>
      <c r="W107" s="65">
        <f t="shared" si="28"/>
        <v>-3.9637714114833529E-2</v>
      </c>
      <c r="X107" s="65">
        <f t="shared" si="28"/>
        <v>-1.6261154595753807E-2</v>
      </c>
      <c r="Y107" s="65">
        <f t="shared" si="28"/>
        <v>-6.7270957798376899E-3</v>
      </c>
    </row>
    <row r="108" spans="1:25" x14ac:dyDescent="0.25">
      <c r="A108" s="21">
        <v>96</v>
      </c>
      <c r="C108" s="25">
        <f t="shared" si="29"/>
        <v>6.02</v>
      </c>
      <c r="D108" s="23">
        <f>FishHarvestTimeTrends!AC117*((1+D$10)^MIN($A108,20))</f>
        <v>1.8394451808393426</v>
      </c>
      <c r="E108" s="23">
        <f>FishHarvestTimeTrends!AD117*((1+E$10)^MIN($A108,20))</f>
        <v>0.26297622609514554</v>
      </c>
      <c r="F108" s="23">
        <f t="shared" si="21"/>
        <v>5.9563339246625171</v>
      </c>
      <c r="H108" s="22">
        <f t="shared" si="25"/>
        <v>2.8000000000000001E-2</v>
      </c>
      <c r="I108" s="22"/>
      <c r="J108" s="41"/>
      <c r="K108" s="41">
        <f t="shared" si="23"/>
        <v>9.7305549867377321E-3</v>
      </c>
      <c r="L108" s="41">
        <f t="shared" si="26"/>
        <v>2.9732263251240794E-3</v>
      </c>
      <c r="M108" s="41">
        <f t="shared" si="26"/>
        <v>4.2506721399062925E-4</v>
      </c>
      <c r="N108" s="41">
        <f t="shared" si="23"/>
        <v>9.6276469723089678E-3</v>
      </c>
      <c r="O108" s="41"/>
      <c r="P108" s="41">
        <f t="shared" si="27"/>
        <v>4.5258395287152253E-5</v>
      </c>
      <c r="R108" s="65">
        <f t="shared" si="28"/>
        <v>-3.8895785930655116</v>
      </c>
      <c r="S108" s="65">
        <f t="shared" si="28"/>
        <v>-1.5113743310163263</v>
      </c>
      <c r="T108" s="65">
        <f t="shared" si="28"/>
        <v>-0.5927700245180868</v>
      </c>
      <c r="U108" s="65">
        <f t="shared" si="28"/>
        <v>-0.23462063415255799</v>
      </c>
      <c r="V108" s="65">
        <f t="shared" si="28"/>
        <v>-9.3699078100232258E-2</v>
      </c>
      <c r="W108" s="65">
        <f t="shared" si="28"/>
        <v>-3.7750189812072135E-2</v>
      </c>
      <c r="X108" s="65">
        <f t="shared" si="28"/>
        <v>-1.5340706150139055E-2</v>
      </c>
      <c r="Y108" s="65">
        <f t="shared" si="28"/>
        <v>-6.287003052335872E-3</v>
      </c>
    </row>
    <row r="109" spans="1:25" x14ac:dyDescent="0.25">
      <c r="A109" s="21">
        <v>97</v>
      </c>
      <c r="C109" s="25">
        <f t="shared" si="29"/>
        <v>6.02</v>
      </c>
      <c r="D109" s="23">
        <f>FishHarvestTimeTrends!AC118*((1+D$10)^MIN($A109,20))</f>
        <v>1.8394464956513501</v>
      </c>
      <c r="E109" s="23">
        <f>FishHarvestTimeTrends!AD118*((1+E$10)^MIN($A109,20))</f>
        <v>0.26297636477445574</v>
      </c>
      <c r="F109" s="23">
        <f t="shared" si="21"/>
        <v>5.9593120916248479</v>
      </c>
      <c r="H109" s="22">
        <f t="shared" si="25"/>
        <v>2.8000000000000001E-2</v>
      </c>
      <c r="I109" s="22"/>
      <c r="J109" s="41"/>
      <c r="K109" s="41">
        <f t="shared" si="23"/>
        <v>9.0939766231193792E-3</v>
      </c>
      <c r="L109" s="41">
        <f t="shared" si="26"/>
        <v>2.7787181778957211E-3</v>
      </c>
      <c r="M109" s="41">
        <f t="shared" si="26"/>
        <v>3.9725928798867361E-4</v>
      </c>
      <c r="N109" s="41">
        <f t="shared" si="23"/>
        <v>9.0022998091543217E-3</v>
      </c>
      <c r="O109" s="41"/>
      <c r="P109" s="41">
        <f t="shared" si="27"/>
        <v>4.2297565688927347E-5</v>
      </c>
      <c r="R109" s="65">
        <f t="shared" si="28"/>
        <v>-3.8895771395741936</v>
      </c>
      <c r="S109" s="65">
        <f t="shared" si="28"/>
        <v>-1.4964096695375388</v>
      </c>
      <c r="T109" s="65">
        <f t="shared" si="28"/>
        <v>-0.58114686569280871</v>
      </c>
      <c r="U109" s="65">
        <f t="shared" si="28"/>
        <v>-0.22778693832766342</v>
      </c>
      <c r="V109" s="65">
        <f t="shared" si="28"/>
        <v>-9.0095233736491906E-2</v>
      </c>
      <c r="W109" s="65">
        <f t="shared" si="28"/>
        <v>-3.5952548290719248E-2</v>
      </c>
      <c r="X109" s="65">
        <f t="shared" si="28"/>
        <v>-1.4472358884425949E-2</v>
      </c>
      <c r="Y109" s="65">
        <f t="shared" si="28"/>
        <v>-5.8757015915460566E-3</v>
      </c>
    </row>
    <row r="110" spans="1:25" x14ac:dyDescent="0.25">
      <c r="A110" s="21">
        <v>98</v>
      </c>
      <c r="C110" s="25">
        <f t="shared" si="29"/>
        <v>6.02</v>
      </c>
      <c r="D110" s="23">
        <f>FishHarvestTimeTrends!AC119*((1+D$10)^MIN($A110,20))</f>
        <v>1.8394478104633576</v>
      </c>
      <c r="E110" s="23">
        <f>FishHarvestTimeTrends!AD119*((1+E$10)^MIN($A110,20))</f>
        <v>0.262976503453766</v>
      </c>
      <c r="F110" s="23">
        <f t="shared" si="21"/>
        <v>5.9622917476706601</v>
      </c>
      <c r="H110" s="22">
        <f t="shared" si="25"/>
        <v>2.8000000000000001E-2</v>
      </c>
      <c r="I110" s="22"/>
      <c r="J110" s="41"/>
      <c r="K110" s="41">
        <f t="shared" si="23"/>
        <v>8.499043573008765E-3</v>
      </c>
      <c r="L110" s="41">
        <f t="shared" si="26"/>
        <v>2.5969347327913033E-3</v>
      </c>
      <c r="M110" s="41">
        <f t="shared" si="26"/>
        <v>3.7127055839386168E-4</v>
      </c>
      <c r="N110" s="41">
        <f t="shared" si="23"/>
        <v>8.4175709897746712E-3</v>
      </c>
      <c r="O110" s="41"/>
      <c r="P110" s="41">
        <f t="shared" si="27"/>
        <v>3.9530435223296587E-5</v>
      </c>
      <c r="R110" s="65">
        <f t="shared" ref="R110:Y112" si="30">(($D110/((1+R$10)^$M$7))+$G110+$H110+IF($M$3="Yes",$E110/((1+R$10)^$M$7),0)+IF($M$4="Yes",$F110)-($B110*(1+$M$5))-$C110)/((1+R$10)^($A110-1))</f>
        <v>-3.8895756860828761</v>
      </c>
      <c r="S110" s="65">
        <f t="shared" si="30"/>
        <v>-1.4815931785604377</v>
      </c>
      <c r="T110" s="65">
        <f t="shared" si="30"/>
        <v>-0.56975161620073356</v>
      </c>
      <c r="U110" s="65">
        <f t="shared" si="30"/>
        <v>-0.22115228466625378</v>
      </c>
      <c r="V110" s="65">
        <f t="shared" si="30"/>
        <v>-8.6630000066263813E-2</v>
      </c>
      <c r="W110" s="65">
        <f t="shared" si="30"/>
        <v>-3.4240509386338581E-2</v>
      </c>
      <c r="X110" s="65">
        <f t="shared" si="30"/>
        <v>-1.3653163656856494E-2</v>
      </c>
      <c r="Y110" s="65">
        <f t="shared" si="30"/>
        <v>-5.4913078466003037E-3</v>
      </c>
    </row>
    <row r="111" spans="1:25" x14ac:dyDescent="0.25">
      <c r="A111" s="21">
        <v>99</v>
      </c>
      <c r="C111" s="25">
        <f t="shared" si="29"/>
        <v>6.02</v>
      </c>
      <c r="D111" s="23">
        <f>FishHarvestTimeTrends!AC120*((1+D$10)^MIN($A111,20))</f>
        <v>1.8394491252753649</v>
      </c>
      <c r="E111" s="23">
        <f>FishHarvestTimeTrends!AD120*((1+E$10)^MIN($A111,20))</f>
        <v>0.2629766421330762</v>
      </c>
      <c r="F111" s="23">
        <f t="shared" ref="F111:F112" si="31">F110*(1+F$10)</f>
        <v>5.965272893544495</v>
      </c>
      <c r="H111" s="22">
        <f t="shared" si="25"/>
        <v>2.8000000000000001E-2</v>
      </c>
      <c r="I111" s="22"/>
      <c r="J111" s="41"/>
      <c r="K111" s="41">
        <f t="shared" si="23"/>
        <v>7.9430313766437055E-3</v>
      </c>
      <c r="L111" s="41">
        <f t="shared" si="26"/>
        <v>2.4270435411631298E-3</v>
      </c>
      <c r="M111" s="41">
        <f t="shared" si="26"/>
        <v>3.469820132537255E-4</v>
      </c>
      <c r="N111" s="41">
        <f t="shared" si="23"/>
        <v>7.870822219878091E-3</v>
      </c>
      <c r="O111" s="41"/>
      <c r="P111" s="41">
        <f t="shared" si="27"/>
        <v>3.6944331984389331E-5</v>
      </c>
      <c r="R111" s="65">
        <f t="shared" si="30"/>
        <v>-3.8895742325915585</v>
      </c>
      <c r="S111" s="65">
        <f t="shared" si="30"/>
        <v>-1.4669233909955353</v>
      </c>
      <c r="T111" s="65">
        <f t="shared" si="30"/>
        <v>-0.55857980714791211</v>
      </c>
      <c r="U111" s="65">
        <f t="shared" si="30"/>
        <v>-0.21471087575155007</v>
      </c>
      <c r="V111" s="65">
        <f t="shared" si="30"/>
        <v>-8.3298045859224124E-2</v>
      </c>
      <c r="W111" s="65">
        <f t="shared" si="30"/>
        <v>-3.2609996753371222E-2</v>
      </c>
      <c r="X111" s="65">
        <f t="shared" si="30"/>
        <v>-1.2880338259264698E-2</v>
      </c>
      <c r="Y111" s="65">
        <f t="shared" si="30"/>
        <v>-5.1320614902424606E-3</v>
      </c>
    </row>
    <row r="112" spans="1:25" x14ac:dyDescent="0.25">
      <c r="A112" s="21">
        <v>100</v>
      </c>
      <c r="C112" s="25">
        <f t="shared" si="29"/>
        <v>6.02</v>
      </c>
      <c r="D112" s="23">
        <f>FishHarvestTimeTrends!AC121*((1+D$10)^MIN($A112,20))</f>
        <v>1.8394504400873724</v>
      </c>
      <c r="E112" s="23">
        <f>FishHarvestTimeTrends!AD121*((1+E$10)^MIN($A112,20))</f>
        <v>0.2629767808123864</v>
      </c>
      <c r="F112" s="23">
        <f t="shared" si="31"/>
        <v>5.968255529991267</v>
      </c>
      <c r="H112" s="22">
        <f t="shared" si="25"/>
        <v>2.8000000000000001E-2</v>
      </c>
      <c r="I112" s="22"/>
      <c r="J112" s="41"/>
      <c r="K112" s="41">
        <f t="shared" si="23"/>
        <v>7.4233938099473882E-3</v>
      </c>
      <c r="L112" s="41">
        <f t="shared" si="26"/>
        <v>2.2682666130647176E-3</v>
      </c>
      <c r="M112" s="41">
        <f t="shared" si="26"/>
        <v>3.2428242638580737E-4</v>
      </c>
      <c r="N112" s="41">
        <f t="shared" si="23"/>
        <v>7.3595865710168505E-3</v>
      </c>
      <c r="O112" s="41"/>
      <c r="P112" s="41">
        <f t="shared" si="27"/>
        <v>3.4527413069522736E-5</v>
      </c>
      <c r="R112" s="65">
        <f t="shared" si="30"/>
        <v>-3.8895727791002406</v>
      </c>
      <c r="S112" s="65">
        <f t="shared" si="30"/>
        <v>-1.4523988542795252</v>
      </c>
      <c r="T112" s="65">
        <f t="shared" si="30"/>
        <v>-0.5476270572674039</v>
      </c>
      <c r="U112" s="65">
        <f t="shared" si="30"/>
        <v>-0.20845708302567556</v>
      </c>
      <c r="V112" s="65">
        <f t="shared" si="30"/>
        <v>-8.0094244934284714E-2</v>
      </c>
      <c r="W112" s="65">
        <f t="shared" si="30"/>
        <v>-3.1057128159402245E-2</v>
      </c>
      <c r="X112" s="65">
        <f t="shared" si="30"/>
        <v>-1.215125796794648E-2</v>
      </c>
      <c r="Y112" s="65">
        <f t="shared" si="30"/>
        <v>-4.7963173574273399E-3</v>
      </c>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12"/>
  <sheetViews>
    <sheetView topLeftCell="E1" workbookViewId="0">
      <selection activeCell="O9" sqref="O9:P9"/>
    </sheetView>
  </sheetViews>
  <sheetFormatPr defaultRowHeight="15" x14ac:dyDescent="0.25"/>
  <cols>
    <col min="1" max="1" width="36.42578125" style="21" customWidth="1"/>
    <col min="2" max="2" width="14.28515625" style="21" customWidth="1"/>
    <col min="3" max="3" width="11.85546875" style="21" customWidth="1"/>
    <col min="4" max="4" width="13.140625" style="21" customWidth="1"/>
    <col min="5" max="5" width="13.28515625" style="21" customWidth="1"/>
    <col min="6" max="6" width="14.28515625" style="21" customWidth="1"/>
    <col min="7" max="7" width="13.42578125" style="21" customWidth="1"/>
    <col min="8" max="8" width="11.5703125" style="21" customWidth="1"/>
    <col min="9" max="9" width="5.5703125" style="21" customWidth="1"/>
    <col min="10" max="10" width="17.7109375" style="21" customWidth="1"/>
    <col min="11" max="11" width="13.140625" style="21" customWidth="1"/>
    <col min="12" max="16" width="11.5703125" style="21" customWidth="1"/>
    <col min="17" max="17" width="9.140625" style="21"/>
    <col min="18" max="25" width="12.5703125" style="21" bestFit="1" customWidth="1"/>
    <col min="26" max="16384" width="9.140625" style="21"/>
  </cols>
  <sheetData>
    <row r="1" spans="1:25" x14ac:dyDescent="0.25">
      <c r="B1" s="21" t="s">
        <v>26</v>
      </c>
      <c r="R1" s="28" t="s">
        <v>51</v>
      </c>
    </row>
    <row r="2" spans="1:25" x14ac:dyDescent="0.25">
      <c r="A2" s="29" t="s">
        <v>1</v>
      </c>
      <c r="B2" s="68">
        <v>295.10000000000002</v>
      </c>
      <c r="D2" s="47" t="s">
        <v>108</v>
      </c>
      <c r="E2" s="64">
        <v>29.5</v>
      </c>
      <c r="R2" s="28">
        <v>0</v>
      </c>
      <c r="S2" s="28">
        <v>0.01</v>
      </c>
      <c r="T2" s="28">
        <v>0.02</v>
      </c>
      <c r="U2" s="28">
        <v>0.03</v>
      </c>
      <c r="V2" s="28">
        <v>0.04</v>
      </c>
      <c r="W2" s="28">
        <v>0.05</v>
      </c>
      <c r="X2" s="28">
        <v>0.06</v>
      </c>
      <c r="Y2" s="28">
        <v>7.0000000000000007E-2</v>
      </c>
    </row>
    <row r="3" spans="1:25" x14ac:dyDescent="0.25">
      <c r="A3" s="31" t="s">
        <v>2</v>
      </c>
      <c r="B3" s="69">
        <v>6.02</v>
      </c>
      <c r="J3" s="29"/>
      <c r="K3" s="49"/>
      <c r="L3" s="50" t="s">
        <v>89</v>
      </c>
      <c r="M3" s="51" t="s">
        <v>88</v>
      </c>
      <c r="Q3" s="28" t="s">
        <v>54</v>
      </c>
      <c r="R3" s="42">
        <f>SUM(R13:R42)- ($M$5*$E$2)</f>
        <v>34531.030370545239</v>
      </c>
      <c r="S3" s="42">
        <f t="shared" ref="S3:Y3" si="0">SUM(S13:S42)- ($M$5*$E$2)</f>
        <v>33043.676926315748</v>
      </c>
      <c r="T3" s="42">
        <f t="shared" si="0"/>
        <v>31658.108447567745</v>
      </c>
      <c r="U3" s="42">
        <f t="shared" si="0"/>
        <v>30366.088339064165</v>
      </c>
      <c r="V3" s="42">
        <f t="shared" si="0"/>
        <v>29160.098100705058</v>
      </c>
      <c r="W3" s="42">
        <f t="shared" si="0"/>
        <v>28033.277910220051</v>
      </c>
      <c r="X3" s="42">
        <f t="shared" si="0"/>
        <v>26979.369948961772</v>
      </c>
      <c r="Y3" s="42">
        <f t="shared" si="0"/>
        <v>25992.665176144408</v>
      </c>
    </row>
    <row r="4" spans="1:25" x14ac:dyDescent="0.25">
      <c r="A4" s="31" t="s">
        <v>27</v>
      </c>
      <c r="B4" s="37">
        <f>CommAndSportFishingValues!E18</f>
        <v>2.9399999999999995</v>
      </c>
      <c r="J4" s="31"/>
      <c r="K4" s="52"/>
      <c r="L4" s="53" t="s">
        <v>90</v>
      </c>
      <c r="M4" s="54" t="s">
        <v>122</v>
      </c>
      <c r="Q4" s="28" t="s">
        <v>55</v>
      </c>
      <c r="R4" s="42">
        <f>SUM(R13:R52)- ($M$5*$E$2)</f>
        <v>34492.00371445057</v>
      </c>
      <c r="S4" s="42">
        <f t="shared" ref="S4:Y4" si="1">SUM(S13:S52)- ($M$5*$E$2)</f>
        <v>33015.977201385816</v>
      </c>
      <c r="T4" s="42">
        <f t="shared" si="1"/>
        <v>31638.365784171856</v>
      </c>
      <c r="U4" s="42">
        <f t="shared" si="1"/>
        <v>30351.959293083193</v>
      </c>
      <c r="V4" s="42">
        <f t="shared" si="1"/>
        <v>29149.945944494502</v>
      </c>
      <c r="W4" s="42">
        <f t="shared" si="1"/>
        <v>28025.954648955096</v>
      </c>
      <c r="X4" s="42">
        <f t="shared" si="1"/>
        <v>26974.06703174601</v>
      </c>
      <c r="Y4" s="42">
        <f t="shared" si="1"/>
        <v>25988.810806124544</v>
      </c>
    </row>
    <row r="5" spans="1:25" x14ac:dyDescent="0.25">
      <c r="A5" s="31" t="s">
        <v>45</v>
      </c>
      <c r="B5" s="33">
        <f>CommAndSportFishingValues!E19</f>
        <v>0.52</v>
      </c>
      <c r="J5" s="31"/>
      <c r="K5" s="52"/>
      <c r="L5" s="53" t="s">
        <v>87</v>
      </c>
      <c r="M5" s="57">
        <v>0.3</v>
      </c>
      <c r="Q5" s="28" t="s">
        <v>56</v>
      </c>
      <c r="R5" s="42">
        <f>SUM(R13:R62)- ($M$5*$E$2)</f>
        <v>34453.102222155794</v>
      </c>
      <c r="S5" s="42">
        <f t="shared" ref="S5:Y5" si="2">SUM(S13:S62)- ($M$5*$E$2)</f>
        <v>32990.982755648329</v>
      </c>
      <c r="T5" s="42">
        <f t="shared" si="2"/>
        <v>31622.223576170338</v>
      </c>
      <c r="U5" s="42">
        <f t="shared" si="2"/>
        <v>30341.481329140919</v>
      </c>
      <c r="V5" s="42">
        <f t="shared" si="2"/>
        <v>29143.110938757232</v>
      </c>
      <c r="W5" s="42">
        <f t="shared" si="2"/>
        <v>28021.474386069265</v>
      </c>
      <c r="X5" s="42">
        <f t="shared" si="2"/>
        <v>26971.116322339494</v>
      </c>
      <c r="Y5" s="42">
        <f t="shared" si="2"/>
        <v>25986.858425524602</v>
      </c>
    </row>
    <row r="6" spans="1:25" x14ac:dyDescent="0.25">
      <c r="A6" s="31" t="s">
        <v>46</v>
      </c>
      <c r="B6" s="32">
        <v>5.7</v>
      </c>
      <c r="J6" s="31"/>
      <c r="K6" s="52"/>
      <c r="L6" s="52"/>
      <c r="M6" s="55"/>
      <c r="Q6" s="28" t="s">
        <v>57</v>
      </c>
      <c r="R6" s="86">
        <f>R11</f>
        <v>34258.621802673915</v>
      </c>
      <c r="S6" s="42">
        <f t="shared" ref="S6:Y6" si="3">S11</f>
        <v>32897.355574314752</v>
      </c>
      <c r="T6" s="42">
        <f t="shared" si="3"/>
        <v>31575.905113149551</v>
      </c>
      <c r="U6" s="42">
        <f t="shared" si="3"/>
        <v>30317.967755723093</v>
      </c>
      <c r="V6" s="42">
        <f t="shared" si="3"/>
        <v>29130.883036887364</v>
      </c>
      <c r="W6" s="42">
        <f t="shared" si="3"/>
        <v>28014.972556471355</v>
      </c>
      <c r="X6" s="42">
        <f t="shared" si="3"/>
        <v>26967.588329454727</v>
      </c>
      <c r="Y6" s="86">
        <f t="shared" si="3"/>
        <v>25984.908557189599</v>
      </c>
    </row>
    <row r="7" spans="1:25" x14ac:dyDescent="0.25">
      <c r="A7" s="31" t="s">
        <v>48</v>
      </c>
      <c r="B7" s="34">
        <v>3500</v>
      </c>
      <c r="J7" s="35"/>
      <c r="K7" s="56"/>
      <c r="L7" s="58" t="s">
        <v>86</v>
      </c>
      <c r="M7" s="85">
        <v>0</v>
      </c>
    </row>
    <row r="8" spans="1:25" x14ac:dyDescent="0.25">
      <c r="A8" s="35" t="s">
        <v>50</v>
      </c>
      <c r="B8" s="36">
        <v>2.8000000000000001E-2</v>
      </c>
    </row>
    <row r="9" spans="1:25" x14ac:dyDescent="0.25">
      <c r="B9" s="28" t="s">
        <v>58</v>
      </c>
      <c r="J9" s="28" t="s">
        <v>52</v>
      </c>
      <c r="L9" s="39" t="s">
        <v>53</v>
      </c>
      <c r="M9" s="40">
        <v>7.0000000000000007E-2</v>
      </c>
      <c r="O9" s="87" t="s">
        <v>113</v>
      </c>
      <c r="P9" s="88">
        <f>(L11+M11+N11+O11+P11)/(((J11+E2)*(1+M5))+K11)</f>
        <v>64.783125554867297</v>
      </c>
      <c r="R9" s="28" t="s">
        <v>51</v>
      </c>
    </row>
    <row r="10" spans="1:25" x14ac:dyDescent="0.25">
      <c r="A10" s="21" t="s">
        <v>3</v>
      </c>
      <c r="C10" s="21">
        <v>0</v>
      </c>
      <c r="D10" s="21">
        <v>8.0000000000000004E-4</v>
      </c>
      <c r="E10" s="38">
        <v>5.0000000000000001E-4</v>
      </c>
      <c r="F10" s="21">
        <v>5.0000000000000001E-4</v>
      </c>
      <c r="G10" s="38">
        <v>5.0000000000000001E-4</v>
      </c>
      <c r="J10" s="28"/>
      <c r="K10" s="28"/>
      <c r="L10" s="28"/>
      <c r="M10" s="28"/>
      <c r="N10" s="28"/>
      <c r="O10" s="28"/>
      <c r="R10" s="28">
        <v>0</v>
      </c>
      <c r="S10" s="28">
        <v>0.01</v>
      </c>
      <c r="T10" s="28">
        <v>0.02</v>
      </c>
      <c r="U10" s="28">
        <v>0.03</v>
      </c>
      <c r="V10" s="28">
        <v>0.04</v>
      </c>
      <c r="W10" s="28">
        <v>0.05</v>
      </c>
      <c r="X10" s="28">
        <v>0.06</v>
      </c>
      <c r="Y10" s="28">
        <v>7.0000000000000007E-2</v>
      </c>
    </row>
    <row r="11" spans="1:25" x14ac:dyDescent="0.25">
      <c r="B11" s="22"/>
      <c r="C11" s="22"/>
      <c r="D11" s="22"/>
      <c r="J11" s="84">
        <f>SUM(J13:J112)</f>
        <v>213.47954351985931</v>
      </c>
      <c r="K11" s="84">
        <f t="shared" ref="K11:P11" si="4">SUM(K13:K112)</f>
        <v>91.913951517000712</v>
      </c>
      <c r="L11" s="41">
        <f>SUM(L13:L112)</f>
        <v>7.0226896610726923</v>
      </c>
      <c r="M11" s="41">
        <f>SUM(M13:M112)</f>
        <v>0.63215338171895052</v>
      </c>
      <c r="N11" s="41">
        <f t="shared" si="4"/>
        <v>54.543703732227549</v>
      </c>
      <c r="O11" s="41">
        <f>SUM(O13:O112)</f>
        <v>26355.275028598859</v>
      </c>
      <c r="P11" s="41">
        <f t="shared" si="4"/>
        <v>0.26604364076846893</v>
      </c>
      <c r="R11" s="27">
        <f>SUM(R13:R112) - ($M$5*$E$2)</f>
        <v>34258.621802673915</v>
      </c>
      <c r="S11" s="27">
        <f t="shared" ref="S11:Y11" si="5">SUM(S13:S112) - ($M$5*$E$2)</f>
        <v>32897.355574314752</v>
      </c>
      <c r="T11" s="27">
        <f t="shared" si="5"/>
        <v>31575.905113149551</v>
      </c>
      <c r="U11" s="27">
        <f t="shared" si="5"/>
        <v>30317.967755723093</v>
      </c>
      <c r="V11" s="27">
        <f t="shared" si="5"/>
        <v>29130.883036887364</v>
      </c>
      <c r="W11" s="27">
        <f t="shared" si="5"/>
        <v>28014.972556471355</v>
      </c>
      <c r="X11" s="27">
        <f t="shared" si="5"/>
        <v>26967.588329454727</v>
      </c>
      <c r="Y11" s="27">
        <f t="shared" si="5"/>
        <v>25984.908557189599</v>
      </c>
    </row>
    <row r="12" spans="1:25" ht="60" x14ac:dyDescent="0.25">
      <c r="A12" s="21" t="s">
        <v>0</v>
      </c>
      <c r="B12" s="24" t="s">
        <v>4</v>
      </c>
      <c r="C12" s="24" t="s">
        <v>5</v>
      </c>
      <c r="D12" s="24" t="s">
        <v>6</v>
      </c>
      <c r="E12" s="24" t="s">
        <v>44</v>
      </c>
      <c r="F12" s="24" t="s">
        <v>7</v>
      </c>
      <c r="G12" s="26" t="s">
        <v>47</v>
      </c>
      <c r="H12" s="26" t="s">
        <v>49</v>
      </c>
      <c r="I12" s="26"/>
      <c r="J12" s="24" t="s">
        <v>4</v>
      </c>
      <c r="K12" s="24" t="s">
        <v>5</v>
      </c>
      <c r="L12" s="24" t="s">
        <v>6</v>
      </c>
      <c r="M12" s="24" t="s">
        <v>44</v>
      </c>
      <c r="N12" s="24" t="s">
        <v>7</v>
      </c>
      <c r="O12" s="26" t="s">
        <v>47</v>
      </c>
      <c r="P12" s="26" t="s">
        <v>49</v>
      </c>
      <c r="R12" s="27"/>
      <c r="S12" s="27"/>
      <c r="T12" s="27"/>
      <c r="U12" s="27"/>
      <c r="V12" s="27"/>
      <c r="W12" s="27"/>
      <c r="X12" s="27"/>
      <c r="Y12" s="27"/>
    </row>
    <row r="13" spans="1:25" x14ac:dyDescent="0.25">
      <c r="A13" s="21">
        <v>1</v>
      </c>
      <c r="B13" s="22">
        <f>B$2*'Cost Distribution By Year'!C20</f>
        <v>7.3595498783454989</v>
      </c>
      <c r="C13" s="25">
        <f>B3</f>
        <v>6.02</v>
      </c>
      <c r="D13" s="23">
        <f>FishHarvestTimeTrends!AC22*((1+D$10)^MIN($A13,20))</f>
        <v>-0.45009477652942353</v>
      </c>
      <c r="E13" s="23">
        <f>FishHarvestTimeTrends!AD22*((1+E$10)^MIN($A13,20))</f>
        <v>-9.968905080817865E-2</v>
      </c>
      <c r="G13" s="27">
        <f>B7</f>
        <v>3500</v>
      </c>
      <c r="J13" s="41">
        <f>B13/((1+$M$9)^($A13-1))</f>
        <v>7.3595498783454989</v>
      </c>
      <c r="K13" s="41">
        <f t="shared" ref="K13:N76" si="6">C13/((1+$M$9)^($A13-1))</f>
        <v>6.02</v>
      </c>
      <c r="L13" s="41">
        <f>D13/((1+$M$9)^(($A13)-1))</f>
        <v>-0.45009477652942353</v>
      </c>
      <c r="M13" s="41">
        <f>E13/((1+$M$9)^(($A13)-1))</f>
        <v>-9.968905080817865E-2</v>
      </c>
      <c r="N13" s="41"/>
      <c r="O13" s="41">
        <f>G13/((1+$M$9)^($A13-1))</f>
        <v>3500</v>
      </c>
      <c r="P13" s="41"/>
      <c r="R13" s="65">
        <f>(($D13/((1+R$10)^$M$7))+$G13+$H13+IF($M$3="Yes",$E13/((1+R$10)^$M$7),0)+IF($M$4="Yes",$F13)-($B13*(1+$M$5))-$C13)/((1+R$10)^($A13-1))</f>
        <v>3483.862801330813</v>
      </c>
      <c r="S13" s="65">
        <f t="shared" ref="S13:Y28" si="7">(($D13/((1+S$10)^$M$7))+$G13+$H13+IF($M$3="Yes",$E13/((1+S$10)^$M$7),0)+IF($M$4="Yes",$F13)-($B13*(1+$M$5))-$C13)/((1+S$10)^($A13-1))</f>
        <v>3483.862801330813</v>
      </c>
      <c r="T13" s="65">
        <f t="shared" si="7"/>
        <v>3483.862801330813</v>
      </c>
      <c r="U13" s="65">
        <f t="shared" si="7"/>
        <v>3483.862801330813</v>
      </c>
      <c r="V13" s="65">
        <f t="shared" si="7"/>
        <v>3483.862801330813</v>
      </c>
      <c r="W13" s="65">
        <f t="shared" si="7"/>
        <v>3483.862801330813</v>
      </c>
      <c r="X13" s="65">
        <f t="shared" si="7"/>
        <v>3483.862801330813</v>
      </c>
      <c r="Y13" s="65">
        <f t="shared" si="7"/>
        <v>3483.862801330813</v>
      </c>
    </row>
    <row r="14" spans="1:25" x14ac:dyDescent="0.25">
      <c r="A14" s="21">
        <v>2</v>
      </c>
      <c r="B14" s="22">
        <f>B$2*'Cost Distribution By Year'!C21</f>
        <v>8.1673053527980528</v>
      </c>
      <c r="C14" s="25">
        <f>C13*(1+C$10)</f>
        <v>6.02</v>
      </c>
      <c r="D14" s="23">
        <f>FishHarvestTimeTrends!AC23*((1+D$10)^MIN($A14,20))</f>
        <v>-0.45045485235064703</v>
      </c>
      <c r="E14" s="23">
        <f>FishHarvestTimeTrends!AD23*((1+E$10)^MIN($A14,20))</f>
        <v>-9.9738895333582739E-2</v>
      </c>
      <c r="G14" s="27">
        <f t="shared" ref="G14:G22" si="8">G13*(1+G$10)</f>
        <v>3501.75</v>
      </c>
      <c r="J14" s="41">
        <f t="shared" ref="J14:J31" si="9">B14/((1+$M$9)^($A14-1))</f>
        <v>7.6329956568206097</v>
      </c>
      <c r="K14" s="41">
        <f t="shared" si="6"/>
        <v>5.6261682242990645</v>
      </c>
      <c r="L14" s="41">
        <f t="shared" ref="L14:M23" si="10">D14/((1+$M$9)^(($A14)-1))</f>
        <v>-0.4209858433183617</v>
      </c>
      <c r="M14" s="41">
        <f t="shared" si="10"/>
        <v>-9.3213920872507225E-2</v>
      </c>
      <c r="N14" s="41"/>
      <c r="O14" s="41">
        <f t="shared" ref="O14:P29" si="11">G14/((1+$M$9)^($A14-1))</f>
        <v>3272.663551401869</v>
      </c>
      <c r="P14" s="41"/>
      <c r="R14" s="65">
        <f t="shared" ref="R14:Y29" si="12">(($D14/((1+R$10)^$M$7))+$G14+$H14+IF($M$3="Yes",$E14/((1+R$10)^$M$7),0)+IF($M$4="Yes",$F14)-($B14*(1+$M$5))-$C14)/((1+R$10)^($A14-1))</f>
        <v>3484.5623092936785</v>
      </c>
      <c r="S14" s="65">
        <f t="shared" si="7"/>
        <v>3450.0616923699786</v>
      </c>
      <c r="T14" s="65">
        <f t="shared" si="7"/>
        <v>3416.2375581310571</v>
      </c>
      <c r="U14" s="65">
        <f t="shared" si="7"/>
        <v>3383.0702031977462</v>
      </c>
      <c r="V14" s="65">
        <f t="shared" si="7"/>
        <v>3350.5406820131525</v>
      </c>
      <c r="W14" s="65">
        <f t="shared" si="7"/>
        <v>3318.630770755884</v>
      </c>
      <c r="X14" s="65">
        <f t="shared" si="7"/>
        <v>3287.3229332959231</v>
      </c>
      <c r="Y14" s="65">
        <f t="shared" si="7"/>
        <v>3256.6002890595123</v>
      </c>
    </row>
    <row r="15" spans="1:25" x14ac:dyDescent="0.25">
      <c r="A15" s="21">
        <v>3</v>
      </c>
      <c r="B15" s="22">
        <f>B$2*'Cost Distribution By Year'!C22</f>
        <v>15.145415145985398</v>
      </c>
      <c r="C15" s="25">
        <f t="shared" ref="C15:F30" si="13">C14*(1+C$10)</f>
        <v>6.02</v>
      </c>
      <c r="D15" s="23">
        <f>FishHarvestTimeTrends!AC24*((1+D$10)^MIN($A15,20))</f>
        <v>-0.40817195254769112</v>
      </c>
      <c r="E15" s="23">
        <f>FishHarvestTimeTrends!AD24*((1+E$10)^MIN($A15,20))</f>
        <v>-9.9788764781249525E-2</v>
      </c>
      <c r="G15" s="27">
        <f t="shared" si="8"/>
        <v>3503.5008749999997</v>
      </c>
      <c r="J15" s="41">
        <f t="shared" si="9"/>
        <v>13.228592144279324</v>
      </c>
      <c r="K15" s="41">
        <f t="shared" si="6"/>
        <v>5.2581011442047334</v>
      </c>
      <c r="L15" s="41">
        <f t="shared" si="10"/>
        <v>-0.35651319115004898</v>
      </c>
      <c r="M15" s="41">
        <f t="shared" si="10"/>
        <v>-8.7159371806489236E-2</v>
      </c>
      <c r="N15" s="41"/>
      <c r="O15" s="41">
        <f t="shared" si="11"/>
        <v>3060.0933487640837</v>
      </c>
      <c r="P15" s="41"/>
      <c r="R15" s="65">
        <f t="shared" si="12"/>
        <v>3477.2838745928898</v>
      </c>
      <c r="S15" s="65">
        <f t="shared" si="7"/>
        <v>3408.7676449298006</v>
      </c>
      <c r="T15" s="65">
        <f t="shared" si="7"/>
        <v>3342.2567037609474</v>
      </c>
      <c r="U15" s="65">
        <f t="shared" si="7"/>
        <v>3277.6735550880289</v>
      </c>
      <c r="V15" s="65">
        <f t="shared" si="7"/>
        <v>3214.9444106812957</v>
      </c>
      <c r="W15" s="65">
        <f t="shared" si="7"/>
        <v>3153.9989792225756</v>
      </c>
      <c r="X15" s="65">
        <f t="shared" si="7"/>
        <v>3094.7702693065944</v>
      </c>
      <c r="Y15" s="65">
        <f t="shared" si="7"/>
        <v>3037.1944052693593</v>
      </c>
    </row>
    <row r="16" spans="1:25" x14ac:dyDescent="0.25">
      <c r="A16" s="21">
        <v>4</v>
      </c>
      <c r="B16" s="22">
        <f>B$2*'Cost Distribution By Year'!C23</f>
        <v>24.860918491484181</v>
      </c>
      <c r="C16" s="25">
        <f t="shared" si="13"/>
        <v>6.02</v>
      </c>
      <c r="D16" s="23">
        <f>FishHarvestTimeTrends!AC25*((1+D$10)^MIN($A16,20))</f>
        <v>-0.40319854528381316</v>
      </c>
      <c r="E16" s="23">
        <f>FishHarvestTimeTrends!AD25*((1+E$10)^MIN($A16,20))</f>
        <v>-9.9838659163640153E-2</v>
      </c>
      <c r="G16" s="27">
        <f t="shared" si="8"/>
        <v>3505.2526254374993</v>
      </c>
      <c r="J16" s="41">
        <f t="shared" si="9"/>
        <v>20.293914982155059</v>
      </c>
      <c r="K16" s="41">
        <f t="shared" si="6"/>
        <v>4.9141132188829282</v>
      </c>
      <c r="L16" s="41">
        <f t="shared" si="10"/>
        <v>-0.32913011648065671</v>
      </c>
      <c r="M16" s="41">
        <f t="shared" si="10"/>
        <v>-8.149808550690886E-2</v>
      </c>
      <c r="N16" s="41"/>
      <c r="O16" s="41">
        <f t="shared" si="11"/>
        <v>2861.3302761107152</v>
      </c>
      <c r="P16" s="41"/>
      <c r="R16" s="65">
        <f t="shared" si="12"/>
        <v>3466.4103941941225</v>
      </c>
      <c r="S16" s="65">
        <f t="shared" si="7"/>
        <v>3364.4637772787978</v>
      </c>
      <c r="T16" s="65">
        <f t="shared" si="7"/>
        <v>3266.4759351551465</v>
      </c>
      <c r="U16" s="65">
        <f t="shared" si="7"/>
        <v>3172.2565601418491</v>
      </c>
      <c r="V16" s="65">
        <f t="shared" si="7"/>
        <v>3081.6262180975855</v>
      </c>
      <c r="W16" s="65">
        <f t="shared" si="7"/>
        <v>2994.4156304451981</v>
      </c>
      <c r="X16" s="65">
        <f t="shared" si="7"/>
        <v>2910.4650098689872</v>
      </c>
      <c r="Y16" s="65">
        <f t="shared" si="7"/>
        <v>2829.6234452130434</v>
      </c>
    </row>
    <row r="17" spans="1:25" x14ac:dyDescent="0.25">
      <c r="A17" s="21">
        <v>5</v>
      </c>
      <c r="B17" s="22">
        <f>B$2*'Cost Distribution By Year'!C24</f>
        <v>76.243141727493907</v>
      </c>
      <c r="C17" s="25">
        <f t="shared" si="13"/>
        <v>6.02</v>
      </c>
      <c r="D17" s="23">
        <f>FishHarvestTimeTrends!AC26*((1+D$10)^MIN($A17,20))</f>
        <v>-0.39461345716601587</v>
      </c>
      <c r="E17" s="23">
        <f>FishHarvestTimeTrends!AD26*((1+E$10)^MIN($A17,20))</f>
        <v>-9.9407067189483431E-2</v>
      </c>
      <c r="G17" s="27">
        <f t="shared" si="8"/>
        <v>3507.0052517502177</v>
      </c>
      <c r="J17" s="41">
        <f t="shared" si="9"/>
        <v>58.16552777536598</v>
      </c>
      <c r="K17" s="41">
        <f t="shared" si="6"/>
        <v>4.5926291765261018</v>
      </c>
      <c r="L17" s="41">
        <f t="shared" si="10"/>
        <v>-0.30104871708147468</v>
      </c>
      <c r="M17" s="41">
        <f t="shared" si="10"/>
        <v>-7.583717560254355E-2</v>
      </c>
      <c r="N17" s="41"/>
      <c r="O17" s="41">
        <f t="shared" si="11"/>
        <v>2675.4775151857671</v>
      </c>
      <c r="P17" s="41"/>
      <c r="R17" s="65">
        <f t="shared" si="12"/>
        <v>3401.37514698012</v>
      </c>
      <c r="S17" s="65">
        <f t="shared" si="7"/>
        <v>3268.6546604602454</v>
      </c>
      <c r="T17" s="65">
        <f t="shared" si="7"/>
        <v>3142.3448717378465</v>
      </c>
      <c r="U17" s="65">
        <f t="shared" si="7"/>
        <v>3022.0777631941596</v>
      </c>
      <c r="V17" s="65">
        <f t="shared" si="7"/>
        <v>2907.5097309029557</v>
      </c>
      <c r="W17" s="65">
        <f t="shared" si="7"/>
        <v>2798.3197511161461</v>
      </c>
      <c r="X17" s="65">
        <f t="shared" si="7"/>
        <v>2694.2077002182432</v>
      </c>
      <c r="Y17" s="65">
        <f t="shared" si="7"/>
        <v>2594.8928140085809</v>
      </c>
    </row>
    <row r="18" spans="1:25" x14ac:dyDescent="0.25">
      <c r="A18" s="21">
        <v>6</v>
      </c>
      <c r="B18" s="22">
        <f>B$2*'Cost Distribution By Year'!C25</f>
        <v>51.06809610705595</v>
      </c>
      <c r="C18" s="25">
        <f t="shared" si="13"/>
        <v>6.02</v>
      </c>
      <c r="D18" s="23">
        <f>FishHarvestTimeTrends!AC27*((1+D$10)^MIN($A18,20))</f>
        <v>-0.36609789732137704</v>
      </c>
      <c r="E18" s="23">
        <f>FishHarvestTimeTrends!AD27*((1+E$10)^MIN($A18,20))</f>
        <v>-9.2998613393808327E-2</v>
      </c>
      <c r="G18" s="27">
        <f t="shared" si="8"/>
        <v>3508.7587543760924</v>
      </c>
      <c r="J18" s="41">
        <f t="shared" si="9"/>
        <v>36.410846736874618</v>
      </c>
      <c r="K18" s="41">
        <f t="shared" si="6"/>
        <v>4.2921768004916832</v>
      </c>
      <c r="L18" s="41">
        <f t="shared" si="10"/>
        <v>-0.26102274112817292</v>
      </c>
      <c r="M18" s="41">
        <f t="shared" si="10"/>
        <v>-6.6306726060930105E-2</v>
      </c>
      <c r="N18" s="41"/>
      <c r="O18" s="41">
        <f t="shared" si="11"/>
        <v>2501.6964990124852</v>
      </c>
      <c r="P18" s="41"/>
      <c r="R18" s="65">
        <f t="shared" si="12"/>
        <v>3435.8911329262046</v>
      </c>
      <c r="S18" s="65">
        <f t="shared" si="7"/>
        <v>3269.1325193315624</v>
      </c>
      <c r="T18" s="65">
        <f t="shared" si="7"/>
        <v>3111.9924583126785</v>
      </c>
      <c r="U18" s="65">
        <f t="shared" si="7"/>
        <v>2963.8298734498017</v>
      </c>
      <c r="V18" s="65">
        <f t="shared" si="7"/>
        <v>2824.0520580261459</v>
      </c>
      <c r="W18" s="65">
        <f t="shared" si="7"/>
        <v>2692.1106077846393</v>
      </c>
      <c r="X18" s="65">
        <f t="shared" si="7"/>
        <v>2567.4977301571216</v>
      </c>
      <c r="Y18" s="65">
        <f t="shared" si="7"/>
        <v>2449.7428919868676</v>
      </c>
    </row>
    <row r="19" spans="1:25" x14ac:dyDescent="0.25">
      <c r="A19" s="21">
        <v>7</v>
      </c>
      <c r="B19" s="22">
        <f>B$2*'Cost Distribution By Year'!C26</f>
        <v>49.11602037712894</v>
      </c>
      <c r="C19" s="25">
        <f t="shared" si="13"/>
        <v>6.02</v>
      </c>
      <c r="D19" s="23">
        <f>FishHarvestTimeTrends!AC28*((1+D$10)^MIN($A19,20))</f>
        <v>-0.30824294902145893</v>
      </c>
      <c r="E19" s="23">
        <f>FishHarvestTimeTrends!AD28*((1+E$10)^MIN($A19,20))</f>
        <v>-8.3994920579371024E-2</v>
      </c>
      <c r="G19" s="27">
        <f t="shared" si="8"/>
        <v>3510.5131337532803</v>
      </c>
      <c r="J19" s="41">
        <f t="shared" si="9"/>
        <v>32.728078243113245</v>
      </c>
      <c r="K19" s="41">
        <f t="shared" si="6"/>
        <v>4.0113801873754049</v>
      </c>
      <c r="L19" s="41">
        <f t="shared" si="10"/>
        <v>-0.20539529212671886</v>
      </c>
      <c r="M19" s="41">
        <f t="shared" si="10"/>
        <v>-5.596936216814944E-2</v>
      </c>
      <c r="N19" s="41"/>
      <c r="O19" s="41">
        <f t="shared" si="11"/>
        <v>2339.203128282235</v>
      </c>
      <c r="P19" s="41"/>
      <c r="R19" s="65">
        <f t="shared" si="12"/>
        <v>3440.2500693934121</v>
      </c>
      <c r="S19" s="65">
        <f t="shared" si="7"/>
        <v>3240.8711859550176</v>
      </c>
      <c r="T19" s="65">
        <f t="shared" si="7"/>
        <v>3054.843609185411</v>
      </c>
      <c r="U19" s="65">
        <f t="shared" si="7"/>
        <v>2881.1552721718322</v>
      </c>
      <c r="V19" s="65">
        <f t="shared" si="7"/>
        <v>2718.8796019857555</v>
      </c>
      <c r="W19" s="65">
        <f t="shared" si="7"/>
        <v>2567.1675700615911</v>
      </c>
      <c r="X19" s="65">
        <f t="shared" si="7"/>
        <v>2425.2405481672135</v>
      </c>
      <c r="Y19" s="65">
        <f t="shared" si="7"/>
        <v>2292.3838817245178</v>
      </c>
    </row>
    <row r="20" spans="1:25" x14ac:dyDescent="0.25">
      <c r="A20" s="21">
        <v>8</v>
      </c>
      <c r="B20" s="22">
        <f>B$2*'Cost Distribution By Year'!C27</f>
        <v>49.160895681265195</v>
      </c>
      <c r="C20" s="25">
        <f t="shared" si="13"/>
        <v>6.02</v>
      </c>
      <c r="D20" s="23">
        <f>FishHarvestTimeTrends!AC29*((1+D$10)^MIN($A20,20))</f>
        <v>-0.31754299951791759</v>
      </c>
      <c r="E20" s="23">
        <f>FishHarvestTimeTrends!AD29*((1+E$10)^MIN($A20,20))</f>
        <v>-8.534578261212164E-2</v>
      </c>
      <c r="F20" s="23">
        <f>B6</f>
        <v>5.7</v>
      </c>
      <c r="G20" s="27">
        <f t="shared" si="8"/>
        <v>3512.2683903201569</v>
      </c>
      <c r="H20" s="22">
        <f>B$8</f>
        <v>2.8000000000000001E-2</v>
      </c>
      <c r="I20" s="22"/>
      <c r="J20" s="41">
        <f t="shared" si="9"/>
        <v>30.614935096323212</v>
      </c>
      <c r="K20" s="41">
        <f t="shared" si="6"/>
        <v>3.7489534461452383</v>
      </c>
      <c r="L20" s="41">
        <f t="shared" si="10"/>
        <v>-0.19774982098704202</v>
      </c>
      <c r="M20" s="41">
        <f t="shared" si="10"/>
        <v>-5.3149064092637179E-2</v>
      </c>
      <c r="N20" s="41">
        <f t="shared" si="6"/>
        <v>3.5496735287421695</v>
      </c>
      <c r="O20" s="41">
        <f t="shared" si="11"/>
        <v>2187.2642335012861</v>
      </c>
      <c r="P20" s="41">
        <f t="shared" si="11"/>
        <v>1.7436992772768552E-2</v>
      </c>
      <c r="R20" s="65">
        <f t="shared" si="12"/>
        <v>3441.9643371523821</v>
      </c>
      <c r="S20" s="65">
        <f t="shared" si="7"/>
        <v>3210.3822809201051</v>
      </c>
      <c r="T20" s="65">
        <f t="shared" si="7"/>
        <v>2996.4370881340997</v>
      </c>
      <c r="U20" s="65">
        <f t="shared" si="7"/>
        <v>2798.6319848851554</v>
      </c>
      <c r="V20" s="65">
        <f t="shared" si="7"/>
        <v>2615.6100122083271</v>
      </c>
      <c r="W20" s="65">
        <f t="shared" si="7"/>
        <v>2446.1397933878966</v>
      </c>
      <c r="X20" s="65">
        <f t="shared" si="7"/>
        <v>2289.1028672575803</v>
      </c>
      <c r="Y20" s="65">
        <f t="shared" si="7"/>
        <v>2143.4824025376138</v>
      </c>
    </row>
    <row r="21" spans="1:25" x14ac:dyDescent="0.25">
      <c r="A21" s="21">
        <v>9</v>
      </c>
      <c r="B21" s="22">
        <f>B$2*'Cost Distribution By Year'!C28</f>
        <v>3.7695255474452547</v>
      </c>
      <c r="C21" s="25">
        <f t="shared" si="13"/>
        <v>6.02</v>
      </c>
      <c r="D21" s="23">
        <f>FishHarvestTimeTrends!AC30*((1+D$10)^MIN($A21,20))</f>
        <v>-0.24394231149703147</v>
      </c>
      <c r="E21" s="23">
        <f>FishHarvestTimeTrends!AD30*((1+E$10)^MIN($A21,20))</f>
        <v>-7.2090804198112118E-2</v>
      </c>
      <c r="F21" s="23">
        <f>F20*(1+F$10)</f>
        <v>5.7028499999999998</v>
      </c>
      <c r="G21" s="27">
        <f t="shared" si="8"/>
        <v>3514.0245245153169</v>
      </c>
      <c r="H21" s="22">
        <f t="shared" ref="H21:H84" si="14">B$8</f>
        <v>2.8000000000000001E-2</v>
      </c>
      <c r="I21" s="22"/>
      <c r="J21" s="41">
        <f t="shared" si="9"/>
        <v>2.193898188503649</v>
      </c>
      <c r="K21" s="41">
        <f t="shared" si="6"/>
        <v>3.503694809481531</v>
      </c>
      <c r="L21" s="41">
        <f t="shared" si="10"/>
        <v>-0.14197664627991297</v>
      </c>
      <c r="M21" s="41">
        <f t="shared" si="10"/>
        <v>-4.1957504398716747E-2</v>
      </c>
      <c r="N21" s="41">
        <f t="shared" si="6"/>
        <v>3.3191106219687292</v>
      </c>
      <c r="O21" s="41">
        <f t="shared" si="11"/>
        <v>2045.1942669327445</v>
      </c>
      <c r="P21" s="41">
        <f t="shared" si="11"/>
        <v>1.6296254927821077E-2</v>
      </c>
      <c r="R21" s="65">
        <f t="shared" si="12"/>
        <v>3502.816108187943</v>
      </c>
      <c r="S21" s="65">
        <f t="shared" si="7"/>
        <v>3234.7919073523531</v>
      </c>
      <c r="T21" s="65">
        <f t="shared" si="7"/>
        <v>2989.6198203880294</v>
      </c>
      <c r="U21" s="65">
        <f t="shared" si="7"/>
        <v>2765.1553819071646</v>
      </c>
      <c r="V21" s="65">
        <f t="shared" si="7"/>
        <v>2559.4734201760989</v>
      </c>
      <c r="W21" s="65">
        <f t="shared" si="7"/>
        <v>2370.8438199697362</v>
      </c>
      <c r="X21" s="65">
        <f t="shared" si="7"/>
        <v>2197.7101608125454</v>
      </c>
      <c r="Y21" s="65">
        <f t="shared" si="7"/>
        <v>2038.6708665824574</v>
      </c>
    </row>
    <row r="22" spans="1:25" x14ac:dyDescent="0.25">
      <c r="A22" s="21">
        <v>10</v>
      </c>
      <c r="B22" s="22">
        <f>B$2*'Cost Distribution By Year'!C29</f>
        <v>3.7695255474452547</v>
      </c>
      <c r="C22" s="25">
        <f t="shared" si="13"/>
        <v>6.02</v>
      </c>
      <c r="D22" s="23">
        <f>FishHarvestTimeTrends!AC31*((1+D$10)^MIN($A22,20))</f>
        <v>-0.19428149710205203</v>
      </c>
      <c r="E22" s="23">
        <f>FishHarvestTimeTrends!AD31*((1+E$10)^MIN($A22,20))</f>
        <v>-6.6597232335975212E-2</v>
      </c>
      <c r="F22" s="23">
        <f t="shared" si="13"/>
        <v>5.7057014249999991</v>
      </c>
      <c r="G22" s="27">
        <f t="shared" si="8"/>
        <v>3515.7815367775743</v>
      </c>
      <c r="H22" s="22">
        <f t="shared" si="14"/>
        <v>2.8000000000000001E-2</v>
      </c>
      <c r="I22" s="22"/>
      <c r="J22" s="41">
        <f t="shared" si="9"/>
        <v>2.0503721387884566</v>
      </c>
      <c r="K22" s="41">
        <f t="shared" si="6"/>
        <v>3.2744811303565706</v>
      </c>
      <c r="L22" s="41">
        <f t="shared" si="10"/>
        <v>-0.10567626183357047</v>
      </c>
      <c r="M22" s="41">
        <f t="shared" si="10"/>
        <v>-3.6224481830253036E-2</v>
      </c>
      <c r="N22" s="41">
        <f t="shared" si="6"/>
        <v>3.1035235301679558</v>
      </c>
      <c r="O22" s="41">
        <f t="shared" si="11"/>
        <v>1912.3522094076734</v>
      </c>
      <c r="P22" s="41">
        <f t="shared" si="11"/>
        <v>1.5230144792356145E-2</v>
      </c>
      <c r="R22" s="65">
        <f>(($D22/((1+R$10)^$M$7))+$G22+$H22+IF($M$3="Yes",$E22/((1+R$10)^$M$7),0)+IF($M$4="Yes",$F22)-($B22*(1+$M$5))-$C22)/((1+R$10)^($A22-1))</f>
        <v>3504.6282748364574</v>
      </c>
      <c r="S22" s="65">
        <f t="shared" si="7"/>
        <v>3204.421200840196</v>
      </c>
      <c r="T22" s="65">
        <f t="shared" si="7"/>
        <v>2932.516163895616</v>
      </c>
      <c r="U22" s="65">
        <f t="shared" si="7"/>
        <v>2686.0057504792403</v>
      </c>
      <c r="V22" s="65">
        <f t="shared" si="7"/>
        <v>2462.3053390346149</v>
      </c>
      <c r="W22" s="65">
        <f t="shared" si="7"/>
        <v>2259.1146339885772</v>
      </c>
      <c r="X22" s="65">
        <f t="shared" si="7"/>
        <v>2074.3840911195812</v>
      </c>
      <c r="Y22" s="65">
        <f t="shared" si="7"/>
        <v>1906.2855738980204</v>
      </c>
    </row>
    <row r="23" spans="1:25" x14ac:dyDescent="0.25">
      <c r="A23" s="21">
        <v>11</v>
      </c>
      <c r="B23" s="22">
        <f>B$2*'Cost Distribution By Year'!C30</f>
        <v>1.4808850364963502</v>
      </c>
      <c r="C23" s="25">
        <f t="shared" si="13"/>
        <v>6.02</v>
      </c>
      <c r="D23" s="23">
        <f>FishHarvestTimeTrends!AC32*((1+D$10)^MIN($A23,20))</f>
        <v>8.6167725856419811E-3</v>
      </c>
      <c r="E23" s="23">
        <f>FishHarvestTimeTrends!AD32*((1+E$10)^MIN($A23,20))</f>
        <v>-3.3324567397867599E-2</v>
      </c>
      <c r="F23" s="23">
        <f t="shared" si="13"/>
        <v>5.7085542757124985</v>
      </c>
      <c r="H23" s="22">
        <f t="shared" si="14"/>
        <v>2.8000000000000001E-2</v>
      </c>
      <c r="I23" s="22"/>
      <c r="J23" s="41">
        <f>B23/((1+$M$9)^($A23-1))</f>
        <v>0.75280686003581532</v>
      </c>
      <c r="K23" s="41">
        <f>C23/((1+$M$9)^($A23-1))</f>
        <v>3.0602627386510011</v>
      </c>
      <c r="L23" s="41">
        <f>D23/((1+$M$9)^(($A23+$M$7)-1))</f>
        <v>4.3803302443969428E-3</v>
      </c>
      <c r="M23" s="41">
        <f t="shared" si="10"/>
        <v>-1.694052024740169E-2</v>
      </c>
      <c r="N23" s="41">
        <f>F23/((1+$M$9)^($A23-1))</f>
        <v>2.9019395251710653</v>
      </c>
      <c r="P23" s="41">
        <f>H23/((1+$M$9)^($A23-1))</f>
        <v>1.4233780179772098E-2</v>
      </c>
      <c r="R23" s="65">
        <f>(($D23/((1+R$10)^$M$7))+$G23+$H23+IF($M$3="Yes",$E23/((1+R$10)^$M$7),0)+IF($M$4="Yes",$F23)-($B23*(1+$M$5))-$C23)/((1+R$10)^($A23-1))</f>
        <v>-7.9418583422574809</v>
      </c>
      <c r="S23" s="65">
        <f t="shared" si="7"/>
        <v>-7.189660753265338</v>
      </c>
      <c r="T23" s="65">
        <f t="shared" si="7"/>
        <v>-6.515089988920244</v>
      </c>
      <c r="U23" s="65">
        <f t="shared" si="7"/>
        <v>-5.9094884654455848</v>
      </c>
      <c r="V23" s="65">
        <f t="shared" si="7"/>
        <v>-5.3652349299194091</v>
      </c>
      <c r="W23" s="65">
        <f t="shared" si="7"/>
        <v>-4.8756120940551115</v>
      </c>
      <c r="X23" s="65">
        <f t="shared" si="7"/>
        <v>-4.4346922173163339</v>
      </c>
      <c r="Y23" s="65">
        <f t="shared" si="7"/>
        <v>-4.0372380665207936</v>
      </c>
    </row>
    <row r="24" spans="1:25" x14ac:dyDescent="0.25">
      <c r="A24" s="21">
        <v>12</v>
      </c>
      <c r="B24" s="22">
        <f>B$2*'Cost Distribution By Year'!C31</f>
        <v>1.4584473844282235</v>
      </c>
      <c r="C24" s="25">
        <f t="shared" si="13"/>
        <v>6.02</v>
      </c>
      <c r="D24" s="23">
        <f>FishHarvestTimeTrends!AC33*((1+D$10)^MIN($A24,20))</f>
        <v>0.21183980384499437</v>
      </c>
      <c r="E24" s="23">
        <f>FishHarvestTimeTrends!AD33*((1+E$10)^MIN($A24,20))</f>
        <v>-1.8613145513795979E-5</v>
      </c>
      <c r="F24" s="23">
        <f t="shared" si="13"/>
        <v>5.7114085528503544</v>
      </c>
      <c r="H24" s="22">
        <f t="shared" si="14"/>
        <v>2.8000000000000001E-2</v>
      </c>
      <c r="I24" s="22"/>
      <c r="J24" s="41">
        <f t="shared" si="9"/>
        <v>0.69289784625216633</v>
      </c>
      <c r="K24" s="41">
        <f t="shared" si="6"/>
        <v>2.8600586342532717</v>
      </c>
      <c r="L24" s="41">
        <f t="shared" ref="L24:M87" si="15">D24/((1+$M$9)^(($A24+$M$7)-1))</f>
        <v>0.10064356479491621</v>
      </c>
      <c r="M24" s="41">
        <f t="shared" si="15"/>
        <v>-8.8429713517183956E-6</v>
      </c>
      <c r="N24" s="41">
        <f t="shared" si="6"/>
        <v>2.7134490606856545</v>
      </c>
      <c r="P24" s="41">
        <f t="shared" si="11"/>
        <v>1.3302598298852426E-2</v>
      </c>
      <c r="R24" s="65">
        <f>(($D24/((1+R$10)^$M$7))+$G24+$H24+IF($M$3="Yes",$E24/((1+R$10)^$M$7),0)+IF($M$4="Yes",$F24)-($B24*(1+$M$5))-$C24)/((1+R$10)^($A24-1))</f>
        <v>-7.6761604090572098</v>
      </c>
      <c r="S24" s="65">
        <f t="shared" si="7"/>
        <v>-6.8803246341091544</v>
      </c>
      <c r="T24" s="65">
        <f t="shared" si="7"/>
        <v>-6.1736520991559409</v>
      </c>
      <c r="U24" s="65">
        <f t="shared" si="7"/>
        <v>-5.5454216020879867</v>
      </c>
      <c r="V24" s="65">
        <f t="shared" si="7"/>
        <v>-4.9862874293444577</v>
      </c>
      <c r="W24" s="65">
        <f t="shared" si="7"/>
        <v>-4.4880920108810258</v>
      </c>
      <c r="X24" s="65">
        <f t="shared" si="7"/>
        <v>-4.0437055463963771</v>
      </c>
      <c r="Y24" s="65">
        <f t="shared" si="7"/>
        <v>-3.6468885142586709</v>
      </c>
    </row>
    <row r="25" spans="1:25" x14ac:dyDescent="0.25">
      <c r="A25" s="21">
        <v>13</v>
      </c>
      <c r="B25" s="22">
        <f>B$2*'Cost Distribution By Year'!C32</f>
        <v>0.80775547445255469</v>
      </c>
      <c r="C25" s="25">
        <f t="shared" si="13"/>
        <v>6.02</v>
      </c>
      <c r="D25" s="23">
        <f>FishHarvestTimeTrends!AC34*((1+D$10)^MIN($A25,20))</f>
        <v>0.41538798643962715</v>
      </c>
      <c r="E25" s="23">
        <f>FishHarvestTimeTrends!AD34*((1+E$10)^MIN($A25,20))</f>
        <v>3.3320655392234194E-2</v>
      </c>
      <c r="F25" s="23">
        <f t="shared" si="13"/>
        <v>5.7142642571267794</v>
      </c>
      <c r="H25" s="22">
        <f t="shared" si="14"/>
        <v>2.8000000000000001E-2</v>
      </c>
      <c r="I25" s="22"/>
      <c r="J25" s="41">
        <f t="shared" si="9"/>
        <v>0.35865309079910851</v>
      </c>
      <c r="K25" s="41">
        <f t="shared" si="6"/>
        <v>2.6729519946292264</v>
      </c>
      <c r="L25" s="41">
        <f t="shared" si="15"/>
        <v>0.18443723370412282</v>
      </c>
      <c r="M25" s="41">
        <f t="shared" si="15"/>
        <v>1.4794769483891275E-2</v>
      </c>
      <c r="N25" s="41">
        <f t="shared" si="6"/>
        <v>2.537201668426166</v>
      </c>
      <c r="P25" s="41">
        <f t="shared" si="11"/>
        <v>1.2432334858740589E-2</v>
      </c>
      <c r="R25" s="65">
        <f t="shared" si="12"/>
        <v>-6.5933734749564596</v>
      </c>
      <c r="S25" s="65">
        <f t="shared" si="7"/>
        <v>-5.8512841822339245</v>
      </c>
      <c r="T25" s="65">
        <f t="shared" si="7"/>
        <v>-5.1988299890642793</v>
      </c>
      <c r="U25" s="65">
        <f t="shared" si="7"/>
        <v>-4.6244594979324889</v>
      </c>
      <c r="V25" s="65">
        <f t="shared" si="7"/>
        <v>-4.1182016192372659</v>
      </c>
      <c r="W25" s="65">
        <f t="shared" si="7"/>
        <v>-3.6714370628751589</v>
      </c>
      <c r="X25" s="65">
        <f t="shared" si="7"/>
        <v>-3.2767046196745881</v>
      </c>
      <c r="Y25" s="65">
        <f t="shared" si="7"/>
        <v>-2.927536674621313</v>
      </c>
    </row>
    <row r="26" spans="1:25" x14ac:dyDescent="0.25">
      <c r="A26" s="21">
        <v>14</v>
      </c>
      <c r="B26" s="22">
        <f>B$2*'Cost Distribution By Year'!C33</f>
        <v>0.7404425182481752</v>
      </c>
      <c r="C26" s="25">
        <f t="shared" si="13"/>
        <v>6.02</v>
      </c>
      <c r="D26" s="23">
        <f>FishHarvestTimeTrends!AC35*((1+D$10)^MIN($A26,20))</f>
        <v>0.61926171054893731</v>
      </c>
      <c r="E26" s="23">
        <f>FishHarvestTimeTrends!AD35*((1+E$10)^MIN($A26,20))</f>
        <v>6.6693263203173231E-2</v>
      </c>
      <c r="F26" s="23">
        <f t="shared" si="13"/>
        <v>5.7171213892553423</v>
      </c>
      <c r="H26" s="22">
        <f t="shared" si="14"/>
        <v>2.8000000000000001E-2</v>
      </c>
      <c r="I26" s="22"/>
      <c r="J26" s="41">
        <f t="shared" si="9"/>
        <v>0.30725732077805246</v>
      </c>
      <c r="K26" s="41">
        <f t="shared" si="6"/>
        <v>2.4980859762889964</v>
      </c>
      <c r="L26" s="41">
        <f t="shared" si="15"/>
        <v>0.25697159381645118</v>
      </c>
      <c r="M26" s="41">
        <f t="shared" si="15"/>
        <v>2.76753331429897E-2</v>
      </c>
      <c r="N26" s="41">
        <f t="shared" si="6"/>
        <v>2.3724021208040922</v>
      </c>
      <c r="P26" s="41">
        <f t="shared" si="11"/>
        <v>1.1619004540879054E-2</v>
      </c>
      <c r="R26" s="65">
        <f t="shared" si="12"/>
        <v>-6.2686202999705163</v>
      </c>
      <c r="S26" s="65">
        <f t="shared" si="7"/>
        <v>-5.5080022066240097</v>
      </c>
      <c r="T26" s="65">
        <f t="shared" si="7"/>
        <v>-4.8458473792543018</v>
      </c>
      <c r="U26" s="65">
        <f t="shared" si="7"/>
        <v>-4.2686253931733598</v>
      </c>
      <c r="V26" s="65">
        <f t="shared" si="7"/>
        <v>-3.764770907980084</v>
      </c>
      <c r="W26" s="65">
        <f t="shared" si="7"/>
        <v>-3.3243831841628766</v>
      </c>
      <c r="X26" s="65">
        <f t="shared" si="7"/>
        <v>-2.938973812247371</v>
      </c>
      <c r="Y26" s="65">
        <f t="shared" si="7"/>
        <v>-2.6012545618001441</v>
      </c>
    </row>
    <row r="27" spans="1:25" x14ac:dyDescent="0.25">
      <c r="A27" s="21">
        <v>15</v>
      </c>
      <c r="B27" s="22">
        <f>B$2*'Cost Distribution By Year'!C34</f>
        <v>0.60581660583941599</v>
      </c>
      <c r="C27" s="25">
        <f t="shared" si="13"/>
        <v>6.02</v>
      </c>
      <c r="D27" s="23">
        <f>FishHarvestTimeTrends!AC36*((1+D$10)^MIN($A27,20))</f>
        <v>0.82346136676851034</v>
      </c>
      <c r="E27" s="23">
        <f>FishHarvestTimeTrends!AD36*((1+E$10)^MIN($A27,20))</f>
        <v>0.10009923529175935</v>
      </c>
      <c r="F27" s="23">
        <f t="shared" si="13"/>
        <v>5.7199799499499697</v>
      </c>
      <c r="H27" s="22">
        <f t="shared" si="14"/>
        <v>2.8000000000000001E-2</v>
      </c>
      <c r="I27" s="22"/>
      <c r="J27" s="41">
        <f t="shared" si="9"/>
        <v>0.23494612463912251</v>
      </c>
      <c r="K27" s="41">
        <f t="shared" si="6"/>
        <v>2.3346597909242957</v>
      </c>
      <c r="L27" s="41">
        <f t="shared" si="15"/>
        <v>0.31935251534451914</v>
      </c>
      <c r="M27" s="41">
        <f t="shared" si="15"/>
        <v>3.8820209258794147E-2</v>
      </c>
      <c r="N27" s="41">
        <f t="shared" si="6"/>
        <v>2.2183068428640134</v>
      </c>
      <c r="P27" s="41">
        <f t="shared" si="11"/>
        <v>1.0858882748485097E-2</v>
      </c>
      <c r="R27" s="65">
        <f t="shared" si="12"/>
        <v>-5.8560009855309705</v>
      </c>
      <c r="S27" s="65">
        <f t="shared" si="7"/>
        <v>-5.0945040072163854</v>
      </c>
      <c r="T27" s="65">
        <f t="shared" si="7"/>
        <v>-4.4381168908983319</v>
      </c>
      <c r="U27" s="65">
        <f t="shared" si="7"/>
        <v>-3.8715065224259071</v>
      </c>
      <c r="V27" s="65">
        <f t="shared" si="7"/>
        <v>-3.3816946541240736</v>
      </c>
      <c r="W27" s="65">
        <f t="shared" si="7"/>
        <v>-2.9576784305018684</v>
      </c>
      <c r="X27" s="65">
        <f t="shared" si="7"/>
        <v>-2.5901148833086634</v>
      </c>
      <c r="Y27" s="65">
        <f t="shared" si="7"/>
        <v>-2.2710581456033565</v>
      </c>
    </row>
    <row r="28" spans="1:25" x14ac:dyDescent="0.25">
      <c r="A28" s="21">
        <v>16</v>
      </c>
      <c r="B28" s="22">
        <f>B$2*'Cost Distribution By Year'!C35</f>
        <v>0.58337895377128934</v>
      </c>
      <c r="C28" s="25">
        <f t="shared" si="13"/>
        <v>6.02</v>
      </c>
      <c r="D28" s="23">
        <f>FishHarvestTimeTrends!AC37*((1+D$10)^MIN($A28,20))</f>
        <v>0.96530840130180551</v>
      </c>
      <c r="E28" s="23">
        <f>FishHarvestTimeTrends!AD37*((1+E$10)^MIN($A28,20))</f>
        <v>0.12312041225906903</v>
      </c>
      <c r="F28" s="23">
        <f t="shared" si="13"/>
        <v>5.7228399399249446</v>
      </c>
      <c r="H28" s="22">
        <f t="shared" si="14"/>
        <v>2.8000000000000001E-2</v>
      </c>
      <c r="I28" s="22"/>
      <c r="J28" s="41">
        <f t="shared" si="9"/>
        <v>0.21144337973752797</v>
      </c>
      <c r="K28" s="41">
        <f t="shared" si="6"/>
        <v>2.1819250382470052</v>
      </c>
      <c r="L28" s="41">
        <f t="shared" si="15"/>
        <v>0.34987218777916901</v>
      </c>
      <c r="M28" s="41">
        <f t="shared" si="15"/>
        <v>4.4624503360025956E-2</v>
      </c>
      <c r="N28" s="41">
        <f t="shared" si="6"/>
        <v>2.0742205572761168</v>
      </c>
      <c r="P28" s="41">
        <f t="shared" si="11"/>
        <v>1.0148488549986071E-2</v>
      </c>
      <c r="R28" s="65">
        <f t="shared" si="12"/>
        <v>-5.6619638263418013</v>
      </c>
      <c r="S28" s="65">
        <f t="shared" si="7"/>
        <v>-4.8769295683167897</v>
      </c>
      <c r="T28" s="65">
        <f t="shared" si="7"/>
        <v>-4.206922523634117</v>
      </c>
      <c r="U28" s="65">
        <f t="shared" si="7"/>
        <v>-3.6341991276655197</v>
      </c>
      <c r="V28" s="65">
        <f t="shared" si="7"/>
        <v>-3.1438875284142309</v>
      </c>
      <c r="W28" s="65">
        <f t="shared" si="7"/>
        <v>-2.7235014092429792</v>
      </c>
      <c r="X28" s="65">
        <f t="shared" si="7"/>
        <v>-2.3625396798809444</v>
      </c>
      <c r="Y28" s="65">
        <f t="shared" si="7"/>
        <v>-2.0521562522166104</v>
      </c>
    </row>
    <row r="29" spans="1:25" x14ac:dyDescent="0.25">
      <c r="A29" s="21">
        <v>17</v>
      </c>
      <c r="B29" s="22">
        <f>B$2*'Cost Distribution By Year'!C36</f>
        <v>0.26925182481751819</v>
      </c>
      <c r="C29" s="25">
        <f t="shared" si="13"/>
        <v>6.02</v>
      </c>
      <c r="D29" s="23">
        <f>FishHarvestTimeTrends!AC38*((1+D$10)^MIN($A29,20))</f>
        <v>1.1073818640750788</v>
      </c>
      <c r="E29" s="23">
        <f>FishHarvestTimeTrends!AD38*((1+E$10)^MIN($A29,20))</f>
        <v>0.14616458537853716</v>
      </c>
      <c r="F29" s="23">
        <f t="shared" si="13"/>
        <v>5.7257013598949067</v>
      </c>
      <c r="H29" s="22">
        <f t="shared" si="14"/>
        <v>2.8000000000000001E-2</v>
      </c>
      <c r="I29" s="22"/>
      <c r="J29" s="41">
        <f t="shared" si="9"/>
        <v>9.1204908585562058E-2</v>
      </c>
      <c r="K29" s="41">
        <f t="shared" si="6"/>
        <v>2.0391822787355189</v>
      </c>
      <c r="L29" s="41">
        <f t="shared" si="15"/>
        <v>0.37510855033471863</v>
      </c>
      <c r="M29" s="41">
        <f t="shared" si="15"/>
        <v>4.9511002040305271E-2</v>
      </c>
      <c r="N29" s="41">
        <f t="shared" si="6"/>
        <v>1.9394931472474346</v>
      </c>
      <c r="P29" s="41">
        <f t="shared" si="11"/>
        <v>9.4845687383047408E-3</v>
      </c>
      <c r="R29" s="65">
        <f t="shared" si="12"/>
        <v>-5.0884809228091576</v>
      </c>
      <c r="S29" s="65">
        <f t="shared" si="12"/>
        <v>-4.3395647233028631</v>
      </c>
      <c r="T29" s="65">
        <f t="shared" si="12"/>
        <v>-3.7066826263850756</v>
      </c>
      <c r="U29" s="65">
        <f t="shared" si="12"/>
        <v>-3.1709730819469257</v>
      </c>
      <c r="V29" s="65">
        <f t="shared" si="12"/>
        <v>-2.7167815665092423</v>
      </c>
      <c r="W29" s="65">
        <f t="shared" si="12"/>
        <v>-2.3310917401723081</v>
      </c>
      <c r="X29" s="65">
        <f t="shared" si="12"/>
        <v>-2.0030616050071717</v>
      </c>
      <c r="Y29" s="65">
        <f t="shared" si="12"/>
        <v>-1.7236445387834212</v>
      </c>
    </row>
    <row r="30" spans="1:25" x14ac:dyDescent="0.25">
      <c r="A30" s="21">
        <v>18</v>
      </c>
      <c r="B30" s="22">
        <f>B$2*'Cost Distribution By Year'!C37</f>
        <v>0.26925182481751819</v>
      </c>
      <c r="C30" s="25">
        <f t="shared" si="13"/>
        <v>6.02</v>
      </c>
      <c r="D30" s="23">
        <f>FishHarvestTimeTrends!AC39*((1+D$10)^MIN($A30,20))</f>
        <v>1.2496820265914128</v>
      </c>
      <c r="E30" s="23">
        <f>FishHarvestTimeTrends!AD39*((1+E$10)^MIN($A30,20))</f>
        <v>0.1692317718910217</v>
      </c>
      <c r="F30" s="23">
        <f t="shared" si="13"/>
        <v>5.728564210574854</v>
      </c>
      <c r="H30" s="22">
        <f t="shared" si="14"/>
        <v>2.8000000000000001E-2</v>
      </c>
      <c r="I30" s="22"/>
      <c r="J30" s="41">
        <f t="shared" si="9"/>
        <v>8.5238232322955187E-2</v>
      </c>
      <c r="K30" s="41">
        <f t="shared" si="6"/>
        <v>1.905777830593943</v>
      </c>
      <c r="L30" s="41">
        <f t="shared" si="15"/>
        <v>0.39561732584213039</v>
      </c>
      <c r="M30" s="41">
        <f t="shared" si="15"/>
        <v>5.3574445033561527E-2</v>
      </c>
      <c r="N30" s="41">
        <f t="shared" si="6"/>
        <v>1.8135167231972509</v>
      </c>
      <c r="O30" s="41"/>
      <c r="P30" s="41">
        <f t="shared" ref="P30:P93" si="16">H30/((1+$M$9)^($A30-1))</f>
        <v>8.8640829329950845E-3</v>
      </c>
      <c r="R30" s="65">
        <f t="shared" ref="R30:Y45" si="17">(($D30/((1+R$10)^$M$7))+$G30+$H30+IF($M$3="Yes",$E30/((1+R$10)^$M$7),0)+IF($M$4="Yes",$F30)-($B30*(1+$M$5))-$C30)/((1+R$10)^($A30-1))</f>
        <v>-4.9231135737803386</v>
      </c>
      <c r="S30" s="65">
        <f t="shared" si="17"/>
        <v>-4.1569662692835578</v>
      </c>
      <c r="T30" s="65">
        <f t="shared" si="17"/>
        <v>-3.5159034051568741</v>
      </c>
      <c r="U30" s="65">
        <f t="shared" si="17"/>
        <v>-2.9785646768987304</v>
      </c>
      <c r="V30" s="65">
        <f t="shared" si="17"/>
        <v>-2.5273947950685209</v>
      </c>
      <c r="W30" s="65">
        <f t="shared" si="17"/>
        <v>-2.1479381449724118</v>
      </c>
      <c r="X30" s="65">
        <f t="shared" si="17"/>
        <v>-1.8282692100137206</v>
      </c>
      <c r="Y30" s="65">
        <f t="shared" si="17"/>
        <v>-1.5585316788050978</v>
      </c>
    </row>
    <row r="31" spans="1:25" x14ac:dyDescent="0.25">
      <c r="A31" s="21">
        <v>19</v>
      </c>
      <c r="B31" s="22">
        <f>B$2*'Cost Distribution By Year'!C38</f>
        <v>0.22437652068126518</v>
      </c>
      <c r="C31" s="25">
        <f t="shared" ref="C31:F46" si="18">C30*(1+C$10)</f>
        <v>6.02</v>
      </c>
      <c r="D31" s="23">
        <f>FishHarvestTimeTrends!AC40*((1+D$10)^MIN($A31,20))</f>
        <v>1.39220916064338</v>
      </c>
      <c r="E31" s="23">
        <f>FishHarvestTimeTrends!AD40*((1+E$10)^MIN($A31,20))</f>
        <v>0.19232198904887243</v>
      </c>
      <c r="F31" s="23">
        <f t="shared" si="18"/>
        <v>5.7314284926801413</v>
      </c>
      <c r="H31" s="22">
        <f t="shared" si="14"/>
        <v>2.8000000000000001E-2</v>
      </c>
      <c r="I31" s="22"/>
      <c r="J31" s="41">
        <f t="shared" si="9"/>
        <v>6.638491613937321E-2</v>
      </c>
      <c r="K31" s="41">
        <f t="shared" si="6"/>
        <v>1.7811007762560214</v>
      </c>
      <c r="L31" s="41">
        <f t="shared" si="15"/>
        <v>0.41190445460675551</v>
      </c>
      <c r="M31" s="41">
        <f t="shared" si="15"/>
        <v>5.690113687475893E-2</v>
      </c>
      <c r="N31" s="41">
        <f t="shared" si="6"/>
        <v>1.6957228799615414</v>
      </c>
      <c r="O31" s="41"/>
      <c r="P31" s="41">
        <f t="shared" si="16"/>
        <v>8.2841896570047518E-3</v>
      </c>
      <c r="R31" s="65">
        <f t="shared" si="17"/>
        <v>-4.6991583271933912</v>
      </c>
      <c r="S31" s="65">
        <f t="shared" si="17"/>
        <v>-3.9285777236588437</v>
      </c>
      <c r="T31" s="65">
        <f t="shared" si="17"/>
        <v>-3.290159757232229</v>
      </c>
      <c r="U31" s="65">
        <f t="shared" si="17"/>
        <v>-2.7602602617285497</v>
      </c>
      <c r="V31" s="65">
        <f t="shared" si="17"/>
        <v>-2.3196366953871594</v>
      </c>
      <c r="W31" s="65">
        <f t="shared" si="17"/>
        <v>-1.9525973454413845</v>
      </c>
      <c r="X31" s="65">
        <f t="shared" si="17"/>
        <v>-1.6463209434653026</v>
      </c>
      <c r="Y31" s="65">
        <f t="shared" si="17"/>
        <v>-1.3903113860986871</v>
      </c>
    </row>
    <row r="32" spans="1:25" x14ac:dyDescent="0.25">
      <c r="A32" s="21">
        <v>20</v>
      </c>
      <c r="C32" s="25">
        <f t="shared" si="18"/>
        <v>6.02</v>
      </c>
      <c r="D32" s="23">
        <f>FishHarvestTimeTrends!AC41*((1+D$10)^MIN($A32,20))</f>
        <v>1.5349635383133331</v>
      </c>
      <c r="E32" s="23">
        <f>FishHarvestTimeTrends!AD41*((1+E$10)^MIN($A32,20))</f>
        <v>0.215435254115938</v>
      </c>
      <c r="F32" s="23">
        <f t="shared" si="18"/>
        <v>5.7342942069264815</v>
      </c>
      <c r="H32" s="22">
        <f t="shared" si="14"/>
        <v>2.8000000000000001E-2</v>
      </c>
      <c r="I32" s="22"/>
      <c r="J32" s="41"/>
      <c r="K32" s="41">
        <f t="shared" si="6"/>
        <v>1.6645801647252536</v>
      </c>
      <c r="L32" s="41">
        <f t="shared" si="15"/>
        <v>0.42443020921143959</v>
      </c>
      <c r="M32" s="41">
        <f t="shared" si="15"/>
        <v>5.9569642987364613E-2</v>
      </c>
      <c r="N32" s="41">
        <f t="shared" si="6"/>
        <v>1.5855801321509553</v>
      </c>
      <c r="O32" s="41"/>
      <c r="P32" s="41">
        <f t="shared" si="16"/>
        <v>7.7422333243035062E-3</v>
      </c>
      <c r="R32" s="65">
        <f t="shared" si="17"/>
        <v>-4.2416012075707279</v>
      </c>
      <c r="S32" s="65">
        <f t="shared" si="17"/>
        <v>-3.5109426231909913</v>
      </c>
      <c r="T32" s="65">
        <f t="shared" si="17"/>
        <v>-2.911565539555053</v>
      </c>
      <c r="U32" s="65">
        <f t="shared" si="17"/>
        <v>-2.4189258999861738</v>
      </c>
      <c r="V32" s="65">
        <f t="shared" si="17"/>
        <v>-2.013243879011994</v>
      </c>
      <c r="W32" s="65">
        <f t="shared" si="17"/>
        <v>-1.6785456299585677</v>
      </c>
      <c r="X32" s="65">
        <f t="shared" si="17"/>
        <v>-1.4019043844514525</v>
      </c>
      <c r="Y32" s="65">
        <f t="shared" si="17"/>
        <v>-1.1728380792021458</v>
      </c>
    </row>
    <row r="33" spans="1:25" x14ac:dyDescent="0.25">
      <c r="A33" s="21">
        <v>21</v>
      </c>
      <c r="C33" s="25">
        <f>C32</f>
        <v>6.02</v>
      </c>
      <c r="D33" s="23">
        <f>FishHarvestTimeTrends!AC42*((1+D$10)^MIN($A33,20))</f>
        <v>1.5772550471010494</v>
      </c>
      <c r="E33" s="23">
        <f>FishHarvestTimeTrends!AD42*((1+E$10)^MIN($A33,20))</f>
        <v>0.22230750690404252</v>
      </c>
      <c r="F33" s="23">
        <f t="shared" si="18"/>
        <v>5.7371613540299444</v>
      </c>
      <c r="H33" s="22">
        <f t="shared" si="14"/>
        <v>2.8000000000000001E-2</v>
      </c>
      <c r="I33" s="22"/>
      <c r="J33" s="41"/>
      <c r="K33" s="41">
        <f t="shared" si="6"/>
        <v>1.5556823969394895</v>
      </c>
      <c r="L33" s="41">
        <f t="shared" si="15"/>
        <v>0.4075926764549947</v>
      </c>
      <c r="M33" s="41">
        <f t="shared" si="15"/>
        <v>5.7448484252179903E-2</v>
      </c>
      <c r="N33" s="41">
        <f t="shared" si="6"/>
        <v>1.4825915160906831</v>
      </c>
      <c r="O33" s="41"/>
      <c r="P33" s="41">
        <f t="shared" si="16"/>
        <v>7.2357320787883239E-3</v>
      </c>
      <c r="R33" s="65">
        <f t="shared" si="17"/>
        <v>-4.1924374459949076</v>
      </c>
      <c r="S33" s="65">
        <f t="shared" si="17"/>
        <v>-3.4358889261001404</v>
      </c>
      <c r="T33" s="65">
        <f t="shared" si="17"/>
        <v>-2.8213902170033336</v>
      </c>
      <c r="U33" s="65">
        <f t="shared" si="17"/>
        <v>-2.3212509647902624</v>
      </c>
      <c r="V33" s="65">
        <f t="shared" si="17"/>
        <v>-1.9133737231175603</v>
      </c>
      <c r="W33" s="65">
        <f t="shared" si="17"/>
        <v>-1.5800855809984242</v>
      </c>
      <c r="X33" s="65">
        <f t="shared" si="17"/>
        <v>-1.3072218128354349</v>
      </c>
      <c r="Y33" s="65">
        <f t="shared" si="17"/>
        <v>-1.0834055041535264</v>
      </c>
    </row>
    <row r="34" spans="1:25" x14ac:dyDescent="0.25">
      <c r="A34" s="21">
        <v>22</v>
      </c>
      <c r="C34" s="25">
        <f t="shared" ref="C34:C97" si="19">C33</f>
        <v>6.02</v>
      </c>
      <c r="D34" s="23">
        <f>FishHarvestTimeTrends!AC43*((1+D$10)^MIN($A34,20))</f>
        <v>1.6195465558887661</v>
      </c>
      <c r="E34" s="23">
        <f>FishHarvestTimeTrends!AD43*((1+E$10)^MIN($A34,20))</f>
        <v>0.22917975969214707</v>
      </c>
      <c r="F34" s="23">
        <f t="shared" si="18"/>
        <v>5.7400299347069588</v>
      </c>
      <c r="H34" s="22">
        <f t="shared" si="14"/>
        <v>2.8000000000000001E-2</v>
      </c>
      <c r="I34" s="22"/>
      <c r="J34" s="41"/>
      <c r="K34" s="41">
        <f t="shared" si="6"/>
        <v>1.4539087821864387</v>
      </c>
      <c r="L34" s="41">
        <f t="shared" si="15"/>
        <v>0.39114168783496295</v>
      </c>
      <c r="M34" s="41">
        <f t="shared" si="15"/>
        <v>5.5349911182024959E-2</v>
      </c>
      <c r="N34" s="41">
        <f t="shared" si="6"/>
        <v>1.3862923475221758</v>
      </c>
      <c r="O34" s="41"/>
      <c r="P34" s="41">
        <f t="shared" si="16"/>
        <v>6.7623664287741339E-3</v>
      </c>
      <c r="R34" s="65">
        <f t="shared" si="17"/>
        <v>-4.1432736844190865</v>
      </c>
      <c r="S34" s="65">
        <f t="shared" si="17"/>
        <v>-3.3619772645145498</v>
      </c>
      <c r="T34" s="65">
        <f t="shared" si="17"/>
        <v>-2.7336317792500462</v>
      </c>
      <c r="U34" s="65">
        <f t="shared" si="17"/>
        <v>-2.2272137689525562</v>
      </c>
      <c r="V34" s="65">
        <f t="shared" si="17"/>
        <v>-1.818207715488656</v>
      </c>
      <c r="W34" s="65">
        <f t="shared" si="17"/>
        <v>-1.4871964536400204</v>
      </c>
      <c r="X34" s="65">
        <f t="shared" si="17"/>
        <v>-1.2187663392307482</v>
      </c>
      <c r="Y34" s="65">
        <f t="shared" si="17"/>
        <v>-1.0006548167406766</v>
      </c>
    </row>
    <row r="35" spans="1:25" x14ac:dyDescent="0.25">
      <c r="A35" s="21">
        <v>23</v>
      </c>
      <c r="C35" s="25">
        <f t="shared" si="19"/>
        <v>6.02</v>
      </c>
      <c r="D35" s="23">
        <f>FishHarvestTimeTrends!AC44*((1+D$10)^MIN($A35,20))</f>
        <v>1.6618380646764821</v>
      </c>
      <c r="E35" s="23">
        <f>FishHarvestTimeTrends!AD44*((1+E$10)^MIN($A35,20))</f>
        <v>0.23605201248025157</v>
      </c>
      <c r="F35" s="23">
        <f t="shared" si="18"/>
        <v>5.7428999496743121</v>
      </c>
      <c r="H35" s="22">
        <f t="shared" si="14"/>
        <v>2.8000000000000001E-2</v>
      </c>
      <c r="I35" s="22"/>
      <c r="J35" s="41"/>
      <c r="K35" s="41">
        <f t="shared" si="6"/>
        <v>1.3587932543798493</v>
      </c>
      <c r="L35" s="41">
        <f t="shared" si="15"/>
        <v>0.37509872959369894</v>
      </c>
      <c r="M35" s="41">
        <f t="shared" si="15"/>
        <v>5.3280046883879377E-2</v>
      </c>
      <c r="N35" s="41">
        <f t="shared" si="6"/>
        <v>1.2962481249494737</v>
      </c>
      <c r="O35" s="41"/>
      <c r="P35" s="41">
        <f t="shared" si="16"/>
        <v>6.319968625022555E-3</v>
      </c>
      <c r="R35" s="65">
        <f t="shared" si="17"/>
        <v>-4.0941099228432662</v>
      </c>
      <c r="S35" s="65">
        <f t="shared" si="17"/>
        <v>-3.2891923813540336</v>
      </c>
      <c r="T35" s="65">
        <f t="shared" si="17"/>
        <v>-2.6482301159811228</v>
      </c>
      <c r="U35" s="65">
        <f t="shared" si="17"/>
        <v>-2.1366852665208813</v>
      </c>
      <c r="V35" s="65">
        <f t="shared" si="17"/>
        <v>-1.7275317354833999</v>
      </c>
      <c r="W35" s="65">
        <f t="shared" si="17"/>
        <v>-1.3995709493384301</v>
      </c>
      <c r="X35" s="65">
        <f t="shared" si="17"/>
        <v>-1.1361363708915555</v>
      </c>
      <c r="Y35" s="65">
        <f t="shared" si="17"/>
        <v>-0.92409450927724845</v>
      </c>
    </row>
    <row r="36" spans="1:25" x14ac:dyDescent="0.25">
      <c r="A36" s="21">
        <v>24</v>
      </c>
      <c r="C36" s="25">
        <f t="shared" si="19"/>
        <v>6.02</v>
      </c>
      <c r="D36" s="23">
        <f>FishHarvestTimeTrends!AC45*((1+D$10)^MIN($A36,20))</f>
        <v>1.7041295734641988</v>
      </c>
      <c r="E36" s="23">
        <f>FishHarvestTimeTrends!AD45*((1+E$10)^MIN($A36,20))</f>
        <v>0.24292426526835609</v>
      </c>
      <c r="F36" s="23">
        <f t="shared" si="18"/>
        <v>5.7457713996491488</v>
      </c>
      <c r="H36" s="22">
        <f t="shared" si="14"/>
        <v>2.8000000000000001E-2</v>
      </c>
      <c r="I36" s="22"/>
      <c r="J36" s="41"/>
      <c r="K36" s="41">
        <f t="shared" si="6"/>
        <v>1.2699002377381767</v>
      </c>
      <c r="L36" s="41">
        <f t="shared" si="15"/>
        <v>0.3594808223386784</v>
      </c>
      <c r="M36" s="41">
        <f t="shared" si="15"/>
        <v>5.1244116647285273E-2</v>
      </c>
      <c r="N36" s="41">
        <f t="shared" si="6"/>
        <v>1.2120525691700452</v>
      </c>
      <c r="O36" s="41"/>
      <c r="P36" s="41">
        <f t="shared" si="16"/>
        <v>5.9065127336659397E-3</v>
      </c>
      <c r="R36" s="65">
        <f t="shared" si="17"/>
        <v>-4.0449461612674451</v>
      </c>
      <c r="S36" s="65">
        <f t="shared" si="17"/>
        <v>-3.2175192097055181</v>
      </c>
      <c r="T36" s="65">
        <f t="shared" si="17"/>
        <v>-2.5651265449360294</v>
      </c>
      <c r="U36" s="65">
        <f t="shared" si="17"/>
        <v>-2.0495408427565835</v>
      </c>
      <c r="V36" s="65">
        <f t="shared" si="17"/>
        <v>-1.6411411744793043</v>
      </c>
      <c r="W36" s="65">
        <f t="shared" si="17"/>
        <v>-1.3169184036015256</v>
      </c>
      <c r="X36" s="65">
        <f t="shared" si="17"/>
        <v>-1.0589558268595134</v>
      </c>
      <c r="Y36" s="65">
        <f t="shared" si="17"/>
        <v>-0.85326878601854728</v>
      </c>
    </row>
    <row r="37" spans="1:25" x14ac:dyDescent="0.25">
      <c r="A37" s="21">
        <v>25</v>
      </c>
      <c r="C37" s="25">
        <f t="shared" si="19"/>
        <v>6.02</v>
      </c>
      <c r="D37" s="23">
        <f>FishHarvestTimeTrends!AC46*((1+D$10)^MIN($A37,20))</f>
        <v>1.7464210822519153</v>
      </c>
      <c r="E37" s="23">
        <f>FishHarvestTimeTrends!AD46*((1+E$10)^MIN($A37,20))</f>
        <v>0.24979651805646064</v>
      </c>
      <c r="F37" s="23">
        <f t="shared" si="18"/>
        <v>5.7486442853489734</v>
      </c>
      <c r="H37" s="22">
        <f t="shared" si="14"/>
        <v>2.8000000000000001E-2</v>
      </c>
      <c r="I37" s="22"/>
      <c r="J37" s="41"/>
      <c r="K37" s="41">
        <f t="shared" si="6"/>
        <v>1.186822652091754</v>
      </c>
      <c r="L37" s="41">
        <f t="shared" si="15"/>
        <v>0.34430101337328395</v>
      </c>
      <c r="M37" s="41">
        <f t="shared" si="15"/>
        <v>4.9246539209809689E-2</v>
      </c>
      <c r="N37" s="41">
        <f t="shared" si="6"/>
        <v>1.1333257901445142</v>
      </c>
      <c r="O37" s="41"/>
      <c r="P37" s="41">
        <f t="shared" si="16"/>
        <v>5.5201053585662982E-3</v>
      </c>
      <c r="R37" s="65">
        <f t="shared" si="17"/>
        <v>-3.9957823996916235</v>
      </c>
      <c r="S37" s="65">
        <f t="shared" si="17"/>
        <v>-3.1469428705529956</v>
      </c>
      <c r="T37" s="65">
        <f t="shared" si="17"/>
        <v>-2.4842637790161244</v>
      </c>
      <c r="U37" s="65">
        <f t="shared" si="17"/>
        <v>-1.9656601654799515</v>
      </c>
      <c r="V37" s="65">
        <f t="shared" si="17"/>
        <v>-1.5588405209259915</v>
      </c>
      <c r="W37" s="65">
        <f t="shared" si="17"/>
        <v>-1.2389638986165752</v>
      </c>
      <c r="X37" s="65">
        <f t="shared" si="17"/>
        <v>-0.98687253653489948</v>
      </c>
      <c r="Y37" s="65">
        <f t="shared" si="17"/>
        <v>-0.78775499415009398</v>
      </c>
    </row>
    <row r="38" spans="1:25" x14ac:dyDescent="0.25">
      <c r="A38" s="21">
        <v>26</v>
      </c>
      <c r="C38" s="25">
        <f t="shared" si="19"/>
        <v>6.02</v>
      </c>
      <c r="D38" s="23">
        <f>FishHarvestTimeTrends!AC47*((1+D$10)^MIN($A38,20))</f>
        <v>1.760188261198198</v>
      </c>
      <c r="E38" s="23">
        <f>FishHarvestTimeTrends!AD47*((1+E$10)^MIN($A38,20))</f>
        <v>0.25174364840002228</v>
      </c>
      <c r="F38" s="23">
        <f t="shared" si="18"/>
        <v>5.751518607491648</v>
      </c>
      <c r="H38" s="22">
        <f t="shared" si="14"/>
        <v>2.8000000000000001E-2</v>
      </c>
      <c r="I38" s="22"/>
      <c r="J38" s="41"/>
      <c r="K38" s="41">
        <f t="shared" si="6"/>
        <v>1.1091800486838821</v>
      </c>
      <c r="L38" s="41">
        <f t="shared" si="15"/>
        <v>0.32431323941006901</v>
      </c>
      <c r="M38" s="41">
        <f t="shared" si="15"/>
        <v>4.6383560164151967E-2</v>
      </c>
      <c r="N38" s="41">
        <f t="shared" si="6"/>
        <v>1.0597125729341927</v>
      </c>
      <c r="O38" s="41"/>
      <c r="P38" s="41">
        <f t="shared" si="16"/>
        <v>5.1589769706227081E-3</v>
      </c>
      <c r="R38" s="65">
        <f t="shared" si="17"/>
        <v>-3.9800680904017791</v>
      </c>
      <c r="S38" s="65">
        <f t="shared" si="17"/>
        <v>-3.1035314978618356</v>
      </c>
      <c r="T38" s="65">
        <f t="shared" si="17"/>
        <v>-2.4259743679044226</v>
      </c>
      <c r="U38" s="65">
        <f t="shared" si="17"/>
        <v>-1.9009026860165084</v>
      </c>
      <c r="V38" s="65">
        <f t="shared" si="17"/>
        <v>-1.4929904148245554</v>
      </c>
      <c r="W38" s="65">
        <f t="shared" si="17"/>
        <v>-1.1753251386414645</v>
      </c>
      <c r="X38" s="65">
        <f t="shared" si="17"/>
        <v>-0.92735041437586807</v>
      </c>
      <c r="Y38" s="65">
        <f t="shared" si="17"/>
        <v>-0.7333242721390385</v>
      </c>
    </row>
    <row r="39" spans="1:25" x14ac:dyDescent="0.25">
      <c r="A39" s="21">
        <v>27</v>
      </c>
      <c r="C39" s="25">
        <f t="shared" si="19"/>
        <v>6.02</v>
      </c>
      <c r="D39" s="23">
        <f>FishHarvestTimeTrends!AC48*((1+D$10)^MIN($A39,20))</f>
        <v>1.7739554401444804</v>
      </c>
      <c r="E39" s="23">
        <f>FishHarvestTimeTrends!AD48*((1+E$10)^MIN($A39,20))</f>
        <v>0.25369077874358398</v>
      </c>
      <c r="F39" s="23">
        <f t="shared" si="18"/>
        <v>5.7543943667953936</v>
      </c>
      <c r="H39" s="22">
        <f t="shared" si="14"/>
        <v>2.8000000000000001E-2</v>
      </c>
      <c r="I39" s="22"/>
      <c r="J39" s="41"/>
      <c r="K39" s="41">
        <f t="shared" si="6"/>
        <v>1.0366168679288619</v>
      </c>
      <c r="L39" s="41">
        <f t="shared" si="15"/>
        <v>0.30546713159600286</v>
      </c>
      <c r="M39" s="41">
        <f t="shared" si="15"/>
        <v>4.36844087182073E-2</v>
      </c>
      <c r="N39" s="41">
        <f t="shared" si="6"/>
        <v>0.99088077497257943</v>
      </c>
      <c r="O39" s="41"/>
      <c r="P39" s="41">
        <f t="shared" si="16"/>
        <v>4.8214738043202889E-3</v>
      </c>
      <c r="R39" s="65">
        <f t="shared" si="17"/>
        <v>-3.9643537811119351</v>
      </c>
      <c r="S39" s="65">
        <f t="shared" si="17"/>
        <v>-3.0606712627467041</v>
      </c>
      <c r="T39" s="65">
        <f t="shared" si="17"/>
        <v>-2.3690156973365033</v>
      </c>
      <c r="U39" s="65">
        <f t="shared" si="17"/>
        <v>-1.8382499460025032</v>
      </c>
      <c r="V39" s="65">
        <f t="shared" si="17"/>
        <v>-1.4298997243981919</v>
      </c>
      <c r="W39" s="65">
        <f t="shared" si="17"/>
        <v>-1.1149377710027215</v>
      </c>
      <c r="X39" s="65">
        <f t="shared" si="17"/>
        <v>-0.87140471870945257</v>
      </c>
      <c r="Y39" s="65">
        <f t="shared" si="17"/>
        <v>-0.68264385381033155</v>
      </c>
    </row>
    <row r="40" spans="1:25" x14ac:dyDescent="0.25">
      <c r="A40" s="21">
        <v>28</v>
      </c>
      <c r="C40" s="25">
        <f t="shared" si="19"/>
        <v>6.02</v>
      </c>
      <c r="D40" s="23">
        <f>FishHarvestTimeTrends!AC49*((1+D$10)^MIN($A40,20))</f>
        <v>1.7877226190907629</v>
      </c>
      <c r="E40" s="23">
        <f>FishHarvestTimeTrends!AD49*((1+E$10)^MIN($A40,20))</f>
        <v>0.25563790908714551</v>
      </c>
      <c r="F40" s="23">
        <f t="shared" si="18"/>
        <v>5.757271563978791</v>
      </c>
      <c r="H40" s="22">
        <f t="shared" si="14"/>
        <v>2.8000000000000001E-2</v>
      </c>
      <c r="I40" s="22"/>
      <c r="J40" s="41"/>
      <c r="K40" s="41">
        <f t="shared" si="6"/>
        <v>0.96880081114846894</v>
      </c>
      <c r="L40" s="41">
        <f t="shared" si="15"/>
        <v>0.28769885772152765</v>
      </c>
      <c r="M40" s="41">
        <f t="shared" si="15"/>
        <v>4.1139902605303182E-2</v>
      </c>
      <c r="N40" s="41">
        <f t="shared" si="6"/>
        <v>0.92651982743931349</v>
      </c>
      <c r="O40" s="41"/>
      <c r="P40" s="41">
        <f t="shared" si="16"/>
        <v>4.5060502844114832E-3</v>
      </c>
      <c r="R40" s="65">
        <f t="shared" si="17"/>
        <v>-3.9486394718220912</v>
      </c>
      <c r="S40" s="65">
        <f t="shared" si="17"/>
        <v>-3.0183555071919499</v>
      </c>
      <c r="T40" s="65">
        <f t="shared" si="17"/>
        <v>-2.3133579917935836</v>
      </c>
      <c r="U40" s="65">
        <f t="shared" si="17"/>
        <v>-1.7776342753781214</v>
      </c>
      <c r="V40" s="65">
        <f t="shared" si="17"/>
        <v>-1.369453598302222</v>
      </c>
      <c r="W40" s="65">
        <f t="shared" si="17"/>
        <v>-1.0576364448655335</v>
      </c>
      <c r="X40" s="65">
        <f t="shared" si="17"/>
        <v>-0.81882127918135572</v>
      </c>
      <c r="Y40" s="65">
        <f t="shared" si="17"/>
        <v>-0.63545600053722662</v>
      </c>
    </row>
    <row r="41" spans="1:25" x14ac:dyDescent="0.25">
      <c r="A41" s="21">
        <v>29</v>
      </c>
      <c r="C41" s="25">
        <f t="shared" si="19"/>
        <v>6.02</v>
      </c>
      <c r="D41" s="23">
        <f>FishHarvestTimeTrends!AC50*((1+D$10)^MIN($A41,20))</f>
        <v>1.8014897980370457</v>
      </c>
      <c r="E41" s="23">
        <f>FishHarvestTimeTrends!AD50*((1+E$10)^MIN($A41,20))</f>
        <v>0.25758503943070721</v>
      </c>
      <c r="F41" s="23">
        <f t="shared" si="18"/>
        <v>5.7601501997607798</v>
      </c>
      <c r="H41" s="22">
        <f t="shared" si="14"/>
        <v>2.8000000000000001E-2</v>
      </c>
      <c r="I41" s="22"/>
      <c r="J41" s="41"/>
      <c r="K41" s="41">
        <f t="shared" si="6"/>
        <v>0.90542131883034493</v>
      </c>
      <c r="L41" s="41">
        <f t="shared" si="15"/>
        <v>0.27094805129536775</v>
      </c>
      <c r="M41" s="41">
        <f t="shared" si="15"/>
        <v>3.8741359819321815E-2</v>
      </c>
      <c r="N41" s="41">
        <f t="shared" si="6"/>
        <v>0.86633933397479745</v>
      </c>
      <c r="O41" s="41"/>
      <c r="P41" s="41">
        <f t="shared" si="16"/>
        <v>4.2112619480481166E-3</v>
      </c>
      <c r="R41" s="65">
        <f t="shared" si="17"/>
        <v>-3.9329251625322468</v>
      </c>
      <c r="S41" s="65">
        <f t="shared" si="17"/>
        <v>-2.9765776509960129</v>
      </c>
      <c r="T41" s="65">
        <f t="shared" si="17"/>
        <v>-2.2589721317977762</v>
      </c>
      <c r="U41" s="65">
        <f t="shared" si="17"/>
        <v>-1.7189901605018627</v>
      </c>
      <c r="V41" s="65">
        <f t="shared" si="17"/>
        <v>-1.3115419379349387</v>
      </c>
      <c r="W41" s="65">
        <f t="shared" si="17"/>
        <v>-1.0032641843219039</v>
      </c>
      <c r="X41" s="65">
        <f t="shared" si="17"/>
        <v>-0.76939871231311996</v>
      </c>
      <c r="Y41" s="65">
        <f t="shared" si="17"/>
        <v>-0.59152064576760732</v>
      </c>
    </row>
    <row r="42" spans="1:25" x14ac:dyDescent="0.25">
      <c r="A42" s="21">
        <v>30</v>
      </c>
      <c r="C42" s="25">
        <f t="shared" si="19"/>
        <v>6.02</v>
      </c>
      <c r="D42" s="23">
        <f>FishHarvestTimeTrends!AC51*((1+D$10)^MIN($A42,20))</f>
        <v>1.8152569769833287</v>
      </c>
      <c r="E42" s="23">
        <f>FishHarvestTimeTrends!AD51*((1+E$10)^MIN($A42,20))</f>
        <v>0.25953216977426885</v>
      </c>
      <c r="F42" s="23">
        <f t="shared" si="18"/>
        <v>5.7630302748606601</v>
      </c>
      <c r="H42" s="22">
        <f t="shared" si="14"/>
        <v>2.8000000000000001E-2</v>
      </c>
      <c r="I42" s="22"/>
      <c r="J42" s="41"/>
      <c r="K42" s="41">
        <f t="shared" si="6"/>
        <v>0.84618814843957468</v>
      </c>
      <c r="L42" s="41">
        <f t="shared" si="15"/>
        <v>0.25515763127832936</v>
      </c>
      <c r="M42" s="41">
        <f t="shared" si="15"/>
        <v>3.6480572458769754E-2</v>
      </c>
      <c r="N42" s="41">
        <f t="shared" si="6"/>
        <v>0.81006776041288298</v>
      </c>
      <c r="O42" s="41"/>
      <c r="P42" s="41">
        <f t="shared" si="16"/>
        <v>3.9357588299515104E-3</v>
      </c>
      <c r="R42" s="65">
        <f t="shared" si="17"/>
        <v>-3.9172108532424019</v>
      </c>
      <c r="S42" s="65">
        <f t="shared" si="17"/>
        <v>-2.9353311908832427</v>
      </c>
      <c r="T42" s="65">
        <f t="shared" si="17"/>
        <v>-2.2058296396327184</v>
      </c>
      <c r="U42" s="65">
        <f t="shared" si="17"/>
        <v>-1.6622541759409144</v>
      </c>
      <c r="V42" s="65">
        <f t="shared" si="17"/>
        <v>-1.2560592017404313</v>
      </c>
      <c r="W42" s="65">
        <f t="shared" si="17"/>
        <v>-0.95167196572377699</v>
      </c>
      <c r="X42" s="65">
        <f t="shared" si="17"/>
        <v>-0.7229476601303475</v>
      </c>
      <c r="Y42" s="65">
        <f t="shared" si="17"/>
        <v>-0.55061418587252409</v>
      </c>
    </row>
    <row r="43" spans="1:25" x14ac:dyDescent="0.25">
      <c r="A43" s="21">
        <v>31</v>
      </c>
      <c r="C43" s="25">
        <f t="shared" si="19"/>
        <v>6.02</v>
      </c>
      <c r="D43" s="23">
        <f>FishHarvestTimeTrends!AC52*((1+D$10)^MIN($A43,20))</f>
        <v>1.8175671943521008</v>
      </c>
      <c r="E43" s="23">
        <f>FishHarvestTimeTrends!AD52*((1+E$10)^MIN($A43,20))</f>
        <v>0.25986654218280919</v>
      </c>
      <c r="F43" s="23">
        <f t="shared" si="18"/>
        <v>5.7659117899980901</v>
      </c>
      <c r="H43" s="22">
        <f t="shared" si="14"/>
        <v>2.8000000000000001E-2</v>
      </c>
      <c r="I43" s="22"/>
      <c r="J43" s="41"/>
      <c r="K43" s="41">
        <f t="shared" si="6"/>
        <v>0.79083004527063061</v>
      </c>
      <c r="L43" s="41">
        <f t="shared" si="15"/>
        <v>0.23876856255679152</v>
      </c>
      <c r="M43" s="41">
        <f t="shared" si="15"/>
        <v>3.413791849148725E-2</v>
      </c>
      <c r="N43" s="41">
        <f t="shared" si="6"/>
        <v>0.75745120961970969</v>
      </c>
      <c r="O43" s="41"/>
      <c r="P43" s="41">
        <f t="shared" si="16"/>
        <v>3.6782792803285148E-3</v>
      </c>
      <c r="R43" s="65">
        <f t="shared" si="17"/>
        <v>-3.9145662634650895</v>
      </c>
      <c r="S43" s="65">
        <f t="shared" si="17"/>
        <v>-2.9043064240610583</v>
      </c>
      <c r="T43" s="65">
        <f t="shared" si="17"/>
        <v>-2.1611180770419445</v>
      </c>
      <c r="U43" s="65">
        <f t="shared" si="17"/>
        <v>-1.612749469795274</v>
      </c>
      <c r="V43" s="65">
        <f t="shared" si="17"/>
        <v>-1.2069338560452456</v>
      </c>
      <c r="W43" s="65">
        <f t="shared" si="17"/>
        <v>-0.9057423546348482</v>
      </c>
      <c r="X43" s="65">
        <f t="shared" si="17"/>
        <v>-0.68156564459025926</v>
      </c>
      <c r="Y43" s="65">
        <f t="shared" si="17"/>
        <v>-0.51424528494202326</v>
      </c>
    </row>
    <row r="44" spans="1:25" x14ac:dyDescent="0.25">
      <c r="A44" s="21">
        <v>32</v>
      </c>
      <c r="C44" s="25">
        <f t="shared" si="19"/>
        <v>6.02</v>
      </c>
      <c r="D44" s="23">
        <f>FishHarvestTimeTrends!AC53*((1+D$10)^MIN($A44,20))</f>
        <v>1.8198774117208731</v>
      </c>
      <c r="E44" s="23">
        <f>FishHarvestTimeTrends!AD53*((1+E$10)^MIN($A44,20))</f>
        <v>0.26020091459134953</v>
      </c>
      <c r="F44" s="23">
        <f t="shared" si="18"/>
        <v>5.7687947458930884</v>
      </c>
      <c r="H44" s="22">
        <f t="shared" si="14"/>
        <v>2.8000000000000001E-2</v>
      </c>
      <c r="I44" s="22"/>
      <c r="J44" s="41"/>
      <c r="K44" s="41">
        <f t="shared" si="6"/>
        <v>0.73909350025292564</v>
      </c>
      <c r="L44" s="41">
        <f t="shared" si="15"/>
        <v>0.22343182163787623</v>
      </c>
      <c r="M44" s="41">
        <f t="shared" si="15"/>
        <v>3.1945648626965632E-2</v>
      </c>
      <c r="N44" s="41">
        <f t="shared" si="6"/>
        <v>0.70825227591076578</v>
      </c>
      <c r="O44" s="41"/>
      <c r="P44" s="41">
        <f t="shared" si="16"/>
        <v>3.4376441872229105E-3</v>
      </c>
      <c r="R44" s="65">
        <f t="shared" si="17"/>
        <v>-3.9119216736877771</v>
      </c>
      <c r="S44" s="65">
        <f t="shared" si="17"/>
        <v>-2.8736082597001245</v>
      </c>
      <c r="T44" s="65">
        <f t="shared" si="17"/>
        <v>-2.1173118392280363</v>
      </c>
      <c r="U44" s="65">
        <f t="shared" si="17"/>
        <v>-1.5647183823521067</v>
      </c>
      <c r="V44" s="65">
        <f t="shared" si="17"/>
        <v>-1.1597293073536235</v>
      </c>
      <c r="W44" s="65">
        <f t="shared" si="17"/>
        <v>-0.86202900590422094</v>
      </c>
      <c r="X44" s="65">
        <f t="shared" si="17"/>
        <v>-0.64255207048860963</v>
      </c>
      <c r="Y44" s="65">
        <f t="shared" si="17"/>
        <v>-0.48027838580086091</v>
      </c>
    </row>
    <row r="45" spans="1:25" x14ac:dyDescent="0.25">
      <c r="A45" s="21">
        <v>33</v>
      </c>
      <c r="C45" s="25">
        <f t="shared" si="19"/>
        <v>6.02</v>
      </c>
      <c r="D45" s="23">
        <f>FishHarvestTimeTrends!AC54*((1+D$10)^MIN($A45,20))</f>
        <v>1.8221876290896453</v>
      </c>
      <c r="E45" s="23">
        <f>FishHarvestTimeTrends!AD54*((1+E$10)^MIN($A45,20))</f>
        <v>0.26053528699988981</v>
      </c>
      <c r="F45" s="23">
        <f t="shared" si="18"/>
        <v>5.7716791432660344</v>
      </c>
      <c r="H45" s="22">
        <f t="shared" si="14"/>
        <v>2.8000000000000001E-2</v>
      </c>
      <c r="I45" s="22"/>
      <c r="J45" s="41"/>
      <c r="K45" s="41">
        <f t="shared" si="6"/>
        <v>0.69074158902142591</v>
      </c>
      <c r="L45" s="41">
        <f t="shared" si="15"/>
        <v>0.2090798635236821</v>
      </c>
      <c r="M45" s="41">
        <f t="shared" si="15"/>
        <v>2.9894112647584244E-2</v>
      </c>
      <c r="N45" s="41">
        <f t="shared" si="6"/>
        <v>0.66224897387730952</v>
      </c>
      <c r="O45" s="41"/>
      <c r="P45" s="41">
        <f t="shared" si="16"/>
        <v>3.2127515768438416E-3</v>
      </c>
      <c r="R45" s="65">
        <f t="shared" si="17"/>
        <v>-3.9092770839104647</v>
      </c>
      <c r="S45" s="65">
        <f t="shared" si="17"/>
        <v>-2.8432332717706026</v>
      </c>
      <c r="T45" s="65">
        <f t="shared" si="17"/>
        <v>-2.0743926134018151</v>
      </c>
      <c r="U45" s="65">
        <f t="shared" si="17"/>
        <v>-1.518117068385396</v>
      </c>
      <c r="V45" s="65">
        <f t="shared" si="17"/>
        <v>-1.1143704726796331</v>
      </c>
      <c r="W45" s="65">
        <f t="shared" si="17"/>
        <v>-0.82042499570432303</v>
      </c>
      <c r="X45" s="65">
        <f t="shared" si="17"/>
        <v>-0.60577139982697903</v>
      </c>
      <c r="Y45" s="65">
        <f t="shared" si="17"/>
        <v>-0.44855486127331573</v>
      </c>
    </row>
    <row r="46" spans="1:25" x14ac:dyDescent="0.25">
      <c r="A46" s="21">
        <v>34</v>
      </c>
      <c r="C46" s="25">
        <f t="shared" si="19"/>
        <v>6.02</v>
      </c>
      <c r="D46" s="23">
        <f>FishHarvestTimeTrends!AC55*((1+D$10)^MIN($A46,20))</f>
        <v>1.8244978464584176</v>
      </c>
      <c r="E46" s="23">
        <f>FishHarvestTimeTrends!AD55*((1+E$10)^MIN($A46,20))</f>
        <v>0.26086965940843015</v>
      </c>
      <c r="F46" s="23">
        <f t="shared" si="18"/>
        <v>5.7745649828376671</v>
      </c>
      <c r="H46" s="22">
        <f t="shared" si="14"/>
        <v>2.8000000000000001E-2</v>
      </c>
      <c r="I46" s="22"/>
      <c r="J46" s="41"/>
      <c r="K46" s="41">
        <f t="shared" si="6"/>
        <v>0.64555288693591206</v>
      </c>
      <c r="L46" s="41">
        <f t="shared" si="15"/>
        <v>0.19564947707468205</v>
      </c>
      <c r="M46" s="41">
        <f t="shared" si="15"/>
        <v>2.7974279359651199E-2</v>
      </c>
      <c r="N46" s="41">
        <f t="shared" si="6"/>
        <v>0.61923373678901683</v>
      </c>
      <c r="O46" s="41"/>
      <c r="P46" s="41">
        <f t="shared" si="16"/>
        <v>3.0025715671437771E-3</v>
      </c>
      <c r="R46" s="65">
        <f t="shared" ref="R46:Y61" si="20">(($D46/((1+R$10)^$M$7))+$G46+$H46+IF($M$3="Yes",$E46/((1+R$10)^$M$7),0)+IF($M$4="Yes",$F46)-($B46*(1+$M$5))-$C46)/((1+R$10)^($A46-1))</f>
        <v>-3.9066324941331518</v>
      </c>
      <c r="S46" s="65">
        <f t="shared" si="20"/>
        <v>-2.8131780700681235</v>
      </c>
      <c r="T46" s="65">
        <f t="shared" si="20"/>
        <v>-2.0323424568547352</v>
      </c>
      <c r="U46" s="65">
        <f t="shared" si="20"/>
        <v>-1.4729029866356944</v>
      </c>
      <c r="V46" s="65">
        <f t="shared" si="20"/>
        <v>-1.0707852032359593</v>
      </c>
      <c r="W46" s="65">
        <f t="shared" si="20"/>
        <v>-0.7808285578910269</v>
      </c>
      <c r="X46" s="65">
        <f t="shared" si="20"/>
        <v>-0.57109585007528085</v>
      </c>
      <c r="Y46" s="65">
        <f t="shared" si="20"/>
        <v>-0.41892655893443503</v>
      </c>
    </row>
    <row r="47" spans="1:25" x14ac:dyDescent="0.25">
      <c r="A47" s="21">
        <v>35</v>
      </c>
      <c r="C47" s="25">
        <f t="shared" si="19"/>
        <v>6.02</v>
      </c>
      <c r="D47" s="23">
        <f>FishHarvestTimeTrends!AC56*((1+D$10)^MIN($A47,20))</f>
        <v>1.82680806382719</v>
      </c>
      <c r="E47" s="23">
        <f>FishHarvestTimeTrends!AD56*((1+E$10)^MIN($A47,20))</f>
        <v>0.26120403181697049</v>
      </c>
      <c r="F47" s="23">
        <f t="shared" ref="F47:F110" si="21">F46*(1+F$10)</f>
        <v>5.7774522653290852</v>
      </c>
      <c r="H47" s="22">
        <f t="shared" si="14"/>
        <v>2.8000000000000001E-2</v>
      </c>
      <c r="I47" s="22"/>
      <c r="J47" s="41"/>
      <c r="K47" s="41">
        <f t="shared" si="6"/>
        <v>0.60332045508029164</v>
      </c>
      <c r="L47" s="41">
        <f t="shared" si="15"/>
        <v>0.18308150704527687</v>
      </c>
      <c r="M47" s="41">
        <f t="shared" si="15"/>
        <v>2.6177696901099938E-2</v>
      </c>
      <c r="N47" s="41">
        <f t="shared" si="6"/>
        <v>0.57901248005365547</v>
      </c>
      <c r="O47" s="41"/>
      <c r="P47" s="41">
        <f t="shared" si="16"/>
        <v>2.8061416515362406E-3</v>
      </c>
      <c r="R47" s="65">
        <f t="shared" si="20"/>
        <v>-3.903987904355839</v>
      </c>
      <c r="S47" s="65">
        <f t="shared" si="20"/>
        <v>-2.7834392998402184</v>
      </c>
      <c r="T47" s="65">
        <f t="shared" si="20"/>
        <v>-1.9911437894865871</v>
      </c>
      <c r="U47" s="65">
        <f t="shared" si="20"/>
        <v>-1.4290348610464085</v>
      </c>
      <c r="V47" s="65">
        <f t="shared" si="20"/>
        <v>-1.0289041697958228</v>
      </c>
      <c r="W47" s="65">
        <f t="shared" si="20"/>
        <v>-0.74314283525336389</v>
      </c>
      <c r="X47" s="65">
        <f t="shared" si="20"/>
        <v>-0.53840495045622672</v>
      </c>
      <c r="Y47" s="65">
        <f t="shared" si="20"/>
        <v>-0.39125510948237857</v>
      </c>
    </row>
    <row r="48" spans="1:25" x14ac:dyDescent="0.25">
      <c r="A48" s="21">
        <v>36</v>
      </c>
      <c r="C48" s="25">
        <f t="shared" si="19"/>
        <v>6.02</v>
      </c>
      <c r="D48" s="23">
        <f>FishHarvestTimeTrends!AC57*((1+D$10)^MIN($A48,20))</f>
        <v>1.8291182811959621</v>
      </c>
      <c r="E48" s="23">
        <f>FishHarvestTimeTrends!AD57*((1+E$10)^MIN($A48,20))</f>
        <v>0.26153840422551083</v>
      </c>
      <c r="F48" s="23">
        <f t="shared" si="21"/>
        <v>5.7803409914617498</v>
      </c>
      <c r="H48" s="22">
        <f t="shared" si="14"/>
        <v>2.8000000000000001E-2</v>
      </c>
      <c r="I48" s="22"/>
      <c r="J48" s="41"/>
      <c r="K48" s="41">
        <f t="shared" si="6"/>
        <v>0.56385089259840337</v>
      </c>
      <c r="L48" s="41">
        <f t="shared" si="15"/>
        <v>0.17132059394026589</v>
      </c>
      <c r="M48" s="41">
        <f t="shared" si="15"/>
        <v>2.4496455593241914E-2</v>
      </c>
      <c r="N48" s="41">
        <f t="shared" si="6"/>
        <v>0.54140372550811422</v>
      </c>
      <c r="O48" s="41"/>
      <c r="P48" s="41">
        <f t="shared" si="16"/>
        <v>2.6225622911553647E-3</v>
      </c>
      <c r="R48" s="65">
        <f t="shared" si="20"/>
        <v>-3.9013433145785266</v>
      </c>
      <c r="S48" s="65">
        <f t="shared" si="20"/>
        <v>-2.7540136414166438</v>
      </c>
      <c r="T48" s="65">
        <f t="shared" si="20"/>
        <v>-1.9507793864839509</v>
      </c>
      <c r="U48" s="65">
        <f t="shared" si="20"/>
        <v>-1.386472643151953</v>
      </c>
      <c r="V48" s="65">
        <f t="shared" si="20"/>
        <v>-0.98866075253268515</v>
      </c>
      <c r="W48" s="65">
        <f t="shared" si="20"/>
        <v>-0.70727564275831023</v>
      </c>
      <c r="X48" s="65">
        <f t="shared" si="20"/>
        <v>-0.50758512361331432</v>
      </c>
      <c r="Y48" s="65">
        <f t="shared" si="20"/>
        <v>-0.36541128077374019</v>
      </c>
    </row>
    <row r="49" spans="1:25" x14ac:dyDescent="0.25">
      <c r="A49" s="21">
        <v>37</v>
      </c>
      <c r="C49" s="25">
        <f t="shared" si="19"/>
        <v>6.02</v>
      </c>
      <c r="D49" s="23">
        <f>FishHarvestTimeTrends!AC58*((1+D$10)^MIN($A49,20))</f>
        <v>1.8314284985647347</v>
      </c>
      <c r="E49" s="23">
        <f>FishHarvestTimeTrends!AD58*((1+E$10)^MIN($A49,20))</f>
        <v>0.26187277663405112</v>
      </c>
      <c r="F49" s="23">
        <f t="shared" si="21"/>
        <v>5.7832311619574801</v>
      </c>
      <c r="H49" s="22">
        <f t="shared" si="14"/>
        <v>2.8000000000000001E-2</v>
      </c>
      <c r="I49" s="22"/>
      <c r="J49" s="41"/>
      <c r="K49" s="41">
        <f t="shared" si="6"/>
        <v>0.52696345102654518</v>
      </c>
      <c r="L49" s="41">
        <f t="shared" si="15"/>
        <v>0.16031493055017224</v>
      </c>
      <c r="M49" s="41">
        <f t="shared" si="15"/>
        <v>2.2923153173585252E-2</v>
      </c>
      <c r="N49" s="41">
        <f t="shared" si="6"/>
        <v>0.50623778258959651</v>
      </c>
      <c r="O49" s="41"/>
      <c r="P49" s="41">
        <f t="shared" si="16"/>
        <v>2.4509927954723034E-3</v>
      </c>
      <c r="R49" s="65">
        <f t="shared" si="20"/>
        <v>-3.8986987248012137</v>
      </c>
      <c r="S49" s="65">
        <f t="shared" si="20"/>
        <v>-2.7248978098435463</v>
      </c>
      <c r="T49" s="65">
        <f t="shared" si="20"/>
        <v>-1.9112323711463597</v>
      </c>
      <c r="U49" s="65">
        <f t="shared" si="20"/>
        <v>-1.345177475583575</v>
      </c>
      <c r="V49" s="65">
        <f t="shared" si="20"/>
        <v>-0.94999093516287192</v>
      </c>
      <c r="W49" s="65">
        <f t="shared" si="20"/>
        <v>-0.67313924221232457</v>
      </c>
      <c r="X49" s="65">
        <f t="shared" si="20"/>
        <v>-0.47852929121039472</v>
      </c>
      <c r="Y49" s="65">
        <f t="shared" si="20"/>
        <v>-0.3412743745073154</v>
      </c>
    </row>
    <row r="50" spans="1:25" x14ac:dyDescent="0.25">
      <c r="A50" s="21">
        <v>38</v>
      </c>
      <c r="C50" s="25">
        <f t="shared" si="19"/>
        <v>6.02</v>
      </c>
      <c r="D50" s="23">
        <f>FishHarvestTimeTrends!AC59*((1+D$10)^MIN($A50,20))</f>
        <v>1.8337387159335068</v>
      </c>
      <c r="E50" s="23">
        <f>FishHarvestTimeTrends!AD59*((1+E$10)^MIN($A50,20))</f>
        <v>0.26220714904259146</v>
      </c>
      <c r="F50" s="23">
        <f t="shared" si="21"/>
        <v>5.7861227775384583</v>
      </c>
      <c r="H50" s="22">
        <f t="shared" si="14"/>
        <v>2.8000000000000001E-2</v>
      </c>
      <c r="I50" s="22"/>
      <c r="J50" s="41"/>
      <c r="K50" s="41">
        <f t="shared" si="6"/>
        <v>0.49248920656686462</v>
      </c>
      <c r="L50" s="41">
        <f t="shared" si="15"/>
        <v>0.15001603409651729</v>
      </c>
      <c r="M50" s="41">
        <f t="shared" si="15"/>
        <v>2.1450862257167025E-2</v>
      </c>
      <c r="N50" s="41">
        <f t="shared" si="6"/>
        <v>0.47335598269242168</v>
      </c>
      <c r="O50" s="41"/>
      <c r="P50" s="41">
        <f t="shared" si="16"/>
        <v>2.290647472404022E-3</v>
      </c>
      <c r="R50" s="65">
        <f t="shared" si="20"/>
        <v>-3.8960541350239013</v>
      </c>
      <c r="S50" s="65">
        <f t="shared" si="20"/>
        <v>-2.696088554521439</v>
      </c>
      <c r="T50" s="65">
        <f t="shared" si="20"/>
        <v>-1.8724862078571922</v>
      </c>
      <c r="U50" s="65">
        <f t="shared" si="20"/>
        <v>-1.3051116566596399</v>
      </c>
      <c r="V50" s="65">
        <f t="shared" si="20"/>
        <v>-0.9128332032230847</v>
      </c>
      <c r="W50" s="65">
        <f t="shared" si="20"/>
        <v>-0.64065012778918029</v>
      </c>
      <c r="X50" s="65">
        <f t="shared" si="20"/>
        <v>-0.4511365020939147</v>
      </c>
      <c r="Y50" s="65">
        <f t="shared" si="20"/>
        <v>-0.3187316627407763</v>
      </c>
    </row>
    <row r="51" spans="1:25" x14ac:dyDescent="0.25">
      <c r="A51" s="21">
        <v>39</v>
      </c>
      <c r="C51" s="25">
        <f t="shared" si="19"/>
        <v>6.02</v>
      </c>
      <c r="D51" s="23">
        <f>FishHarvestTimeTrends!AC60*((1+D$10)^MIN($A51,20))</f>
        <v>1.8360489333022791</v>
      </c>
      <c r="E51" s="23">
        <f>FishHarvestTimeTrends!AD60*((1+E$10)^MIN($A51,20))</f>
        <v>0.2625415214511318</v>
      </c>
      <c r="F51" s="23">
        <f t="shared" si="21"/>
        <v>5.7890158389272273</v>
      </c>
      <c r="H51" s="22">
        <f t="shared" si="14"/>
        <v>2.8000000000000001E-2</v>
      </c>
      <c r="I51" s="22"/>
      <c r="J51" s="41"/>
      <c r="K51" s="41">
        <f t="shared" si="6"/>
        <v>0.46027028651108848</v>
      </c>
      <c r="L51" s="41">
        <f t="shared" si="15"/>
        <v>0.14037853298661437</v>
      </c>
      <c r="M51" s="41">
        <f t="shared" si="15"/>
        <v>2.0073099883616198E-2</v>
      </c>
      <c r="N51" s="41">
        <f t="shared" si="6"/>
        <v>0.44260996325585783</v>
      </c>
      <c r="O51" s="41"/>
      <c r="P51" s="41">
        <f t="shared" si="16"/>
        <v>2.1407920302841327E-3</v>
      </c>
      <c r="R51" s="65">
        <f t="shared" si="20"/>
        <v>-3.8934095452465884</v>
      </c>
      <c r="S51" s="65">
        <f t="shared" si="20"/>
        <v>-2.6675826588469365</v>
      </c>
      <c r="T51" s="65">
        <f t="shared" si="20"/>
        <v>-1.8345246951963785</v>
      </c>
      <c r="U51" s="65">
        <f t="shared" si="20"/>
        <v>-1.2662386060281672</v>
      </c>
      <c r="V51" s="65">
        <f t="shared" si="20"/>
        <v>-0.87712844632132436</v>
      </c>
      <c r="W51" s="65">
        <f t="shared" si="20"/>
        <v>-0.60972882190018518</v>
      </c>
      <c r="X51" s="65">
        <f t="shared" si="20"/>
        <v>-0.42531158172721995</v>
      </c>
      <c r="Y51" s="65">
        <f t="shared" si="20"/>
        <v>-0.29767786161057375</v>
      </c>
    </row>
    <row r="52" spans="1:25" x14ac:dyDescent="0.25">
      <c r="A52" s="21">
        <v>40</v>
      </c>
      <c r="C52" s="25">
        <f t="shared" si="19"/>
        <v>6.02</v>
      </c>
      <c r="D52" s="23">
        <f>FishHarvestTimeTrends!AC61*((1+D$10)^MIN($A52,20))</f>
        <v>1.8383591506710515</v>
      </c>
      <c r="E52" s="23">
        <f>FishHarvestTimeTrends!AD61*((1+E$10)^MIN($A52,20))</f>
        <v>0.26287589385967214</v>
      </c>
      <c r="F52" s="23">
        <f t="shared" si="21"/>
        <v>5.7919103468466906</v>
      </c>
      <c r="H52" s="22">
        <f t="shared" si="14"/>
        <v>2.8000000000000001E-2</v>
      </c>
      <c r="I52" s="22"/>
      <c r="J52" s="41"/>
      <c r="K52" s="41">
        <f t="shared" si="6"/>
        <v>0.43015914627204527</v>
      </c>
      <c r="L52" s="41">
        <f t="shared" si="15"/>
        <v>0.13135996724153851</v>
      </c>
      <c r="M52" s="41">
        <f t="shared" si="15"/>
        <v>1.8783799016308535E-2</v>
      </c>
      <c r="N52" s="41">
        <f t="shared" si="6"/>
        <v>0.41386099835279044</v>
      </c>
      <c r="O52" s="41"/>
      <c r="P52" s="41">
        <f t="shared" si="16"/>
        <v>2.0007402152188154E-3</v>
      </c>
      <c r="R52" s="65">
        <f t="shared" si="20"/>
        <v>-3.890764955469276</v>
      </c>
      <c r="S52" s="65">
        <f t="shared" si="20"/>
        <v>-2.6393769398582236</v>
      </c>
      <c r="T52" s="65">
        <f t="shared" si="20"/>
        <v>-1.7973319591920618</v>
      </c>
      <c r="U52" s="65">
        <f t="shared" si="20"/>
        <v>-1.2285228313303653</v>
      </c>
      <c r="V52" s="65">
        <f t="shared" si="20"/>
        <v>-0.84281986420605592</v>
      </c>
      <c r="W52" s="65">
        <f t="shared" si="20"/>
        <v>-0.58029968090812545</v>
      </c>
      <c r="X52" s="65">
        <f t="shared" si="20"/>
        <v>-0.40096480168012788</v>
      </c>
      <c r="Y52" s="65">
        <f t="shared" si="20"/>
        <v>-0.27801463979897945</v>
      </c>
    </row>
    <row r="53" spans="1:25" x14ac:dyDescent="0.25">
      <c r="A53" s="21">
        <v>41</v>
      </c>
      <c r="C53" s="25">
        <f t="shared" si="19"/>
        <v>6.02</v>
      </c>
      <c r="D53" s="23">
        <f>FishHarvestTimeTrends!AC62*((1+D$10)^MIN($A53,20))</f>
        <v>1.8384617055526467</v>
      </c>
      <c r="E53" s="23">
        <f>FishHarvestTimeTrends!AD62*((1+E$10)^MIN($A53,20))</f>
        <v>0.26288528915839238</v>
      </c>
      <c r="F53" s="23">
        <f t="shared" si="21"/>
        <v>5.7948063020201133</v>
      </c>
      <c r="H53" s="22">
        <f t="shared" si="14"/>
        <v>2.8000000000000001E-2</v>
      </c>
      <c r="I53" s="22"/>
      <c r="J53" s="41"/>
      <c r="K53" s="41">
        <f t="shared" si="6"/>
        <v>0.40201789371219188</v>
      </c>
      <c r="L53" s="41">
        <f t="shared" si="15"/>
        <v>0.12277317317887025</v>
      </c>
      <c r="M53" s="41">
        <f t="shared" si="15"/>
        <v>1.7555579773318508E-2</v>
      </c>
      <c r="N53" s="41">
        <f t="shared" si="6"/>
        <v>0.38697937275884747</v>
      </c>
      <c r="O53" s="41"/>
      <c r="P53" s="41">
        <f t="shared" si="16"/>
        <v>1.8698506684287997E-3</v>
      </c>
      <c r="R53" s="65">
        <f t="shared" si="20"/>
        <v>-3.8906530052889607</v>
      </c>
      <c r="S53" s="65">
        <f t="shared" si="20"/>
        <v>-2.6131693032191268</v>
      </c>
      <c r="T53" s="65">
        <f t="shared" si="20"/>
        <v>-1.7620394549070053</v>
      </c>
      <c r="U53" s="65">
        <f t="shared" si="20"/>
        <v>-1.1927062938485011</v>
      </c>
      <c r="V53" s="65">
        <f t="shared" si="20"/>
        <v>-0.81038039758663805</v>
      </c>
      <c r="W53" s="65">
        <f t="shared" si="20"/>
        <v>-0.55265046072989688</v>
      </c>
      <c r="X53" s="65">
        <f t="shared" si="20"/>
        <v>-0.37825779678886473</v>
      </c>
      <c r="Y53" s="65">
        <f t="shared" si="20"/>
        <v>-0.25981929009157434</v>
      </c>
    </row>
    <row r="54" spans="1:25" x14ac:dyDescent="0.25">
      <c r="A54" s="21">
        <v>42</v>
      </c>
      <c r="C54" s="25">
        <f t="shared" si="19"/>
        <v>6.02</v>
      </c>
      <c r="D54" s="23">
        <f>FishHarvestTimeTrends!AC63*((1+D$10)^MIN($A54,20))</f>
        <v>1.8385642604342414</v>
      </c>
      <c r="E54" s="23">
        <f>FishHarvestTimeTrends!AD63*((1+E$10)^MIN($A54,20))</f>
        <v>0.26289468445711273</v>
      </c>
      <c r="F54" s="23">
        <f t="shared" si="21"/>
        <v>5.7977037051711227</v>
      </c>
      <c r="H54" s="22">
        <f t="shared" si="14"/>
        <v>2.8000000000000001E-2</v>
      </c>
      <c r="I54" s="22"/>
      <c r="J54" s="41"/>
      <c r="K54" s="41">
        <f t="shared" si="6"/>
        <v>0.37571765767494569</v>
      </c>
      <c r="L54" s="41">
        <f t="shared" si="15"/>
        <v>0.11474768395601695</v>
      </c>
      <c r="M54" s="41">
        <f t="shared" si="15"/>
        <v>1.640767027565122E-2</v>
      </c>
      <c r="N54" s="41">
        <f t="shared" si="6"/>
        <v>0.3618437966777821</v>
      </c>
      <c r="O54" s="41"/>
      <c r="P54" s="41">
        <f t="shared" si="16"/>
        <v>1.747523989185794E-3</v>
      </c>
      <c r="R54" s="65">
        <f t="shared" si="20"/>
        <v>-3.8905410551086455</v>
      </c>
      <c r="S54" s="65">
        <f t="shared" si="20"/>
        <v>-2.587221892603091</v>
      </c>
      <c r="T54" s="65">
        <f t="shared" si="20"/>
        <v>-1.7274399546503552</v>
      </c>
      <c r="U54" s="65">
        <f t="shared" si="20"/>
        <v>-1.157933956072718</v>
      </c>
      <c r="V54" s="65">
        <f t="shared" si="20"/>
        <v>-0.77918949960627915</v>
      </c>
      <c r="W54" s="65">
        <f t="shared" si="20"/>
        <v>-0.52631862732395263</v>
      </c>
      <c r="X54" s="65">
        <f t="shared" si="20"/>
        <v>-0.35683671013907564</v>
      </c>
      <c r="Y54" s="65">
        <f t="shared" si="20"/>
        <v>-0.24281477945409172</v>
      </c>
    </row>
    <row r="55" spans="1:25" x14ac:dyDescent="0.25">
      <c r="A55" s="21">
        <v>43</v>
      </c>
      <c r="C55" s="25">
        <f t="shared" si="19"/>
        <v>6.02</v>
      </c>
      <c r="D55" s="23">
        <f>FishHarvestTimeTrends!AC64*((1+D$10)^MIN($A55,20))</f>
        <v>1.838666815315837</v>
      </c>
      <c r="E55" s="23">
        <f>FishHarvestTimeTrends!AD64*((1+E$10)^MIN($A55,20))</f>
        <v>0.26290407975583302</v>
      </c>
      <c r="F55" s="23">
        <f t="shared" si="21"/>
        <v>5.8006025570237076</v>
      </c>
      <c r="H55" s="22">
        <f t="shared" si="14"/>
        <v>2.8000000000000001E-2</v>
      </c>
      <c r="I55" s="22"/>
      <c r="J55" s="41"/>
      <c r="K55" s="41">
        <f t="shared" si="6"/>
        <v>0.35113799782705207</v>
      </c>
      <c r="L55" s="41">
        <f t="shared" si="15"/>
        <v>0.10724680800681813</v>
      </c>
      <c r="M55" s="41">
        <f t="shared" si="15"/>
        <v>1.5334819300004455E-2</v>
      </c>
      <c r="N55" s="41">
        <f t="shared" si="6"/>
        <v>0.33834085848235607</v>
      </c>
      <c r="O55" s="41"/>
      <c r="P55" s="41">
        <f t="shared" si="16"/>
        <v>1.6331999898932656E-3</v>
      </c>
      <c r="R55" s="65">
        <f t="shared" si="20"/>
        <v>-3.8904291049283297</v>
      </c>
      <c r="S55" s="65">
        <f t="shared" si="20"/>
        <v>-2.5615321241438256</v>
      </c>
      <c r="T55" s="65">
        <f t="shared" si="20"/>
        <v>-1.6935198506148781</v>
      </c>
      <c r="U55" s="65">
        <f t="shared" si="20"/>
        <v>-1.1241753753052104</v>
      </c>
      <c r="V55" s="65">
        <f t="shared" si="20"/>
        <v>-0.7491991139001688</v>
      </c>
      <c r="W55" s="65">
        <f t="shared" si="20"/>
        <v>-0.5012414119278038</v>
      </c>
      <c r="X55" s="65">
        <f t="shared" si="20"/>
        <v>-0.33662871903344205</v>
      </c>
      <c r="Y55" s="65">
        <f t="shared" si="20"/>
        <v>-0.2269231705303362</v>
      </c>
    </row>
    <row r="56" spans="1:25" x14ac:dyDescent="0.25">
      <c r="A56" s="21">
        <v>44</v>
      </c>
      <c r="C56" s="25">
        <f t="shared" si="19"/>
        <v>6.02</v>
      </c>
      <c r="D56" s="23">
        <f>FishHarvestTimeTrends!AC65*((1+D$10)^MIN($A56,20))</f>
        <v>1.8387693701974319</v>
      </c>
      <c r="E56" s="23">
        <f>FishHarvestTimeTrends!AD65*((1+E$10)^MIN($A56,20))</f>
        <v>0.26291347505455331</v>
      </c>
      <c r="F56" s="23">
        <f t="shared" si="21"/>
        <v>5.8035028583022195</v>
      </c>
      <c r="H56" s="22">
        <f t="shared" si="14"/>
        <v>2.8000000000000001E-2</v>
      </c>
      <c r="I56" s="22"/>
      <c r="J56" s="41"/>
      <c r="K56" s="41">
        <f t="shared" si="6"/>
        <v>0.3281663531093944</v>
      </c>
      <c r="L56" s="41">
        <f t="shared" si="15"/>
        <v>0.10023625223039023</v>
      </c>
      <c r="M56" s="41">
        <f t="shared" si="15"/>
        <v>1.433211898537716E-2</v>
      </c>
      <c r="N56" s="41">
        <f t="shared" si="6"/>
        <v>0.31636451300149265</v>
      </c>
      <c r="O56" s="41"/>
      <c r="P56" s="41">
        <f t="shared" si="16"/>
        <v>1.5263551307413694E-3</v>
      </c>
      <c r="R56" s="65">
        <f t="shared" si="20"/>
        <v>-3.8903171547480144</v>
      </c>
      <c r="S56" s="65">
        <f t="shared" si="20"/>
        <v>-2.5360974396308578</v>
      </c>
      <c r="T56" s="65">
        <f t="shared" si="20"/>
        <v>-1.6602658021953058</v>
      </c>
      <c r="U56" s="65">
        <f t="shared" si="20"/>
        <v>-1.0914009963766762</v>
      </c>
      <c r="V56" s="65">
        <f t="shared" si="20"/>
        <v>-0.72036303375191557</v>
      </c>
      <c r="W56" s="65">
        <f t="shared" si="20"/>
        <v>-0.47735903648474864</v>
      </c>
      <c r="X56" s="65">
        <f t="shared" si="20"/>
        <v>-0.31756512478802196</v>
      </c>
      <c r="Y56" s="65">
        <f t="shared" si="20"/>
        <v>-0.21207162676288563</v>
      </c>
    </row>
    <row r="57" spans="1:25" x14ac:dyDescent="0.25">
      <c r="A57" s="21">
        <v>45</v>
      </c>
      <c r="C57" s="25">
        <f t="shared" si="19"/>
        <v>6.02</v>
      </c>
      <c r="D57" s="23">
        <f>FishHarvestTimeTrends!AC66*((1+D$10)^MIN($A57,20))</f>
        <v>1.8388719250790269</v>
      </c>
      <c r="E57" s="23">
        <f>FishHarvestTimeTrends!AD66*((1+E$10)^MIN($A57,20))</f>
        <v>0.26292287035327361</v>
      </c>
      <c r="F57" s="23">
        <f t="shared" si="21"/>
        <v>5.80640460973137</v>
      </c>
      <c r="H57" s="22">
        <f t="shared" si="14"/>
        <v>2.8000000000000001E-2</v>
      </c>
      <c r="I57" s="22"/>
      <c r="J57" s="41"/>
      <c r="K57" s="41">
        <f t="shared" si="6"/>
        <v>0.3066975262704621</v>
      </c>
      <c r="L57" s="41">
        <f t="shared" si="15"/>
        <v>9.368396520763124E-2</v>
      </c>
      <c r="M57" s="41">
        <f t="shared" si="15"/>
        <v>1.3394982381607714E-2</v>
      </c>
      <c r="N57" s="41">
        <f t="shared" si="6"/>
        <v>0.29581560304485371</v>
      </c>
      <c r="O57" s="41"/>
      <c r="P57" s="41">
        <f t="shared" si="16"/>
        <v>1.426500122188196E-3</v>
      </c>
      <c r="R57" s="65">
        <f t="shared" si="20"/>
        <v>-3.8902052045676991</v>
      </c>
      <c r="S57" s="65">
        <f t="shared" si="20"/>
        <v>-2.5109153062547853</v>
      </c>
      <c r="T57" s="65">
        <f t="shared" si="20"/>
        <v>-1.6276647307415855</v>
      </c>
      <c r="U57" s="65">
        <f t="shared" si="20"/>
        <v>-1.0595821257712723</v>
      </c>
      <c r="V57" s="65">
        <f t="shared" si="20"/>
        <v>-0.69263683090219641</v>
      </c>
      <c r="W57" s="65">
        <f t="shared" si="20"/>
        <v>-0.45461457114754505</v>
      </c>
      <c r="X57" s="65">
        <f t="shared" si="20"/>
        <v>-0.29958111918579977</v>
      </c>
      <c r="Y57" s="65">
        <f t="shared" si="20"/>
        <v>-0.19819207855903495</v>
      </c>
    </row>
    <row r="58" spans="1:25" x14ac:dyDescent="0.25">
      <c r="A58" s="21">
        <v>46</v>
      </c>
      <c r="C58" s="25">
        <f t="shared" si="19"/>
        <v>6.02</v>
      </c>
      <c r="D58" s="23">
        <f>FishHarvestTimeTrends!AC67*((1+D$10)^MIN($A58,20))</f>
        <v>1.838974479960622</v>
      </c>
      <c r="E58" s="23">
        <f>FishHarvestTimeTrends!AD67*((1+E$10)^MIN($A58,20))</f>
        <v>0.26293226565199396</v>
      </c>
      <c r="F58" s="23">
        <f t="shared" si="21"/>
        <v>5.8093078120362351</v>
      </c>
      <c r="H58" s="22">
        <f t="shared" si="14"/>
        <v>2.8000000000000001E-2</v>
      </c>
      <c r="I58" s="22"/>
      <c r="J58" s="41"/>
      <c r="K58" s="41">
        <f t="shared" si="6"/>
        <v>0.28663320212192717</v>
      </c>
      <c r="L58" s="41">
        <f t="shared" si="15"/>
        <v>8.7559990666381884E-2</v>
      </c>
      <c r="M58" s="41">
        <f t="shared" si="15"/>
        <v>1.2519122465947548E-2</v>
      </c>
      <c r="N58" s="41">
        <f t="shared" si="6"/>
        <v>0.27660141200595895</v>
      </c>
      <c r="O58" s="41"/>
      <c r="P58" s="41">
        <f t="shared" si="16"/>
        <v>1.3331776842880334E-3</v>
      </c>
      <c r="R58" s="65">
        <f t="shared" si="20"/>
        <v>-3.8900932543873834</v>
      </c>
      <c r="S58" s="65">
        <f t="shared" si="20"/>
        <v>-2.4859832163550712</v>
      </c>
      <c r="T58" s="65">
        <f t="shared" si="20"/>
        <v>-1.5957038144151565</v>
      </c>
      <c r="U58" s="65">
        <f t="shared" si="20"/>
        <v>-1.0286909065059329</v>
      </c>
      <c r="V58" s="65">
        <f t="shared" si="20"/>
        <v>-0.66597778709749711</v>
      </c>
      <c r="W58" s="65">
        <f t="shared" si="20"/>
        <v>-0.43295379857151545</v>
      </c>
      <c r="X58" s="65">
        <f t="shared" si="20"/>
        <v>-0.28261556415617078</v>
      </c>
      <c r="Y58" s="65">
        <f t="shared" si="20"/>
        <v>-0.18522091130530971</v>
      </c>
    </row>
    <row r="59" spans="1:25" x14ac:dyDescent="0.25">
      <c r="A59" s="21">
        <v>47</v>
      </c>
      <c r="C59" s="25">
        <f t="shared" si="19"/>
        <v>6.02</v>
      </c>
      <c r="D59" s="23">
        <f>FishHarvestTimeTrends!AC68*((1+D$10)^MIN($A59,20))</f>
        <v>1.8390770348422167</v>
      </c>
      <c r="E59" s="23">
        <f>FishHarvestTimeTrends!AD68*((1+E$10)^MIN($A59,20))</f>
        <v>0.26294166095071431</v>
      </c>
      <c r="F59" s="23">
        <f t="shared" si="21"/>
        <v>5.8122124659422534</v>
      </c>
      <c r="H59" s="22">
        <f t="shared" si="14"/>
        <v>2.8000000000000001E-2</v>
      </c>
      <c r="I59" s="22"/>
      <c r="J59" s="41"/>
      <c r="K59" s="41">
        <f t="shared" si="6"/>
        <v>0.26788149731021232</v>
      </c>
      <c r="L59" s="41">
        <f t="shared" si="15"/>
        <v>8.1836330525308726E-2</v>
      </c>
      <c r="M59" s="41">
        <f t="shared" si="15"/>
        <v>1.1700532531679656E-2</v>
      </c>
      <c r="N59" s="41">
        <f t="shared" si="6"/>
        <v>0.25863524552519807</v>
      </c>
      <c r="O59" s="41"/>
      <c r="P59" s="41">
        <f t="shared" si="16"/>
        <v>1.2459604526056387E-3</v>
      </c>
      <c r="R59" s="65">
        <f t="shared" si="20"/>
        <v>-3.8899813042070686</v>
      </c>
      <c r="S59" s="65">
        <f t="shared" si="20"/>
        <v>-2.4612986871703351</v>
      </c>
      <c r="T59" s="65">
        <f t="shared" si="20"/>
        <v>-1.5643704831462262</v>
      </c>
      <c r="U59" s="65">
        <f t="shared" si="20"/>
        <v>-0.99870029374205849</v>
      </c>
      <c r="V59" s="65">
        <f t="shared" si="20"/>
        <v>-0.64034482827348171</v>
      </c>
      <c r="W59" s="65">
        <f t="shared" si="20"/>
        <v>-0.41232508467359424</v>
      </c>
      <c r="X59" s="65">
        <f t="shared" si="20"/>
        <v>-0.26661078393136556</v>
      </c>
      <c r="Y59" s="65">
        <f t="shared" si="20"/>
        <v>-0.17309867380061827</v>
      </c>
    </row>
    <row r="60" spans="1:25" x14ac:dyDescent="0.25">
      <c r="A60" s="21">
        <v>48</v>
      </c>
      <c r="C60" s="25">
        <f t="shared" si="19"/>
        <v>6.02</v>
      </c>
      <c r="D60" s="23">
        <f>FishHarvestTimeTrends!AC69*((1+D$10)^MIN($A60,20))</f>
        <v>1.8391795897238123</v>
      </c>
      <c r="E60" s="23">
        <f>FishHarvestTimeTrends!AD69*((1+E$10)^MIN($A60,20))</f>
        <v>0.2629510562494346</v>
      </c>
      <c r="F60" s="23">
        <f t="shared" si="21"/>
        <v>5.8151185721752245</v>
      </c>
      <c r="H60" s="22">
        <f t="shared" si="14"/>
        <v>2.8000000000000001E-2</v>
      </c>
      <c r="I60" s="22"/>
      <c r="J60" s="41"/>
      <c r="K60" s="41">
        <f t="shared" si="6"/>
        <v>0.25035653954225451</v>
      </c>
      <c r="L60" s="41">
        <f t="shared" si="15"/>
        <v>7.6486816890364961E-2</v>
      </c>
      <c r="M60" s="41">
        <f t="shared" si="15"/>
        <v>1.0935467859067967E-2</v>
      </c>
      <c r="N60" s="41">
        <f t="shared" si="6"/>
        <v>0.24183604032519687</v>
      </c>
      <c r="O60" s="41"/>
      <c r="P60" s="41">
        <f t="shared" si="16"/>
        <v>1.1644490211267652E-3</v>
      </c>
      <c r="R60" s="65">
        <f t="shared" si="20"/>
        <v>-3.8898693540267528</v>
      </c>
      <c r="S60" s="65">
        <f t="shared" si="20"/>
        <v>-2.4368592605911248</v>
      </c>
      <c r="T60" s="65">
        <f t="shared" si="20"/>
        <v>-1.5336524136900667</v>
      </c>
      <c r="U60" s="65">
        <f t="shared" si="20"/>
        <v>-0.96958403110821689</v>
      </c>
      <c r="V60" s="65">
        <f t="shared" si="20"/>
        <v>-0.61569846127158345</v>
      </c>
      <c r="W60" s="65">
        <f t="shared" si="20"/>
        <v>-0.3926792555492355</v>
      </c>
      <c r="X60" s="65">
        <f t="shared" si="20"/>
        <v>-0.25151236897323254</v>
      </c>
      <c r="Y60" s="65">
        <f t="shared" si="20"/>
        <v>-0.16176980577169481</v>
      </c>
    </row>
    <row r="61" spans="1:25" x14ac:dyDescent="0.25">
      <c r="A61" s="21">
        <v>49</v>
      </c>
      <c r="C61" s="25">
        <f t="shared" si="19"/>
        <v>6.02</v>
      </c>
      <c r="D61" s="23">
        <f>FishHarvestTimeTrends!AC70*((1+D$10)^MIN($A61,20))</f>
        <v>1.8392821446054073</v>
      </c>
      <c r="E61" s="23">
        <f>FishHarvestTimeTrends!AD70*((1+E$10)^MIN($A61,20))</f>
        <v>0.26296045154815489</v>
      </c>
      <c r="F61" s="23">
        <f t="shared" si="21"/>
        <v>5.8180261314613118</v>
      </c>
      <c r="H61" s="22">
        <f t="shared" si="14"/>
        <v>2.8000000000000001E-2</v>
      </c>
      <c r="I61" s="22"/>
      <c r="J61" s="41"/>
      <c r="K61" s="41">
        <f t="shared" si="6"/>
        <v>0.23397807433855561</v>
      </c>
      <c r="L61" s="41">
        <f t="shared" si="15"/>
        <v>7.1486992418614947E-2</v>
      </c>
      <c r="M61" s="41">
        <f t="shared" si="15"/>
        <v>1.0220428584789757E-2</v>
      </c>
      <c r="N61" s="41">
        <f t="shared" si="6"/>
        <v>0.22612799845360698</v>
      </c>
      <c r="O61" s="41"/>
      <c r="P61" s="41">
        <f t="shared" si="16"/>
        <v>1.0882701132025844E-3</v>
      </c>
      <c r="R61" s="65">
        <f t="shared" si="20"/>
        <v>-3.8897574038464375</v>
      </c>
      <c r="S61" s="65">
        <f t="shared" si="20"/>
        <v>-2.4126625029151412</v>
      </c>
      <c r="T61" s="65">
        <f t="shared" si="20"/>
        <v>-1.5035375247803817</v>
      </c>
      <c r="U61" s="65">
        <f t="shared" si="20"/>
        <v>-0.9413166277131384</v>
      </c>
      <c r="V61" s="65">
        <f t="shared" si="20"/>
        <v>-0.59200071299132018</v>
      </c>
      <c r="W61" s="65">
        <f t="shared" si="20"/>
        <v>-0.37396948025378735</v>
      </c>
      <c r="X61" s="65">
        <f t="shared" si="20"/>
        <v>-0.23726899100381593</v>
      </c>
      <c r="Y61" s="65">
        <f t="shared" si="20"/>
        <v>-0.15118238322194832</v>
      </c>
    </row>
    <row r="62" spans="1:25" x14ac:dyDescent="0.25">
      <c r="A62" s="21">
        <v>50</v>
      </c>
      <c r="C62" s="25">
        <f t="shared" si="19"/>
        <v>6.02</v>
      </c>
      <c r="D62" s="23">
        <f>FishHarvestTimeTrends!AC71*((1+D$10)^MIN($A62,20))</f>
        <v>1.8393846994870022</v>
      </c>
      <c r="E62" s="23">
        <f>FishHarvestTimeTrends!AD71*((1+E$10)^MIN($A62,20))</f>
        <v>0.26296984684687519</v>
      </c>
      <c r="F62" s="23">
        <f t="shared" si="21"/>
        <v>5.8209351445270423</v>
      </c>
      <c r="H62" s="22">
        <f t="shared" si="14"/>
        <v>2.8000000000000001E-2</v>
      </c>
      <c r="I62" s="22"/>
      <c r="J62" s="41"/>
      <c r="K62" s="41">
        <f t="shared" si="6"/>
        <v>0.21867109751266881</v>
      </c>
      <c r="L62" s="41">
        <f t="shared" si="15"/>
        <v>6.6813998502464E-2</v>
      </c>
      <c r="M62" s="41">
        <f t="shared" si="15"/>
        <v>9.552143691485819E-3</v>
      </c>
      <c r="N62" s="41">
        <f t="shared" si="6"/>
        <v>0.21144024528302224</v>
      </c>
      <c r="O62" s="41"/>
      <c r="P62" s="41">
        <f t="shared" si="16"/>
        <v>1.0170748721519481E-3</v>
      </c>
      <c r="R62" s="65">
        <f t="shared" ref="R62:Y77" si="22">(($D62/((1+R$10)^$M$7))+$G62+$H62+IF($M$3="Yes",$E62/((1+R$10)^$M$7),0)+IF($M$4="Yes",$F62)-($B62*(1+$M$5))-$C62)/((1+R$10)^($A62-1))</f>
        <v>-3.8896454536661222</v>
      </c>
      <c r="S62" s="65">
        <f t="shared" si="22"/>
        <v>-2.3887060046049027</v>
      </c>
      <c r="T62" s="65">
        <f t="shared" si="22"/>
        <v>-1.4740139723778471</v>
      </c>
      <c r="U62" s="65">
        <f t="shared" si="22"/>
        <v>-0.91387333582887009</v>
      </c>
      <c r="V62" s="65">
        <f t="shared" si="22"/>
        <v>-0.56921507188458076</v>
      </c>
      <c r="W62" s="65">
        <f t="shared" si="22"/>
        <v>-0.35615115916890505</v>
      </c>
      <c r="X62" s="65">
        <f t="shared" si="22"/>
        <v>-0.22383222851090884</v>
      </c>
      <c r="Y62" s="65">
        <f t="shared" si="22"/>
        <v>-0.14128788044656704</v>
      </c>
    </row>
    <row r="63" spans="1:25" x14ac:dyDescent="0.25">
      <c r="A63" s="21">
        <v>51</v>
      </c>
      <c r="C63" s="25">
        <f t="shared" si="19"/>
        <v>6.02</v>
      </c>
      <c r="D63" s="23">
        <f>FishHarvestTimeTrends!AC72*((1+D$10)^MIN($A63,20))</f>
        <v>1.8393860142990097</v>
      </c>
      <c r="E63" s="23">
        <f>FishHarvestTimeTrends!AD72*((1+E$10)^MIN($A63,20))</f>
        <v>0.26296998552618545</v>
      </c>
      <c r="F63" s="23">
        <f t="shared" si="21"/>
        <v>5.8238456120993058</v>
      </c>
      <c r="H63" s="22">
        <f t="shared" si="14"/>
        <v>2.8000000000000001E-2</v>
      </c>
      <c r="I63" s="22"/>
      <c r="J63" s="41"/>
      <c r="K63" s="41">
        <f t="shared" si="6"/>
        <v>0.20436551169408299</v>
      </c>
      <c r="L63" s="41">
        <f t="shared" si="15"/>
        <v>6.2443033889560962E-2</v>
      </c>
      <c r="M63" s="41">
        <f t="shared" si="15"/>
        <v>8.9272418026984206E-3</v>
      </c>
      <c r="N63" s="41">
        <f t="shared" si="6"/>
        <v>0.19770650972491938</v>
      </c>
      <c r="O63" s="41"/>
      <c r="P63" s="41">
        <f t="shared" si="16"/>
        <v>9.5053726369340934E-4</v>
      </c>
      <c r="R63" s="65">
        <f t="shared" si="22"/>
        <v>-3.8896440001748043</v>
      </c>
      <c r="S63" s="65">
        <f t="shared" si="22"/>
        <v>-2.3650545663247109</v>
      </c>
      <c r="T63" s="65">
        <f t="shared" si="22"/>
        <v>-1.4451111976127893</v>
      </c>
      <c r="U63" s="65">
        <f t="shared" si="22"/>
        <v>-0.88725533430161196</v>
      </c>
      <c r="V63" s="65">
        <f t="shared" si="22"/>
        <v>-0.54732197997983978</v>
      </c>
      <c r="W63" s="65">
        <f t="shared" si="22"/>
        <v>-0.33919145341100193</v>
      </c>
      <c r="X63" s="65">
        <f t="shared" si="22"/>
        <v>-0.21116240081960994</v>
      </c>
      <c r="Y63" s="65">
        <f t="shared" si="22"/>
        <v>-0.13204469873813018</v>
      </c>
    </row>
    <row r="64" spans="1:25" x14ac:dyDescent="0.25">
      <c r="A64" s="21">
        <v>52</v>
      </c>
      <c r="C64" s="25">
        <f t="shared" si="19"/>
        <v>6.02</v>
      </c>
      <c r="D64" s="23">
        <f>FishHarvestTimeTrends!AC73*((1+D$10)^MIN($A64,20))</f>
        <v>1.8393873291110174</v>
      </c>
      <c r="E64" s="23">
        <f>FishHarvestTimeTrends!AD73*((1+E$10)^MIN($A64,20))</f>
        <v>0.26297012420549565</v>
      </c>
      <c r="F64" s="23">
        <f t="shared" si="21"/>
        <v>5.8267575349053553</v>
      </c>
      <c r="H64" s="22">
        <f t="shared" si="14"/>
        <v>2.8000000000000001E-2</v>
      </c>
      <c r="I64" s="22"/>
      <c r="J64" s="41"/>
      <c r="K64" s="41">
        <f t="shared" si="6"/>
        <v>0.19099580532157284</v>
      </c>
      <c r="L64" s="41">
        <f t="shared" si="15"/>
        <v>5.8358017312600624E-2</v>
      </c>
      <c r="M64" s="41">
        <f t="shared" si="15"/>
        <v>8.3432210378974556E-3</v>
      </c>
      <c r="N64" s="41">
        <f t="shared" si="6"/>
        <v>0.18486482521474934</v>
      </c>
      <c r="O64" s="41"/>
      <c r="P64" s="41">
        <f t="shared" si="16"/>
        <v>8.8835258289103667E-4</v>
      </c>
      <c r="R64" s="65">
        <f t="shared" si="22"/>
        <v>-3.8896425466834863</v>
      </c>
      <c r="S64" s="65">
        <f t="shared" si="22"/>
        <v>-2.3416373094510483</v>
      </c>
      <c r="T64" s="65">
        <f t="shared" si="22"/>
        <v>-1.4167751545100378</v>
      </c>
      <c r="U64" s="65">
        <f t="shared" si="22"/>
        <v>-0.86141262402907948</v>
      </c>
      <c r="V64" s="65">
        <f t="shared" si="22"/>
        <v>-0.52627093793776447</v>
      </c>
      <c r="W64" s="65">
        <f t="shared" si="22"/>
        <v>-0.32303935872489703</v>
      </c>
      <c r="X64" s="65">
        <f t="shared" si="22"/>
        <v>-0.19920973765278049</v>
      </c>
      <c r="Y64" s="65">
        <f t="shared" si="22"/>
        <v>-0.12340621438818374</v>
      </c>
    </row>
    <row r="65" spans="1:25" x14ac:dyDescent="0.25">
      <c r="A65" s="21">
        <v>53</v>
      </c>
      <c r="C65" s="25">
        <f t="shared" si="19"/>
        <v>6.02</v>
      </c>
      <c r="D65" s="23">
        <f>FishHarvestTimeTrends!AC74*((1+D$10)^MIN($A65,20))</f>
        <v>1.8393886439230247</v>
      </c>
      <c r="E65" s="23">
        <f>FishHarvestTimeTrends!AD74*((1+E$10)^MIN($A65,20))</f>
        <v>0.26297026288480585</v>
      </c>
      <c r="F65" s="23">
        <f t="shared" si="21"/>
        <v>5.8296709136728078</v>
      </c>
      <c r="H65" s="22">
        <f t="shared" si="14"/>
        <v>2.8000000000000001E-2</v>
      </c>
      <c r="I65" s="22"/>
      <c r="J65" s="41"/>
      <c r="K65" s="41">
        <f t="shared" si="6"/>
        <v>0.17850075263698398</v>
      </c>
      <c r="L65" s="41">
        <f t="shared" si="15"/>
        <v>5.4540242081757687E-2</v>
      </c>
      <c r="M65" s="41">
        <f t="shared" si="15"/>
        <v>7.7974069511766416E-3</v>
      </c>
      <c r="N65" s="41">
        <f t="shared" si="6"/>
        <v>0.17285725011902497</v>
      </c>
      <c r="O65" s="41"/>
      <c r="P65" s="41">
        <f t="shared" si="16"/>
        <v>8.3023605877666977E-4</v>
      </c>
      <c r="R65" s="65">
        <f t="shared" si="22"/>
        <v>-3.8896410931921688</v>
      </c>
      <c r="S65" s="65">
        <f t="shared" si="22"/>
        <v>-2.3184519152694896</v>
      </c>
      <c r="T65" s="65">
        <f t="shared" si="22"/>
        <v>-1.3889947304764392</v>
      </c>
      <c r="U65" s="65">
        <f t="shared" si="22"/>
        <v>-0.83632262343132424</v>
      </c>
      <c r="V65" s="65">
        <f t="shared" si="22"/>
        <v>-0.50602955892262425</v>
      </c>
      <c r="W65" s="65">
        <f t="shared" si="22"/>
        <v>-0.30765641715309011</v>
      </c>
      <c r="X65" s="65">
        <f t="shared" si="22"/>
        <v>-0.18793364453923531</v>
      </c>
      <c r="Y65" s="65">
        <f t="shared" si="22"/>
        <v>-0.11533286754527299</v>
      </c>
    </row>
    <row r="66" spans="1:25" x14ac:dyDescent="0.25">
      <c r="A66" s="21">
        <v>54</v>
      </c>
      <c r="C66" s="25">
        <f t="shared" si="19"/>
        <v>6.02</v>
      </c>
      <c r="D66" s="23">
        <f>FishHarvestTimeTrends!AC75*((1+D$10)^MIN($A66,20))</f>
        <v>1.839389958735032</v>
      </c>
      <c r="E66" s="23">
        <f>FishHarvestTimeTrends!AD75*((1+E$10)^MIN($A66,20))</f>
        <v>0.26297040156411611</v>
      </c>
      <c r="F66" s="23">
        <f t="shared" si="21"/>
        <v>5.8325857491296436</v>
      </c>
      <c r="H66" s="22">
        <f t="shared" si="14"/>
        <v>2.8000000000000001E-2</v>
      </c>
      <c r="I66" s="22"/>
      <c r="J66" s="41"/>
      <c r="K66" s="41">
        <f t="shared" si="6"/>
        <v>0.16682313330559251</v>
      </c>
      <c r="L66" s="41">
        <f t="shared" si="15"/>
        <v>5.0972225296847598E-2</v>
      </c>
      <c r="M66" s="41">
        <f t="shared" si="15"/>
        <v>7.2873000590624147E-3</v>
      </c>
      <c r="N66" s="41">
        <f t="shared" si="6"/>
        <v>0.16162960630288267</v>
      </c>
      <c r="O66" s="41"/>
      <c r="P66" s="41">
        <f t="shared" si="16"/>
        <v>7.7592155025856977E-4</v>
      </c>
      <c r="R66" s="65">
        <f t="shared" si="22"/>
        <v>-3.8896396397008512</v>
      </c>
      <c r="S66" s="65">
        <f t="shared" si="22"/>
        <v>-2.2954960880240378</v>
      </c>
      <c r="T66" s="65">
        <f t="shared" si="22"/>
        <v>-1.3617590308168961</v>
      </c>
      <c r="U66" s="65">
        <f t="shared" si="22"/>
        <v>-0.81196340865251082</v>
      </c>
      <c r="V66" s="65">
        <f t="shared" si="22"/>
        <v>-0.48656670175785305</v>
      </c>
      <c r="W66" s="65">
        <f t="shared" si="22"/>
        <v>-0.29300600208307687</v>
      </c>
      <c r="X66" s="65">
        <f t="shared" si="22"/>
        <v>-0.1772958248223552</v>
      </c>
      <c r="Y66" s="65">
        <f t="shared" si="22"/>
        <v>-0.1077876863994239</v>
      </c>
    </row>
    <row r="67" spans="1:25" x14ac:dyDescent="0.25">
      <c r="A67" s="21">
        <v>55</v>
      </c>
      <c r="C67" s="25">
        <f t="shared" si="19"/>
        <v>6.02</v>
      </c>
      <c r="D67" s="23">
        <f>FishHarvestTimeTrends!AC76*((1+D$10)^MIN($A67,20))</f>
        <v>1.8393912735470395</v>
      </c>
      <c r="E67" s="23">
        <f>FishHarvestTimeTrends!AD76*((1+E$10)^MIN($A67,20))</f>
        <v>0.26297054024342631</v>
      </c>
      <c r="F67" s="23">
        <f t="shared" si="21"/>
        <v>5.8355020420042081</v>
      </c>
      <c r="H67" s="22">
        <f t="shared" si="14"/>
        <v>2.8000000000000001E-2</v>
      </c>
      <c r="I67" s="22"/>
      <c r="J67" s="41"/>
      <c r="K67" s="41">
        <f t="shared" si="6"/>
        <v>0.15590947037905842</v>
      </c>
      <c r="L67" s="41">
        <f t="shared" si="15"/>
        <v>4.7637627787139654E-2</v>
      </c>
      <c r="M67" s="41">
        <f t="shared" si="15"/>
        <v>6.8105643944597121E-3</v>
      </c>
      <c r="N67" s="41">
        <f t="shared" si="6"/>
        <v>0.15113123467853656</v>
      </c>
      <c r="O67" s="41"/>
      <c r="P67" s="41">
        <f t="shared" si="16"/>
        <v>7.2516032734445783E-4</v>
      </c>
      <c r="R67" s="65">
        <f t="shared" si="22"/>
        <v>-3.8896381862095337</v>
      </c>
      <c r="S67" s="65">
        <f t="shared" si="22"/>
        <v>-2.2727675546898007</v>
      </c>
      <c r="T67" s="65">
        <f t="shared" si="22"/>
        <v>-1.3350573744617729</v>
      </c>
      <c r="U67" s="65">
        <f t="shared" si="22"/>
        <v>-0.7883136944036645</v>
      </c>
      <c r="V67" s="65">
        <f t="shared" si="22"/>
        <v>-0.46785242301563446</v>
      </c>
      <c r="W67" s="65">
        <f t="shared" si="22"/>
        <v>-0.27905323103979257</v>
      </c>
      <c r="X67" s="65">
        <f t="shared" si="22"/>
        <v>-0.16726014959430202</v>
      </c>
      <c r="Y67" s="65">
        <f t="shared" si="22"/>
        <v>-0.10073611787011461</v>
      </c>
    </row>
    <row r="68" spans="1:25" x14ac:dyDescent="0.25">
      <c r="A68" s="21">
        <v>56</v>
      </c>
      <c r="C68" s="25">
        <f t="shared" si="19"/>
        <v>6.02</v>
      </c>
      <c r="D68" s="23">
        <f>FishHarvestTimeTrends!AC77*((1+D$10)^MIN($A68,20))</f>
        <v>1.839392588359047</v>
      </c>
      <c r="E68" s="23">
        <f>FishHarvestTimeTrends!AD77*((1+E$10)^MIN($A68,20))</f>
        <v>0.26297067892273651</v>
      </c>
      <c r="F68" s="23">
        <f t="shared" si="21"/>
        <v>5.83841979302521</v>
      </c>
      <c r="H68" s="22">
        <f t="shared" si="14"/>
        <v>2.8000000000000001E-2</v>
      </c>
      <c r="I68" s="22"/>
      <c r="J68" s="41"/>
      <c r="K68" s="41">
        <f t="shared" si="6"/>
        <v>0.14570978540098917</v>
      </c>
      <c r="L68" s="41">
        <f t="shared" si="15"/>
        <v>4.4521179288698802E-2</v>
      </c>
      <c r="M68" s="41">
        <f t="shared" si="15"/>
        <v>6.3650168093993967E-3</v>
      </c>
      <c r="N68" s="41">
        <f t="shared" si="6"/>
        <v>0.14131476663165965</v>
      </c>
      <c r="O68" s="41"/>
      <c r="P68" s="41">
        <f t="shared" si="16"/>
        <v>6.7771993209762415E-4</v>
      </c>
      <c r="R68" s="65">
        <f t="shared" si="22"/>
        <v>-3.8896367327182162</v>
      </c>
      <c r="S68" s="65">
        <f t="shared" si="22"/>
        <v>-2.250264064747928</v>
      </c>
      <c r="T68" s="65">
        <f t="shared" si="22"/>
        <v>-1.3088792897780863</v>
      </c>
      <c r="U68" s="65">
        <f t="shared" si="22"/>
        <v>-0.76535281536340671</v>
      </c>
      <c r="V68" s="65">
        <f t="shared" si="22"/>
        <v>-0.449857930949211</v>
      </c>
      <c r="W68" s="65">
        <f t="shared" si="22"/>
        <v>-0.26576488263082765</v>
      </c>
      <c r="X68" s="65">
        <f t="shared" si="22"/>
        <v>-0.15779253499249293</v>
      </c>
      <c r="Y68" s="65">
        <f t="shared" si="22"/>
        <v>-9.4145869370793361E-2</v>
      </c>
    </row>
    <row r="69" spans="1:25" x14ac:dyDescent="0.25">
      <c r="A69" s="21">
        <v>57</v>
      </c>
      <c r="C69" s="25">
        <f t="shared" si="19"/>
        <v>6.02</v>
      </c>
      <c r="D69" s="23">
        <f>FishHarvestTimeTrends!AC78*((1+D$10)^MIN($A69,20))</f>
        <v>1.8393939031710542</v>
      </c>
      <c r="E69" s="23">
        <f>FishHarvestTimeTrends!AD78*((1+E$10)^MIN($A69,20))</f>
        <v>0.26297081760204677</v>
      </c>
      <c r="F69" s="23">
        <f t="shared" si="21"/>
        <v>5.841339002921722</v>
      </c>
      <c r="H69" s="22">
        <f t="shared" si="14"/>
        <v>2.8000000000000001E-2</v>
      </c>
      <c r="I69" s="22"/>
      <c r="J69" s="41"/>
      <c r="K69" s="41">
        <f t="shared" si="6"/>
        <v>0.13617736953363474</v>
      </c>
      <c r="L69" s="41">
        <f t="shared" si="15"/>
        <v>4.1608608516617844E-2</v>
      </c>
      <c r="M69" s="41">
        <f t="shared" si="15"/>
        <v>5.9486169776006622E-3</v>
      </c>
      <c r="N69" s="41">
        <f t="shared" si="6"/>
        <v>0.13213591029436958</v>
      </c>
      <c r="O69" s="41"/>
      <c r="P69" s="41">
        <f t="shared" si="16"/>
        <v>6.3338311410992914E-4</v>
      </c>
      <c r="R69" s="65">
        <f t="shared" si="22"/>
        <v>-3.8896352792268987</v>
      </c>
      <c r="S69" s="65">
        <f t="shared" si="22"/>
        <v>-2.2279833899627608</v>
      </c>
      <c r="T69" s="65">
        <f t="shared" si="22"/>
        <v>-1.2832145104628248</v>
      </c>
      <c r="U69" s="65">
        <f t="shared" si="22"/>
        <v>-0.74306070812041991</v>
      </c>
      <c r="V69" s="65">
        <f t="shared" si="22"/>
        <v>-0.43255554119704548</v>
      </c>
      <c r="W69" s="65">
        <f t="shared" si="22"/>
        <v>-0.25310931744666265</v>
      </c>
      <c r="X69" s="65">
        <f t="shared" si="22"/>
        <v>-0.14886082644160117</v>
      </c>
      <c r="Y69" s="65">
        <f t="shared" si="22"/>
        <v>-8.7986760925306315E-2</v>
      </c>
    </row>
    <row r="70" spans="1:25" x14ac:dyDescent="0.25">
      <c r="A70" s="21">
        <v>58</v>
      </c>
      <c r="C70" s="25">
        <f t="shared" si="19"/>
        <v>6.02</v>
      </c>
      <c r="D70" s="23">
        <f>FishHarvestTimeTrends!AC79*((1+D$10)^MIN($A70,20))</f>
        <v>1.8393952179830615</v>
      </c>
      <c r="E70" s="23">
        <f>FishHarvestTimeTrends!AD79*((1+E$10)^MIN($A70,20))</f>
        <v>0.26297095628135703</v>
      </c>
      <c r="F70" s="23">
        <f t="shared" si="21"/>
        <v>5.844259672423183</v>
      </c>
      <c r="H70" s="22">
        <f t="shared" si="14"/>
        <v>2.8000000000000001E-2</v>
      </c>
      <c r="I70" s="22"/>
      <c r="J70" s="41"/>
      <c r="K70" s="41">
        <f t="shared" si="6"/>
        <v>0.12726856965760255</v>
      </c>
      <c r="L70" s="41">
        <f t="shared" si="15"/>
        <v>3.8886577811916664E-2</v>
      </c>
      <c r="M70" s="41">
        <f t="shared" si="15"/>
        <v>5.5594580510664859E-3</v>
      </c>
      <c r="N70" s="41">
        <f t="shared" si="6"/>
        <v>0.12355325070048297</v>
      </c>
      <c r="O70" s="41"/>
      <c r="P70" s="41">
        <f t="shared" si="16"/>
        <v>5.9194683561675612E-4</v>
      </c>
      <c r="R70" s="65">
        <f t="shared" si="22"/>
        <v>-3.8896338257355811</v>
      </c>
      <c r="S70" s="65">
        <f t="shared" si="22"/>
        <v>-2.2059233241612088</v>
      </c>
      <c r="T70" s="65">
        <f t="shared" si="22"/>
        <v>-1.2580529715167976</v>
      </c>
      <c r="U70" s="65">
        <f t="shared" si="22"/>
        <v>-0.72141789364186826</v>
      </c>
      <c r="V70" s="65">
        <f t="shared" si="22"/>
        <v>-0.4159186341906837</v>
      </c>
      <c r="W70" s="65">
        <f t="shared" si="22"/>
        <v>-0.24105640272758622</v>
      </c>
      <c r="X70" s="65">
        <f t="shared" si="22"/>
        <v>-0.14043468944793655</v>
      </c>
      <c r="Y70" s="65">
        <f t="shared" si="22"/>
        <v>-8.2230586959002649E-2</v>
      </c>
    </row>
    <row r="71" spans="1:25" x14ac:dyDescent="0.25">
      <c r="A71" s="21">
        <v>59</v>
      </c>
      <c r="C71" s="25">
        <f t="shared" si="19"/>
        <v>6.02</v>
      </c>
      <c r="D71" s="23">
        <f>FishHarvestTimeTrends!AC80*((1+D$10)^MIN($A71,20))</f>
        <v>1.8393965327950688</v>
      </c>
      <c r="E71" s="23">
        <f>FishHarvestTimeTrends!AD80*((1+E$10)^MIN($A71,20))</f>
        <v>0.26297109496066717</v>
      </c>
      <c r="F71" s="23">
        <f t="shared" si="21"/>
        <v>5.847181802259394</v>
      </c>
      <c r="H71" s="22">
        <f t="shared" si="14"/>
        <v>2.8000000000000001E-2</v>
      </c>
      <c r="I71" s="22"/>
      <c r="J71" s="41"/>
      <c r="K71" s="41">
        <f t="shared" si="6"/>
        <v>0.11894258846504914</v>
      </c>
      <c r="L71" s="41">
        <f t="shared" si="15"/>
        <v>3.6342622063834241E-2</v>
      </c>
      <c r="M71" s="41">
        <f t="shared" si="15"/>
        <v>5.1957579279252484E-3</v>
      </c>
      <c r="N71" s="41">
        <f t="shared" si="6"/>
        <v>0.11552806292133945</v>
      </c>
      <c r="O71" s="41"/>
      <c r="P71" s="41">
        <f t="shared" si="16"/>
        <v>5.5322134169790305E-4</v>
      </c>
      <c r="R71" s="65">
        <f t="shared" si="22"/>
        <v>-3.8896323722442636</v>
      </c>
      <c r="S71" s="65">
        <f t="shared" si="22"/>
        <v>-2.184081683014294</v>
      </c>
      <c r="T71" s="65">
        <f t="shared" si="22"/>
        <v>-1.2333848052974261</v>
      </c>
      <c r="U71" s="65">
        <f t="shared" si="22"/>
        <v>-0.70040546025245443</v>
      </c>
      <c r="V71" s="65">
        <f t="shared" si="22"/>
        <v>-0.3999216142007922</v>
      </c>
      <c r="W71" s="65">
        <f t="shared" si="22"/>
        <v>-0.22957744061793059</v>
      </c>
      <c r="X71" s="65">
        <f t="shared" si="22"/>
        <v>-0.13248550657531533</v>
      </c>
      <c r="Y71" s="65">
        <f t="shared" si="22"/>
        <v>-7.6850987131591747E-2</v>
      </c>
    </row>
    <row r="72" spans="1:25" x14ac:dyDescent="0.25">
      <c r="A72" s="21">
        <v>60</v>
      </c>
      <c r="C72" s="25">
        <f t="shared" si="19"/>
        <v>6.02</v>
      </c>
      <c r="D72" s="23">
        <f>FishHarvestTimeTrends!AC81*((1+D$10)^MIN($A72,20))</f>
        <v>1.8393978476070763</v>
      </c>
      <c r="E72" s="23">
        <f>FishHarvestTimeTrends!AD81*((1+E$10)^MIN($A72,20))</f>
        <v>0.26297123363997749</v>
      </c>
      <c r="F72" s="23">
        <f t="shared" si="21"/>
        <v>5.8501053931605238</v>
      </c>
      <c r="H72" s="22">
        <f t="shared" si="14"/>
        <v>2.8000000000000001E-2</v>
      </c>
      <c r="I72" s="22"/>
      <c r="J72" s="41"/>
      <c r="K72" s="41">
        <f t="shared" si="6"/>
        <v>0.11116129763088702</v>
      </c>
      <c r="L72" s="41">
        <f t="shared" si="15"/>
        <v>3.3965091627817801E-2</v>
      </c>
      <c r="M72" s="41">
        <f t="shared" si="15"/>
        <v>4.8558510915307418E-3</v>
      </c>
      <c r="N72" s="41">
        <f t="shared" si="6"/>
        <v>0.1080241373390655</v>
      </c>
      <c r="O72" s="41"/>
      <c r="P72" s="41">
        <f t="shared" si="16"/>
        <v>5.170292913064513E-4</v>
      </c>
      <c r="R72" s="65">
        <f t="shared" si="22"/>
        <v>-3.8896309187529456</v>
      </c>
      <c r="S72" s="65">
        <f t="shared" si="22"/>
        <v>-2.1624563038208664</v>
      </c>
      <c r="T72" s="65">
        <f t="shared" si="22"/>
        <v>-1.2092003376489351</v>
      </c>
      <c r="U72" s="65">
        <f t="shared" si="22"/>
        <v>-0.68000504710923526</v>
      </c>
      <c r="V72" s="65">
        <f t="shared" si="22"/>
        <v>-0.38453986995836159</v>
      </c>
      <c r="W72" s="65">
        <f t="shared" si="22"/>
        <v>-0.21864509983679634</v>
      </c>
      <c r="X72" s="65">
        <f t="shared" si="22"/>
        <v>-0.12498628025252038</v>
      </c>
      <c r="Y72" s="65">
        <f t="shared" si="22"/>
        <v>-7.1823325620232012E-2</v>
      </c>
    </row>
    <row r="73" spans="1:25" x14ac:dyDescent="0.25">
      <c r="A73" s="21">
        <v>61</v>
      </c>
      <c r="C73" s="25">
        <f t="shared" si="19"/>
        <v>6.02</v>
      </c>
      <c r="D73" s="23">
        <f>FishHarvestTimeTrends!AC82*((1+D$10)^MIN($A73,20))</f>
        <v>1.8393991624190837</v>
      </c>
      <c r="E73" s="23">
        <f>FishHarvestTimeTrends!AD82*((1+E$10)^MIN($A73,20))</f>
        <v>0.26297137231928763</v>
      </c>
      <c r="F73" s="23">
        <f t="shared" si="21"/>
        <v>5.8530304458571036</v>
      </c>
      <c r="H73" s="22">
        <f t="shared" si="14"/>
        <v>2.8000000000000001E-2</v>
      </c>
      <c r="I73" s="22"/>
      <c r="J73" s="41"/>
      <c r="K73" s="41">
        <f t="shared" si="6"/>
        <v>0.10388906320643648</v>
      </c>
      <c r="L73" s="41">
        <f t="shared" si="15"/>
        <v>3.1743098977811052E-2</v>
      </c>
      <c r="M73" s="41">
        <f t="shared" si="15"/>
        <v>4.5381809834488061E-3</v>
      </c>
      <c r="N73" s="41">
        <f t="shared" si="6"/>
        <v>0.10100761626891126</v>
      </c>
      <c r="O73" s="41"/>
      <c r="P73" s="41">
        <f t="shared" si="16"/>
        <v>4.8320494514621622E-4</v>
      </c>
      <c r="R73" s="65">
        <f t="shared" si="22"/>
        <v>-3.8896294652616281</v>
      </c>
      <c r="S73" s="65">
        <f t="shared" si="22"/>
        <v>-2.1410450452934566</v>
      </c>
      <c r="T73" s="65">
        <f t="shared" si="22"/>
        <v>-1.1854900841084208</v>
      </c>
      <c r="U73" s="65">
        <f t="shared" si="22"/>
        <v>-0.66019882815776254</v>
      </c>
      <c r="V73" s="65">
        <f t="shared" si="22"/>
        <v>-0.36974973679049544</v>
      </c>
      <c r="W73" s="65">
        <f t="shared" si="22"/>
        <v>-0.20823335060257761</v>
      </c>
      <c r="X73" s="65">
        <f t="shared" si="22"/>
        <v>-0.11791154108226054</v>
      </c>
      <c r="Y73" s="65">
        <f t="shared" si="22"/>
        <v>-6.7124578300030407E-2</v>
      </c>
    </row>
    <row r="74" spans="1:25" x14ac:dyDescent="0.25">
      <c r="A74" s="21">
        <v>62</v>
      </c>
      <c r="C74" s="25">
        <f t="shared" si="19"/>
        <v>6.02</v>
      </c>
      <c r="D74" s="23">
        <f>FishHarvestTimeTrends!AC83*((1+D$10)^MIN($A74,20))</f>
        <v>1.8394004772310912</v>
      </c>
      <c r="E74" s="23">
        <f>FishHarvestTimeTrends!AD83*((1+E$10)^MIN($A74,20))</f>
        <v>0.26297151099859789</v>
      </c>
      <c r="F74" s="23">
        <f t="shared" si="21"/>
        <v>5.8559569610800315</v>
      </c>
      <c r="H74" s="22">
        <f t="shared" si="14"/>
        <v>2.8000000000000001E-2</v>
      </c>
      <c r="I74" s="22"/>
      <c r="J74" s="41"/>
      <c r="K74" s="41">
        <f t="shared" si="6"/>
        <v>9.7092582435921948E-2</v>
      </c>
      <c r="L74" s="41">
        <f t="shared" si="15"/>
        <v>2.9666468848543837E-2</v>
      </c>
      <c r="M74" s="41">
        <f t="shared" si="15"/>
        <v>4.2412928754037077E-3</v>
      </c>
      <c r="N74" s="41">
        <f t="shared" si="6"/>
        <v>9.444684119350065E-2</v>
      </c>
      <c r="O74" s="41"/>
      <c r="P74" s="41">
        <f t="shared" si="16"/>
        <v>4.5159340667870674E-4</v>
      </c>
      <c r="R74" s="65">
        <f t="shared" si="22"/>
        <v>-3.8896280117703106</v>
      </c>
      <c r="S74" s="65">
        <f t="shared" si="22"/>
        <v>-2.1198457873462564</v>
      </c>
      <c r="T74" s="65">
        <f t="shared" si="22"/>
        <v>-1.1622447461863166</v>
      </c>
      <c r="U74" s="65">
        <f t="shared" si="22"/>
        <v>-0.64096949655552427</v>
      </c>
      <c r="V74" s="65">
        <f t="shared" si="22"/>
        <v>-0.35552846021252682</v>
      </c>
      <c r="W74" s="65">
        <f t="shared" si="22"/>
        <v>-0.19831740265634154</v>
      </c>
      <c r="X74" s="65">
        <f t="shared" si="22"/>
        <v>-0.11123726134022065</v>
      </c>
      <c r="Y74" s="65">
        <f t="shared" si="22"/>
        <v>-6.2733227305295694E-2</v>
      </c>
    </row>
    <row r="75" spans="1:25" x14ac:dyDescent="0.25">
      <c r="A75" s="21">
        <v>63</v>
      </c>
      <c r="C75" s="25">
        <f t="shared" si="19"/>
        <v>6.02</v>
      </c>
      <c r="D75" s="23">
        <f>FishHarvestTimeTrends!AC84*((1+D$10)^MIN($A75,20))</f>
        <v>1.8394017920430983</v>
      </c>
      <c r="E75" s="23">
        <f>FishHarvestTimeTrends!AD84*((1+E$10)^MIN($A75,20))</f>
        <v>0.26297164967790809</v>
      </c>
      <c r="F75" s="23">
        <f t="shared" si="21"/>
        <v>5.8588849395605713</v>
      </c>
      <c r="H75" s="22">
        <f t="shared" si="14"/>
        <v>2.8000000000000001E-2</v>
      </c>
      <c r="I75" s="22"/>
      <c r="J75" s="41"/>
      <c r="K75" s="41">
        <f t="shared" si="6"/>
        <v>9.0740731248525192E-2</v>
      </c>
      <c r="L75" s="41">
        <f t="shared" si="15"/>
        <v>2.7725691639508044E-2</v>
      </c>
      <c r="M75" s="41">
        <f t="shared" si="15"/>
        <v>3.9638272075422547E-3</v>
      </c>
      <c r="N75" s="41">
        <f t="shared" si="6"/>
        <v>8.8312209919717208E-2</v>
      </c>
      <c r="O75" s="41"/>
      <c r="P75" s="41">
        <f t="shared" si="16"/>
        <v>4.2204991278383812E-4</v>
      </c>
      <c r="R75" s="65">
        <f t="shared" si="22"/>
        <v>-3.8896265582789931</v>
      </c>
      <c r="S75" s="65">
        <f t="shared" si="22"/>
        <v>-2.0988564308851889</v>
      </c>
      <c r="T75" s="65">
        <f t="shared" si="22"/>
        <v>-1.1394552077197855</v>
      </c>
      <c r="U75" s="65">
        <f t="shared" si="22"/>
        <v>-0.62230024954907848</v>
      </c>
      <c r="V75" s="65">
        <f t="shared" si="22"/>
        <v>-0.34185416092045157</v>
      </c>
      <c r="W75" s="65">
        <f t="shared" si="22"/>
        <v>-0.18887364623649863</v>
      </c>
      <c r="X75" s="65">
        <f t="shared" si="22"/>
        <v>-0.10494077337042299</v>
      </c>
      <c r="Y75" s="65">
        <f t="shared" si="22"/>
        <v>-5.8629162488691051E-2</v>
      </c>
    </row>
    <row r="76" spans="1:25" x14ac:dyDescent="0.25">
      <c r="A76" s="21">
        <v>64</v>
      </c>
      <c r="C76" s="25">
        <f t="shared" si="19"/>
        <v>6.02</v>
      </c>
      <c r="D76" s="23">
        <f>FishHarvestTimeTrends!AC85*((1+D$10)^MIN($A76,20))</f>
        <v>1.8394031068551058</v>
      </c>
      <c r="E76" s="23">
        <f>FishHarvestTimeTrends!AD85*((1+E$10)^MIN($A76,20))</f>
        <v>0.26297178835721835</v>
      </c>
      <c r="F76" s="23">
        <f t="shared" si="21"/>
        <v>5.8618143820303512</v>
      </c>
      <c r="H76" s="22">
        <f t="shared" si="14"/>
        <v>2.8000000000000001E-2</v>
      </c>
      <c r="I76" s="22"/>
      <c r="J76" s="41"/>
      <c r="K76" s="41">
        <f t="shared" si="6"/>
        <v>8.4804421727593615E-2</v>
      </c>
      <c r="L76" s="41">
        <f t="shared" si="15"/>
        <v>2.5911879867240258E-2</v>
      </c>
      <c r="M76" s="41">
        <f t="shared" si="15"/>
        <v>3.7045133625091429E-3</v>
      </c>
      <c r="N76" s="41">
        <f t="shared" si="6"/>
        <v>8.2576043013716863E-2</v>
      </c>
      <c r="O76" s="41"/>
      <c r="P76" s="41">
        <f t="shared" si="16"/>
        <v>3.9443917082601686E-4</v>
      </c>
      <c r="R76" s="65">
        <f t="shared" si="22"/>
        <v>-3.8896251047876755</v>
      </c>
      <c r="S76" s="65">
        <f t="shared" si="22"/>
        <v>-2.0780748976000649</v>
      </c>
      <c r="T76" s="65">
        <f t="shared" si="22"/>
        <v>-1.1171125312976222</v>
      </c>
      <c r="U76" s="65">
        <f t="shared" si="22"/>
        <v>-0.60417477379166495</v>
      </c>
      <c r="V76" s="65">
        <f t="shared" si="22"/>
        <v>-0.32870580112981918</v>
      </c>
      <c r="W76" s="65">
        <f t="shared" si="22"/>
        <v>-0.17987959586422261</v>
      </c>
      <c r="X76" s="65">
        <f t="shared" si="22"/>
        <v>-9.9000692599747281E-2</v>
      </c>
      <c r="Y76" s="65">
        <f t="shared" si="22"/>
        <v>-5.4793589327018201E-2</v>
      </c>
    </row>
    <row r="77" spans="1:25" x14ac:dyDescent="0.25">
      <c r="A77" s="21">
        <v>65</v>
      </c>
      <c r="C77" s="25">
        <f t="shared" si="19"/>
        <v>6.02</v>
      </c>
      <c r="D77" s="23">
        <f>FishHarvestTimeTrends!AC86*((1+D$10)^MIN($A77,20))</f>
        <v>1.8394044216671133</v>
      </c>
      <c r="E77" s="23">
        <f>FishHarvestTimeTrends!AD86*((1+E$10)^MIN($A77,20))</f>
        <v>0.26297192703652855</v>
      </c>
      <c r="F77" s="23">
        <f t="shared" si="21"/>
        <v>5.8647452892213661</v>
      </c>
      <c r="H77" s="22">
        <f t="shared" si="14"/>
        <v>2.8000000000000001E-2</v>
      </c>
      <c r="I77" s="22"/>
      <c r="J77" s="41"/>
      <c r="K77" s="41">
        <f t="shared" ref="K77:N112" si="23">C77/((1+$M$9)^($A77-1))</f>
        <v>7.9256468904293109E-2</v>
      </c>
      <c r="L77" s="41">
        <f t="shared" si="15"/>
        <v>2.4216727466491499E-2</v>
      </c>
      <c r="M77" s="41">
        <f t="shared" si="15"/>
        <v>3.4621638468227017E-3</v>
      </c>
      <c r="N77" s="41">
        <f t="shared" si="23"/>
        <v>7.7212458911424045E-2</v>
      </c>
      <c r="O77" s="41"/>
      <c r="P77" s="41">
        <f t="shared" si="16"/>
        <v>3.6863473908973544E-4</v>
      </c>
      <c r="R77" s="65">
        <f t="shared" si="22"/>
        <v>-3.8896236512963576</v>
      </c>
      <c r="S77" s="65">
        <f t="shared" si="22"/>
        <v>-2.057499129758789</v>
      </c>
      <c r="T77" s="65">
        <f t="shared" si="22"/>
        <v>-1.0952079547552509</v>
      </c>
      <c r="U77" s="65">
        <f t="shared" si="22"/>
        <v>-0.58657723108846394</v>
      </c>
      <c r="V77" s="65">
        <f t="shared" si="22"/>
        <v>-0.31606315220929382</v>
      </c>
      <c r="W77" s="65">
        <f t="shared" si="22"/>
        <v>-0.17131383680577683</v>
      </c>
      <c r="X77" s="65">
        <f t="shared" si="22"/>
        <v>-9.3396844910147131E-2</v>
      </c>
      <c r="Y77" s="65">
        <f t="shared" si="22"/>
        <v>-5.1208942851889171E-2</v>
      </c>
    </row>
    <row r="78" spans="1:25" x14ac:dyDescent="0.25">
      <c r="A78" s="21">
        <v>66</v>
      </c>
      <c r="C78" s="25">
        <f t="shared" si="19"/>
        <v>6.02</v>
      </c>
      <c r="D78" s="23">
        <f>FishHarvestTimeTrends!AC87*((1+D$10)^MIN($A78,20))</f>
        <v>1.8394057364791205</v>
      </c>
      <c r="E78" s="23">
        <f>FishHarvestTimeTrends!AD87*((1+E$10)^MIN($A78,20))</f>
        <v>0.26297206571583881</v>
      </c>
      <c r="F78" s="23">
        <f t="shared" si="21"/>
        <v>5.8676776618659767</v>
      </c>
      <c r="H78" s="22">
        <f t="shared" si="14"/>
        <v>2.8000000000000001E-2</v>
      </c>
      <c r="I78" s="22"/>
      <c r="J78" s="41"/>
      <c r="K78" s="41">
        <f t="shared" si="23"/>
        <v>7.4071466265694483E-2</v>
      </c>
      <c r="L78" s="41">
        <f t="shared" si="15"/>
        <v>2.2632471753909984E-2</v>
      </c>
      <c r="M78" s="41">
        <f t="shared" si="15"/>
        <v>3.2356688529054404E-3</v>
      </c>
      <c r="N78" s="41">
        <f t="shared" si="23"/>
        <v>7.2197257141009108E-2</v>
      </c>
      <c r="O78" s="41"/>
      <c r="P78" s="41">
        <f t="shared" si="16"/>
        <v>3.4451844774741628E-4</v>
      </c>
      <c r="R78" s="65">
        <f t="shared" ref="R78:Y93" si="24">(($D78/((1+R$10)^$M$7))+$G78+$H78+IF($M$3="Yes",$E78/((1+R$10)^$M$7),0)+IF($M$4="Yes",$F78)-($B78*(1+$M$5))-$C78)/((1+R$10)^($A78-1))</f>
        <v>-3.88962219780504</v>
      </c>
      <c r="S78" s="65">
        <f t="shared" si="24"/>
        <v>-2.0371270900036169</v>
      </c>
      <c r="T78" s="65">
        <f t="shared" si="24"/>
        <v>-1.0737328877384564</v>
      </c>
      <c r="U78" s="65">
        <f t="shared" si="24"/>
        <v>-0.56949224455704661</v>
      </c>
      <c r="V78" s="65">
        <f t="shared" si="24"/>
        <v>-0.3039067635590903</v>
      </c>
      <c r="W78" s="65">
        <f t="shared" si="24"/>
        <v>-0.1631559740842709</v>
      </c>
      <c r="X78" s="65">
        <f t="shared" si="24"/>
        <v>-8.8110198121898006E-2</v>
      </c>
      <c r="Y78" s="65">
        <f t="shared" si="24"/>
        <v>-4.7858807211131643E-2</v>
      </c>
    </row>
    <row r="79" spans="1:25" x14ac:dyDescent="0.25">
      <c r="A79" s="21">
        <v>67</v>
      </c>
      <c r="C79" s="25">
        <f t="shared" si="19"/>
        <v>6.02</v>
      </c>
      <c r="D79" s="23">
        <f>FishHarvestTimeTrends!AC88*((1+D$10)^MIN($A79,20))</f>
        <v>1.839407051291128</v>
      </c>
      <c r="E79" s="23">
        <f>FishHarvestTimeTrends!AD88*((1+E$10)^MIN($A79,20))</f>
        <v>0.26297220439514901</v>
      </c>
      <c r="F79" s="23">
        <f t="shared" si="21"/>
        <v>5.8706115006969091</v>
      </c>
      <c r="H79" s="22">
        <f t="shared" si="14"/>
        <v>2.8000000000000001E-2</v>
      </c>
      <c r="I79" s="22"/>
      <c r="J79" s="41"/>
      <c r="K79" s="41">
        <f t="shared" si="23"/>
        <v>6.9225669407191118E-2</v>
      </c>
      <c r="L79" s="41">
        <f t="shared" si="15"/>
        <v>2.1151857880055792E-2</v>
      </c>
      <c r="M79" s="41">
        <f t="shared" si="15"/>
        <v>3.0239911768669232E-3</v>
      </c>
      <c r="N79" s="41">
        <f t="shared" si="23"/>
        <v>6.7507809130448238E-2</v>
      </c>
      <c r="O79" s="41"/>
      <c r="P79" s="41">
        <f t="shared" si="16"/>
        <v>3.2197985770786568E-4</v>
      </c>
      <c r="R79" s="65">
        <f t="shared" si="24"/>
        <v>-3.8896207443137225</v>
      </c>
      <c r="S79" s="65">
        <f t="shared" si="24"/>
        <v>-2.0169567611494137</v>
      </c>
      <c r="T79" s="65">
        <f t="shared" si="24"/>
        <v>-1.0526789083344872</v>
      </c>
      <c r="U79" s="65">
        <f t="shared" si="24"/>
        <v>-0.55290488519092484</v>
      </c>
      <c r="V79" s="65">
        <f t="shared" si="24"/>
        <v>-0.29221793268640345</v>
      </c>
      <c r="W79" s="65">
        <f t="shared" si="24"/>
        <v>-0.15538658391944865</v>
      </c>
      <c r="X79" s="65">
        <f t="shared" si="24"/>
        <v>-8.3122797355176789E-2</v>
      </c>
      <c r="Y79" s="65">
        <f t="shared" si="24"/>
        <v>-4.4727840492560532E-2</v>
      </c>
    </row>
    <row r="80" spans="1:25" x14ac:dyDescent="0.25">
      <c r="A80" s="21">
        <v>68</v>
      </c>
      <c r="C80" s="25">
        <f t="shared" si="19"/>
        <v>6.02</v>
      </c>
      <c r="D80" s="23">
        <f>FishHarvestTimeTrends!AC89*((1+D$10)^MIN($A80,20))</f>
        <v>1.8394083661031355</v>
      </c>
      <c r="E80" s="23">
        <f>FishHarvestTimeTrends!AD89*((1+E$10)^MIN($A80,20))</f>
        <v>0.26297234307445921</v>
      </c>
      <c r="F80" s="23">
        <f t="shared" si="21"/>
        <v>5.8735468064472576</v>
      </c>
      <c r="H80" s="22">
        <f t="shared" si="14"/>
        <v>2.8000000000000001E-2</v>
      </c>
      <c r="I80" s="22"/>
      <c r="J80" s="41"/>
      <c r="K80" s="41">
        <f t="shared" si="23"/>
        <v>6.4696887296440297E-2</v>
      </c>
      <c r="L80" s="41">
        <f t="shared" si="15"/>
        <v>1.9768105606960788E-2</v>
      </c>
      <c r="M80" s="41">
        <f t="shared" si="15"/>
        <v>2.8261614687656346E-3</v>
      </c>
      <c r="N80" s="41">
        <f t="shared" si="23"/>
        <v>6.3122956107489206E-2</v>
      </c>
      <c r="O80" s="41"/>
      <c r="P80" s="41">
        <f t="shared" si="16"/>
        <v>3.0091575486716418E-4</v>
      </c>
      <c r="R80" s="65">
        <f t="shared" si="24"/>
        <v>-3.889619290822405</v>
      </c>
      <c r="S80" s="65">
        <f t="shared" si="24"/>
        <v>-1.9969861459839227</v>
      </c>
      <c r="T80" s="65">
        <f t="shared" si="24"/>
        <v>-1.0320377597692207</v>
      </c>
      <c r="U80" s="65">
        <f t="shared" si="24"/>
        <v>-0.53680065881445793</v>
      </c>
      <c r="V80" s="65">
        <f t="shared" si="24"/>
        <v>-0.28097867643179447</v>
      </c>
      <c r="W80" s="65">
        <f t="shared" si="24"/>
        <v>-0.14798716747988319</v>
      </c>
      <c r="X80" s="65">
        <f t="shared" si="24"/>
        <v>-7.8417704050442127E-2</v>
      </c>
      <c r="Y80" s="65">
        <f t="shared" si="24"/>
        <v>-4.1801704465846704E-2</v>
      </c>
    </row>
    <row r="81" spans="1:25" x14ac:dyDescent="0.25">
      <c r="A81" s="21">
        <v>69</v>
      </c>
      <c r="C81" s="25">
        <f t="shared" si="19"/>
        <v>6.02</v>
      </c>
      <c r="D81" s="23">
        <f>FishHarvestTimeTrends!AC90*((1+D$10)^MIN($A81,20))</f>
        <v>1.8394096809151428</v>
      </c>
      <c r="E81" s="23">
        <f>FishHarvestTimeTrends!AD90*((1+E$10)^MIN($A81,20))</f>
        <v>0.26297248175376947</v>
      </c>
      <c r="F81" s="23">
        <f t="shared" si="21"/>
        <v>5.8764835798504809</v>
      </c>
      <c r="H81" s="22">
        <f t="shared" si="14"/>
        <v>2.8000000000000001E-2</v>
      </c>
      <c r="I81" s="22"/>
      <c r="J81" s="41"/>
      <c r="K81" s="41">
        <f t="shared" si="23"/>
        <v>6.046438065087878E-2</v>
      </c>
      <c r="L81" s="41">
        <f t="shared" si="15"/>
        <v>1.8474878259097122E-2</v>
      </c>
      <c r="M81" s="41">
        <f t="shared" si="15"/>
        <v>2.6412737935990354E-3</v>
      </c>
      <c r="N81" s="41">
        <f t="shared" si="23"/>
        <v>5.9022913631348553E-2</v>
      </c>
      <c r="O81" s="41"/>
      <c r="P81" s="41">
        <f t="shared" si="16"/>
        <v>2.8122967744594784E-4</v>
      </c>
      <c r="R81" s="65">
        <f t="shared" si="24"/>
        <v>-3.8896178373310875</v>
      </c>
      <c r="S81" s="65">
        <f t="shared" si="24"/>
        <v>-1.9772132670700022</v>
      </c>
      <c r="T81" s="65">
        <f t="shared" si="24"/>
        <v>-1.0118013471690916</v>
      </c>
      <c r="U81" s="65">
        <f t="shared" si="24"/>
        <v>-0.52116549341771945</v>
      </c>
      <c r="V81" s="65">
        <f t="shared" si="24"/>
        <v>-0.27017170330226425</v>
      </c>
      <c r="W81" s="65">
        <f t="shared" si="24"/>
        <v>-0.14094010683746583</v>
      </c>
      <c r="X81" s="65">
        <f t="shared" si="24"/>
        <v>-7.397893844051312E-2</v>
      </c>
      <c r="Y81" s="65">
        <f t="shared" si="24"/>
        <v>-3.9066998920736673E-2</v>
      </c>
    </row>
    <row r="82" spans="1:25" x14ac:dyDescent="0.25">
      <c r="A82" s="21">
        <v>70</v>
      </c>
      <c r="C82" s="25">
        <f t="shared" si="19"/>
        <v>6.02</v>
      </c>
      <c r="D82" s="23">
        <f>FishHarvestTimeTrends!AC91*((1+D$10)^MIN($A82,20))</f>
        <v>1.8394109957271503</v>
      </c>
      <c r="E82" s="23">
        <f>FishHarvestTimeTrends!AD91*((1+E$10)^MIN($A82,20))</f>
        <v>0.26297262043307967</v>
      </c>
      <c r="F82" s="23">
        <f t="shared" si="21"/>
        <v>5.8794218216404062</v>
      </c>
      <c r="H82" s="22">
        <f t="shared" si="14"/>
        <v>2.8000000000000001E-2</v>
      </c>
      <c r="I82" s="22"/>
      <c r="J82" s="41"/>
      <c r="K82" s="41">
        <f t="shared" si="23"/>
        <v>5.6508766963438109E-2</v>
      </c>
      <c r="L82" s="41">
        <f t="shared" si="15"/>
        <v>1.7266253705569966E-2</v>
      </c>
      <c r="M82" s="41">
        <f t="shared" si="15"/>
        <v>2.4684814826939471E-3</v>
      </c>
      <c r="N82" s="41">
        <f t="shared" si="23"/>
        <v>5.5189182325387123E-2</v>
      </c>
      <c r="O82" s="41"/>
      <c r="P82" s="41">
        <f t="shared" si="16"/>
        <v>2.6283147424854933E-4</v>
      </c>
      <c r="R82" s="65">
        <f t="shared" si="24"/>
        <v>-3.8896163838397695</v>
      </c>
      <c r="S82" s="65">
        <f t="shared" si="24"/>
        <v>-1.9576361665498305</v>
      </c>
      <c r="T82" s="65">
        <f t="shared" si="24"/>
        <v>-0.99196173438651125</v>
      </c>
      <c r="U82" s="65">
        <f t="shared" si="24"/>
        <v>-0.50598572686025456</v>
      </c>
      <c r="V82" s="65">
        <f t="shared" si="24"/>
        <v>-0.25978038686844968</v>
      </c>
      <c r="W82" s="65">
        <f t="shared" si="24"/>
        <v>-0.13422862301931521</v>
      </c>
      <c r="X82" s="65">
        <f t="shared" si="24"/>
        <v>-6.9791425278965522E-2</v>
      </c>
      <c r="Y82" s="65">
        <f t="shared" si="24"/>
        <v>-3.6511200300925646E-2</v>
      </c>
    </row>
    <row r="83" spans="1:25" x14ac:dyDescent="0.25">
      <c r="A83" s="21">
        <v>71</v>
      </c>
      <c r="C83" s="25">
        <f t="shared" si="19"/>
        <v>6.02</v>
      </c>
      <c r="D83" s="23">
        <f>FishHarvestTimeTrends!AC92*((1+D$10)^MIN($A83,20))</f>
        <v>1.8394123105391578</v>
      </c>
      <c r="E83" s="23">
        <f>FishHarvestTimeTrends!AD92*((1+E$10)^MIN($A83,20))</f>
        <v>0.26297275911238988</v>
      </c>
      <c r="F83" s="23">
        <f t="shared" si="21"/>
        <v>5.8823615325512257</v>
      </c>
      <c r="H83" s="22">
        <f t="shared" si="14"/>
        <v>2.8000000000000001E-2</v>
      </c>
      <c r="I83" s="22"/>
      <c r="J83" s="41"/>
      <c r="K83" s="41">
        <f t="shared" si="23"/>
        <v>5.281193174153094E-2</v>
      </c>
      <c r="L83" s="41">
        <f t="shared" si="15"/>
        <v>1.6136697240652115E-2</v>
      </c>
      <c r="M83" s="41">
        <f t="shared" si="15"/>
        <v>2.3069932564992682E-3</v>
      </c>
      <c r="N83" s="41">
        <f t="shared" si="23"/>
        <v>5.1604464407990484E-2</v>
      </c>
      <c r="O83" s="41"/>
      <c r="P83" s="41">
        <f t="shared" si="16"/>
        <v>2.4563689182107416E-4</v>
      </c>
      <c r="R83" s="65">
        <f t="shared" si="24"/>
        <v>-3.889614930348452</v>
      </c>
      <c r="S83" s="65">
        <f t="shared" si="24"/>
        <v>-1.9382529059510392</v>
      </c>
      <c r="T83" s="65">
        <f t="shared" si="24"/>
        <v>-0.97251114088753488</v>
      </c>
      <c r="U83" s="65">
        <f t="shared" si="24"/>
        <v>-0.49124809493298616</v>
      </c>
      <c r="V83" s="65">
        <f t="shared" si="24"/>
        <v>-0.24978874018501396</v>
      </c>
      <c r="W83" s="65">
        <f t="shared" si="24"/>
        <v>-0.12783673605723006</v>
      </c>
      <c r="X83" s="65">
        <f t="shared" si="24"/>
        <v>-6.5840942640524924E-2</v>
      </c>
      <c r="Y83" s="65">
        <f t="shared" si="24"/>
        <v>-3.412260435255849E-2</v>
      </c>
    </row>
    <row r="84" spans="1:25" x14ac:dyDescent="0.25">
      <c r="A84" s="21">
        <v>72</v>
      </c>
      <c r="C84" s="25">
        <f t="shared" si="19"/>
        <v>6.02</v>
      </c>
      <c r="D84" s="23">
        <f>FishHarvestTimeTrends!AC93*((1+D$10)^MIN($A84,20))</f>
        <v>1.839413625351165</v>
      </c>
      <c r="E84" s="23">
        <f>FishHarvestTimeTrends!AD93*((1+E$10)^MIN($A84,20))</f>
        <v>0.26297289779170013</v>
      </c>
      <c r="F84" s="23">
        <f t="shared" si="21"/>
        <v>5.8853027133175013</v>
      </c>
      <c r="H84" s="22">
        <f t="shared" si="14"/>
        <v>2.8000000000000001E-2</v>
      </c>
      <c r="I84" s="22"/>
      <c r="J84" s="41"/>
      <c r="K84" s="41">
        <f t="shared" si="23"/>
        <v>4.9356945552832654E-2</v>
      </c>
      <c r="L84" s="41">
        <f t="shared" si="15"/>
        <v>1.5081036238471094E-2</v>
      </c>
      <c r="M84" s="41">
        <f t="shared" si="15"/>
        <v>2.1560696010258424E-3</v>
      </c>
      <c r="N84" s="41">
        <f t="shared" si="23"/>
        <v>4.8252585645041569E-2</v>
      </c>
      <c r="O84" s="41"/>
      <c r="P84" s="41">
        <f t="shared" si="16"/>
        <v>2.2956718861782632E-4</v>
      </c>
      <c r="R84" s="65">
        <f t="shared" si="24"/>
        <v>-3.8896134768571344</v>
      </c>
      <c r="S84" s="65">
        <f t="shared" si="24"/>
        <v>-1.919061565994775</v>
      </c>
      <c r="T84" s="65">
        <f t="shared" si="24"/>
        <v>-0.9534419387005576</v>
      </c>
      <c r="U84" s="65">
        <f t="shared" si="24"/>
        <v>-0.47693971976783567</v>
      </c>
      <c r="V84" s="65">
        <f t="shared" si="24"/>
        <v>-0.24018139119487741</v>
      </c>
      <c r="W84" s="65">
        <f t="shared" si="24"/>
        <v>-0.12174922693956272</v>
      </c>
      <c r="X84" s="65">
        <f t="shared" si="24"/>
        <v>-6.2114073619568631E-2</v>
      </c>
      <c r="Y84" s="65">
        <f t="shared" si="24"/>
        <v>-3.1890272524717891E-2</v>
      </c>
    </row>
    <row r="85" spans="1:25" x14ac:dyDescent="0.25">
      <c r="A85" s="21">
        <v>73</v>
      </c>
      <c r="C85" s="25">
        <f t="shared" si="19"/>
        <v>6.02</v>
      </c>
      <c r="D85" s="23">
        <f>FishHarvestTimeTrends!AC94*((1+D$10)^MIN($A85,20))</f>
        <v>1.8394149401631723</v>
      </c>
      <c r="E85" s="23">
        <f>FishHarvestTimeTrends!AD94*((1+E$10)^MIN($A85,20))</f>
        <v>0.26297303647101039</v>
      </c>
      <c r="F85" s="23">
        <f t="shared" si="21"/>
        <v>5.8882453646741597</v>
      </c>
      <c r="H85" s="22">
        <f t="shared" ref="H85:H112" si="25">B$8</f>
        <v>2.8000000000000001E-2</v>
      </c>
      <c r="I85" s="22"/>
      <c r="J85" s="41"/>
      <c r="K85" s="41">
        <f t="shared" si="23"/>
        <v>4.6127986497974442E-2</v>
      </c>
      <c r="L85" s="41">
        <f t="shared" si="15"/>
        <v>1.4094436465783934E-2</v>
      </c>
      <c r="M85" s="41">
        <f t="shared" si="15"/>
        <v>2.0150193813398853E-3</v>
      </c>
      <c r="N85" s="41">
        <f t="shared" si="23"/>
        <v>4.5118422371835588E-2</v>
      </c>
      <c r="O85" s="41"/>
      <c r="P85" s="41">
        <f t="shared" si="16"/>
        <v>2.1454877440918349E-4</v>
      </c>
      <c r="R85" s="65">
        <f t="shared" si="24"/>
        <v>-3.8896120233658169</v>
      </c>
      <c r="S85" s="65">
        <f t="shared" si="24"/>
        <v>-1.9000602464056511</v>
      </c>
      <c r="T85" s="65">
        <f t="shared" si="24"/>
        <v>-0.93474664942483887</v>
      </c>
      <c r="U85" s="65">
        <f t="shared" si="24"/>
        <v>-0.46304809858493301</v>
      </c>
      <c r="V85" s="65">
        <f t="shared" si="24"/>
        <v>-0.23094355907944802</v>
      </c>
      <c r="W85" s="65">
        <f t="shared" si="24"/>
        <v>-0.11595160137492215</v>
      </c>
      <c r="X85" s="65">
        <f t="shared" si="24"/>
        <v>-5.8598160762691871E-2</v>
      </c>
      <c r="Y85" s="65">
        <f t="shared" si="24"/>
        <v>-2.980398187644144E-2</v>
      </c>
    </row>
    <row r="86" spans="1:25" x14ac:dyDescent="0.25">
      <c r="A86" s="21">
        <v>74</v>
      </c>
      <c r="C86" s="25">
        <f t="shared" si="19"/>
        <v>6.02</v>
      </c>
      <c r="D86" s="23">
        <f>FishHarvestTimeTrends!AC95*((1+D$10)^MIN($A86,20))</f>
        <v>1.83941625497518</v>
      </c>
      <c r="E86" s="23">
        <f>FishHarvestTimeTrends!AD95*((1+E$10)^MIN($A86,20))</f>
        <v>0.26297317515032054</v>
      </c>
      <c r="F86" s="23">
        <f t="shared" si="21"/>
        <v>5.8911894873564963</v>
      </c>
      <c r="H86" s="22">
        <f t="shared" si="25"/>
        <v>2.8000000000000001E-2</v>
      </c>
      <c r="I86" s="22"/>
      <c r="J86" s="41"/>
      <c r="K86" s="41">
        <f t="shared" si="23"/>
        <v>4.3110267755116297E-2</v>
      </c>
      <c r="L86" s="41">
        <f t="shared" si="15"/>
        <v>1.3172379944367655E-2</v>
      </c>
      <c r="M86" s="41">
        <f t="shared" si="15"/>
        <v>1.8831966766018962E-3</v>
      </c>
      <c r="N86" s="41">
        <f t="shared" si="23"/>
        <v>4.2187833255160283E-2</v>
      </c>
      <c r="O86" s="41"/>
      <c r="P86" s="41">
        <f t="shared" si="16"/>
        <v>2.005128732796107E-4</v>
      </c>
      <c r="R86" s="65">
        <f t="shared" si="24"/>
        <v>-3.8896105698744989</v>
      </c>
      <c r="S86" s="65">
        <f t="shared" si="24"/>
        <v>-1.8812470657235965</v>
      </c>
      <c r="T86" s="65">
        <f t="shared" si="24"/>
        <v>-0.91641794129768728</v>
      </c>
      <c r="U86" s="65">
        <f t="shared" si="24"/>
        <v>-0.44956109276758055</v>
      </c>
      <c r="V86" s="65">
        <f t="shared" si="24"/>
        <v>-0.22206103151846751</v>
      </c>
      <c r="W86" s="65">
        <f t="shared" si="24"/>
        <v>-0.11043005528142746</v>
      </c>
      <c r="X86" s="65">
        <f t="shared" si="24"/>
        <v>-5.528126308057861E-2</v>
      </c>
      <c r="Y86" s="65">
        <f t="shared" si="24"/>
        <v>-2.7854178260867134E-2</v>
      </c>
    </row>
    <row r="87" spans="1:25" x14ac:dyDescent="0.25">
      <c r="A87" s="21">
        <v>75</v>
      </c>
      <c r="C87" s="25">
        <f t="shared" si="19"/>
        <v>6.02</v>
      </c>
      <c r="D87" s="23">
        <f>FishHarvestTimeTrends!AC96*((1+D$10)^MIN($A87,20))</f>
        <v>1.8394175697871873</v>
      </c>
      <c r="E87" s="23">
        <f>FishHarvestTimeTrends!AD96*((1+E$10)^MIN($A87,20))</f>
        <v>0.26297331382963085</v>
      </c>
      <c r="F87" s="23">
        <f t="shared" si="21"/>
        <v>5.8941350821001741</v>
      </c>
      <c r="H87" s="22">
        <f t="shared" si="25"/>
        <v>2.8000000000000001E-2</v>
      </c>
      <c r="I87" s="22"/>
      <c r="J87" s="41"/>
      <c r="K87" s="41">
        <f t="shared" si="23"/>
        <v>4.0289969864594675E-2</v>
      </c>
      <c r="L87" s="41">
        <f t="shared" si="15"/>
        <v>1.2310644261649793E-2</v>
      </c>
      <c r="M87" s="41">
        <f t="shared" si="15"/>
        <v>1.7599978221575457E-3</v>
      </c>
      <c r="N87" s="41">
        <f t="shared" si="23"/>
        <v>3.9447595487652205E-2</v>
      </c>
      <c r="O87" s="41"/>
      <c r="P87" s="41">
        <f t="shared" si="16"/>
        <v>1.8739520867253339E-4</v>
      </c>
      <c r="R87" s="65">
        <f t="shared" si="24"/>
        <v>-3.8896091163831814</v>
      </c>
      <c r="S87" s="65">
        <f t="shared" si="24"/>
        <v>-1.862620161117551</v>
      </c>
      <c r="T87" s="65">
        <f t="shared" si="24"/>
        <v>-0.89844862631914946</v>
      </c>
      <c r="U87" s="65">
        <f t="shared" si="24"/>
        <v>-0.43646691725542747</v>
      </c>
      <c r="V87" s="65">
        <f t="shared" si="24"/>
        <v>-0.21352014282448634</v>
      </c>
      <c r="W87" s="65">
        <f t="shared" si="24"/>
        <v>-0.1051714419193429</v>
      </c>
      <c r="X87" s="65">
        <f t="shared" si="24"/>
        <v>-5.2152115493177983E-2</v>
      </c>
      <c r="Y87" s="65">
        <f t="shared" si="24"/>
        <v>-2.6031932572114801E-2</v>
      </c>
    </row>
    <row r="88" spans="1:25" x14ac:dyDescent="0.25">
      <c r="A88" s="21">
        <v>76</v>
      </c>
      <c r="C88" s="25">
        <f t="shared" si="19"/>
        <v>6.02</v>
      </c>
      <c r="D88" s="23">
        <f>FishHarvestTimeTrends!AC97*((1+D$10)^MIN($A88,20))</f>
        <v>1.8394188845991946</v>
      </c>
      <c r="E88" s="23">
        <f>FishHarvestTimeTrends!AD97*((1+E$10)^MIN($A88,20))</f>
        <v>0.262973452508941</v>
      </c>
      <c r="F88" s="23">
        <f t="shared" si="21"/>
        <v>5.897082149641224</v>
      </c>
      <c r="H88" s="22">
        <f t="shared" si="25"/>
        <v>2.8000000000000001E-2</v>
      </c>
      <c r="I88" s="22"/>
      <c r="J88" s="41"/>
      <c r="K88" s="41">
        <f t="shared" si="23"/>
        <v>3.7654177443546419E-2</v>
      </c>
      <c r="L88" s="41">
        <f t="shared" ref="L88:M112" si="26">D88/((1+$M$9)^(($A88+$M$7)-1))</f>
        <v>1.1505283234835267E-2</v>
      </c>
      <c r="M88" s="41">
        <f t="shared" si="26"/>
        <v>1.6448586451351648E-3</v>
      </c>
      <c r="N88" s="41">
        <f t="shared" si="23"/>
        <v>3.6885345126538342E-2</v>
      </c>
      <c r="O88" s="41"/>
      <c r="P88" s="41">
        <f t="shared" si="16"/>
        <v>1.751357090397508E-4</v>
      </c>
      <c r="R88" s="65">
        <f t="shared" si="24"/>
        <v>-3.8896076628918639</v>
      </c>
      <c r="S88" s="65">
        <f t="shared" si="24"/>
        <v>-1.8441776882010166</v>
      </c>
      <c r="T88" s="65">
        <f t="shared" si="24"/>
        <v>-0.88083165743308134</v>
      </c>
      <c r="U88" s="65">
        <f t="shared" si="24"/>
        <v>-0.42375413024658309</v>
      </c>
      <c r="V88" s="65">
        <f t="shared" si="24"/>
        <v>-0.20530775291832853</v>
      </c>
      <c r="W88" s="65">
        <f t="shared" si="24"/>
        <v>-0.10016324058883681</v>
      </c>
      <c r="X88" s="65">
        <f t="shared" si="24"/>
        <v>-4.9200090570450966E-2</v>
      </c>
      <c r="Y88" s="65">
        <f t="shared" si="24"/>
        <v>-2.4328899854536234E-2</v>
      </c>
    </row>
    <row r="89" spans="1:25" x14ac:dyDescent="0.25">
      <c r="A89" s="21">
        <v>77</v>
      </c>
      <c r="C89" s="25">
        <f t="shared" si="19"/>
        <v>6.02</v>
      </c>
      <c r="D89" s="23">
        <f>FishHarvestTimeTrends!AC98*((1+D$10)^MIN($A89,20))</f>
        <v>1.8394201994112023</v>
      </c>
      <c r="E89" s="23">
        <f>FishHarvestTimeTrends!AD98*((1+E$10)^MIN($A89,20))</f>
        <v>0.26297359118825125</v>
      </c>
      <c r="F89" s="23">
        <f t="shared" si="21"/>
        <v>5.9000306907160445</v>
      </c>
      <c r="H89" s="22">
        <f t="shared" si="25"/>
        <v>2.8000000000000001E-2</v>
      </c>
      <c r="I89" s="22"/>
      <c r="J89" s="41"/>
      <c r="K89" s="41">
        <f t="shared" si="23"/>
        <v>3.5190820040697596E-2</v>
      </c>
      <c r="L89" s="41">
        <f t="shared" si="26"/>
        <v>1.0752608839984005E-2</v>
      </c>
      <c r="M89" s="41">
        <f t="shared" si="26"/>
        <v>1.5372518808906526E-3</v>
      </c>
      <c r="N89" s="41">
        <f t="shared" si="23"/>
        <v>3.4489521307571602E-2</v>
      </c>
      <c r="O89" s="41"/>
      <c r="P89" s="41">
        <f t="shared" si="16"/>
        <v>1.6367823274743068E-4</v>
      </c>
      <c r="R89" s="65">
        <f t="shared" si="24"/>
        <v>-3.8896062094005459</v>
      </c>
      <c r="S89" s="65">
        <f t="shared" si="24"/>
        <v>-1.8259178208494284</v>
      </c>
      <c r="T89" s="65">
        <f t="shared" si="24"/>
        <v>-0.86356012576349095</v>
      </c>
      <c r="U89" s="65">
        <f t="shared" si="24"/>
        <v>-0.41141162319967362</v>
      </c>
      <c r="V89" s="65">
        <f t="shared" si="24"/>
        <v>-0.19741122711319983</v>
      </c>
      <c r="W89" s="65">
        <f t="shared" si="24"/>
        <v>-9.5393526818335087E-2</v>
      </c>
      <c r="X89" s="65">
        <f t="shared" si="24"/>
        <v>-4.6415162438748728E-2</v>
      </c>
      <c r="Y89" s="65">
        <f t="shared" si="24"/>
        <v>-2.2737281087075505E-2</v>
      </c>
    </row>
    <row r="90" spans="1:25" x14ac:dyDescent="0.25">
      <c r="A90" s="21">
        <v>78</v>
      </c>
      <c r="C90" s="25">
        <f t="shared" si="19"/>
        <v>6.02</v>
      </c>
      <c r="D90" s="23">
        <f>FishHarvestTimeTrends!AC99*((1+D$10)^MIN($A90,20))</f>
        <v>1.8394215142232098</v>
      </c>
      <c r="E90" s="23">
        <f>FishHarvestTimeTrends!AD99*((1+E$10)^MIN($A90,20))</f>
        <v>0.26297372986756146</v>
      </c>
      <c r="F90" s="23">
        <f t="shared" si="21"/>
        <v>5.9029807060614026</v>
      </c>
      <c r="H90" s="22">
        <f t="shared" si="25"/>
        <v>2.8000000000000001E-2</v>
      </c>
      <c r="I90" s="22"/>
      <c r="J90" s="41"/>
      <c r="K90" s="41">
        <f t="shared" si="23"/>
        <v>3.2888616860465035E-2</v>
      </c>
      <c r="L90" s="41">
        <f t="shared" si="26"/>
        <v>1.004917432328631E-2</v>
      </c>
      <c r="M90" s="41">
        <f t="shared" si="26"/>
        <v>1.4366847584687144E-3</v>
      </c>
      <c r="N90" s="41">
        <f t="shared" si="23"/>
        <v>3.2249314082453635E-2</v>
      </c>
      <c r="O90" s="41"/>
      <c r="P90" s="41">
        <f t="shared" si="16"/>
        <v>1.5297031097890717E-4</v>
      </c>
      <c r="R90" s="65">
        <f t="shared" si="24"/>
        <v>-3.8896047559092284</v>
      </c>
      <c r="S90" s="65">
        <f t="shared" si="24"/>
        <v>-1.8078387510193403</v>
      </c>
      <c r="T90" s="65">
        <f t="shared" si="24"/>
        <v>-0.84662725790507554</v>
      </c>
      <c r="U90" s="65">
        <f t="shared" si="24"/>
        <v>-0.39942861112710393</v>
      </c>
      <c r="V90" s="65">
        <f t="shared" si="24"/>
        <v>-0.18981841667633795</v>
      </c>
      <c r="W90" s="65">
        <f t="shared" si="24"/>
        <v>-9.0850943972486942E-2</v>
      </c>
      <c r="X90" s="65">
        <f t="shared" si="24"/>
        <v>-4.3787872730238819E-2</v>
      </c>
      <c r="Y90" s="65">
        <f t="shared" si="24"/>
        <v>-2.1249787467731106E-2</v>
      </c>
    </row>
    <row r="91" spans="1:25" x14ac:dyDescent="0.25">
      <c r="A91" s="21">
        <v>79</v>
      </c>
      <c r="C91" s="25">
        <f t="shared" si="19"/>
        <v>6.02</v>
      </c>
      <c r="D91" s="23">
        <f>FishHarvestTimeTrends!AC100*((1+D$10)^MIN($A91,20))</f>
        <v>1.8394228290352168</v>
      </c>
      <c r="E91" s="23">
        <f>FishHarvestTimeTrends!AD100*((1+E$10)^MIN($A91,20))</f>
        <v>0.26297386854687171</v>
      </c>
      <c r="F91" s="23">
        <f t="shared" si="21"/>
        <v>5.9059321964144331</v>
      </c>
      <c r="H91" s="22">
        <f t="shared" si="25"/>
        <v>2.8000000000000001E-2</v>
      </c>
      <c r="I91" s="22"/>
      <c r="J91" s="41"/>
      <c r="K91" s="41">
        <f t="shared" si="23"/>
        <v>3.0737025103238357E-2</v>
      </c>
      <c r="L91" s="41">
        <f t="shared" si="26"/>
        <v>9.3917584171968743E-3</v>
      </c>
      <c r="M91" s="41">
        <f t="shared" si="26"/>
        <v>1.3426967440234054E-3</v>
      </c>
      <c r="N91" s="41">
        <f t="shared" si="23"/>
        <v>3.0154615644387723E-2</v>
      </c>
      <c r="O91" s="41"/>
      <c r="P91" s="41">
        <f t="shared" si="16"/>
        <v>1.429629074569226E-4</v>
      </c>
      <c r="R91" s="65">
        <f t="shared" si="24"/>
        <v>-3.8896033024179109</v>
      </c>
      <c r="S91" s="65">
        <f t="shared" si="24"/>
        <v>-1.789938688569394</v>
      </c>
      <c r="T91" s="65">
        <f t="shared" si="24"/>
        <v>-0.83002641326688109</v>
      </c>
      <c r="U91" s="65">
        <f t="shared" si="24"/>
        <v>-0.3877946231710438</v>
      </c>
      <c r="V91" s="65">
        <f t="shared" si="24"/>
        <v>-0.18251764013829799</v>
      </c>
      <c r="W91" s="65">
        <f t="shared" si="24"/>
        <v>-8.6524676212142881E-2</v>
      </c>
      <c r="X91" s="65">
        <f t="shared" si="24"/>
        <v>-4.1309298459734405E-2</v>
      </c>
      <c r="Y91" s="65">
        <f t="shared" si="24"/>
        <v>-1.9859607034561154E-2</v>
      </c>
    </row>
    <row r="92" spans="1:25" x14ac:dyDescent="0.25">
      <c r="A92" s="21">
        <v>80</v>
      </c>
      <c r="C92" s="25">
        <f t="shared" si="19"/>
        <v>6.02</v>
      </c>
      <c r="D92" s="23">
        <f>FishHarvestTimeTrends!AC101*((1+D$10)^MIN($A92,20))</f>
        <v>1.8394241438472243</v>
      </c>
      <c r="E92" s="23">
        <f>FishHarvestTimeTrends!AD101*((1+E$10)^MIN($A92,20))</f>
        <v>0.26297400722618192</v>
      </c>
      <c r="F92" s="23">
        <f t="shared" si="21"/>
        <v>5.9088851625126404</v>
      </c>
      <c r="H92" s="22">
        <f t="shared" si="25"/>
        <v>2.8000000000000001E-2</v>
      </c>
      <c r="I92" s="22"/>
      <c r="J92" s="41"/>
      <c r="K92" s="41">
        <f t="shared" si="23"/>
        <v>2.8726191685269489E-2</v>
      </c>
      <c r="L92" s="41">
        <f t="shared" si="26"/>
        <v>8.7773505891475222E-3</v>
      </c>
      <c r="M92" s="41">
        <f t="shared" si="26"/>
        <v>1.2548574318642434E-3</v>
      </c>
      <c r="N92" s="41">
        <f t="shared" si="23"/>
        <v>2.8195974721691507E-2</v>
      </c>
      <c r="O92" s="41"/>
      <c r="P92" s="41">
        <f t="shared" si="16"/>
        <v>1.3361019388497439E-4</v>
      </c>
      <c r="R92" s="65">
        <f t="shared" si="24"/>
        <v>-3.8896018489265933</v>
      </c>
      <c r="S92" s="65">
        <f t="shared" si="24"/>
        <v>-1.7722158610830667</v>
      </c>
      <c r="T92" s="65">
        <f t="shared" si="24"/>
        <v>-0.81375108146805275</v>
      </c>
      <c r="U92" s="65">
        <f t="shared" si="24"/>
        <v>-0.37649949345390366</v>
      </c>
      <c r="V92" s="65">
        <f t="shared" si="24"/>
        <v>-0.17549766532111863</v>
      </c>
      <c r="W92" s="65">
        <f t="shared" si="24"/>
        <v>-8.2404422741961955E-2</v>
      </c>
      <c r="X92" s="65">
        <f t="shared" si="24"/>
        <v>-3.8971021719827435E-2</v>
      </c>
      <c r="Y92" s="65">
        <f t="shared" si="24"/>
        <v>-1.8560373470372749E-2</v>
      </c>
    </row>
    <row r="93" spans="1:25" x14ac:dyDescent="0.25">
      <c r="A93" s="21">
        <v>81</v>
      </c>
      <c r="C93" s="25">
        <f t="shared" si="19"/>
        <v>6.02</v>
      </c>
      <c r="D93" s="23">
        <f>FishHarvestTimeTrends!AC102*((1+D$10)^MIN($A93,20))</f>
        <v>1.8394254586592318</v>
      </c>
      <c r="E93" s="23">
        <f>FishHarvestTimeTrends!AD102*((1+E$10)^MIN($A93,20))</f>
        <v>0.26297414590549217</v>
      </c>
      <c r="F93" s="23">
        <f t="shared" si="21"/>
        <v>5.9118396050938964</v>
      </c>
      <c r="H93" s="22">
        <f t="shared" si="25"/>
        <v>2.8000000000000001E-2</v>
      </c>
      <c r="I93" s="22"/>
      <c r="J93" s="41"/>
      <c r="K93" s="41">
        <f t="shared" si="23"/>
        <v>2.6846908117074294E-2</v>
      </c>
      <c r="L93" s="41">
        <f t="shared" si="26"/>
        <v>8.2031372552876479E-3</v>
      </c>
      <c r="M93" s="41">
        <f t="shared" si="26"/>
        <v>1.1727645734702387E-3</v>
      </c>
      <c r="N93" s="41">
        <f t="shared" si="23"/>
        <v>2.6364553933693791E-2</v>
      </c>
      <c r="O93" s="41"/>
      <c r="P93" s="41">
        <f t="shared" si="16"/>
        <v>1.2486934007941531E-4</v>
      </c>
      <c r="R93" s="65">
        <f t="shared" si="24"/>
        <v>-3.8896003954352754</v>
      </c>
      <c r="S93" s="65">
        <f t="shared" si="24"/>
        <v>-1.7546685136931668</v>
      </c>
      <c r="T93" s="65">
        <f t="shared" si="24"/>
        <v>-0.79779487978464636</v>
      </c>
      <c r="U93" s="65">
        <f t="shared" si="24"/>
        <v>-0.36553335219530381</v>
      </c>
      <c r="V93" s="65">
        <f t="shared" si="24"/>
        <v>-0.16874769205771881</v>
      </c>
      <c r="W93" s="65">
        <f t="shared" si="24"/>
        <v>-7.8480373284333105E-2</v>
      </c>
      <c r="X93" s="65">
        <f t="shared" si="24"/>
        <v>-3.6765101091402429E-2</v>
      </c>
      <c r="Y93" s="65">
        <f t="shared" si="24"/>
        <v>-1.7346136948236991E-2</v>
      </c>
    </row>
    <row r="94" spans="1:25" x14ac:dyDescent="0.25">
      <c r="A94" s="21">
        <v>82</v>
      </c>
      <c r="C94" s="25">
        <f t="shared" si="19"/>
        <v>6.02</v>
      </c>
      <c r="D94" s="23">
        <f>FishHarvestTimeTrends!AC103*((1+D$10)^MIN($A94,20))</f>
        <v>1.8394267734712393</v>
      </c>
      <c r="E94" s="23">
        <f>FishHarvestTimeTrends!AD103*((1+E$10)^MIN($A94,20))</f>
        <v>0.26297428458480238</v>
      </c>
      <c r="F94" s="23">
        <f t="shared" si="21"/>
        <v>5.9147955248964434</v>
      </c>
      <c r="H94" s="22">
        <f t="shared" si="25"/>
        <v>2.8000000000000001E-2</v>
      </c>
      <c r="I94" s="22"/>
      <c r="J94" s="41"/>
      <c r="K94" s="41">
        <f t="shared" si="23"/>
        <v>2.5090568333714293E-2</v>
      </c>
      <c r="L94" s="41">
        <f t="shared" si="26"/>
        <v>7.6664888961202214E-3</v>
      </c>
      <c r="M94" s="41">
        <f t="shared" si="26"/>
        <v>1.096042235445949E-3</v>
      </c>
      <c r="N94" s="41">
        <f t="shared" si="23"/>
        <v>2.465208991650527E-2</v>
      </c>
      <c r="O94" s="41"/>
      <c r="P94" s="41">
        <f t="shared" ref="P94:P112" si="27">H94/((1+$M$9)^($A94-1))</f>
        <v>1.1670031783122928E-4</v>
      </c>
      <c r="R94" s="65">
        <f t="shared" ref="R94:Y109" si="28">(($D94/((1+R$10)^$M$7))+$G94+$H94+IF($M$3="Yes",$E94/((1+R$10)^$M$7),0)+IF($M$4="Yes",$F94)-($B94*(1+$M$5))-$C94)/((1+R$10)^($A94-1))</f>
        <v>-3.8895989419439578</v>
      </c>
      <c r="S94" s="65">
        <f t="shared" si="28"/>
        <v>-1.7372949089080785</v>
      </c>
      <c r="T94" s="65">
        <f t="shared" si="28"/>
        <v>-0.78215155064650721</v>
      </c>
      <c r="U94" s="65">
        <f t="shared" si="28"/>
        <v>-0.35488661708777647</v>
      </c>
      <c r="V94" s="65">
        <f t="shared" si="28"/>
        <v>-0.16225733557593988</v>
      </c>
      <c r="W94" s="65">
        <f t="shared" si="28"/>
        <v>-7.4743184721213218E-2</v>
      </c>
      <c r="X94" s="65">
        <f t="shared" si="28"/>
        <v>-3.4684044672432988E-2</v>
      </c>
      <c r="Y94" s="65">
        <f t="shared" si="28"/>
        <v>-1.621133688431689E-2</v>
      </c>
    </row>
    <row r="95" spans="1:25" x14ac:dyDescent="0.25">
      <c r="A95" s="21">
        <v>83</v>
      </c>
      <c r="C95" s="25">
        <f t="shared" si="19"/>
        <v>6.02</v>
      </c>
      <c r="D95" s="23">
        <f>FishHarvestTimeTrends!AC104*((1+D$10)^MIN($A95,20))</f>
        <v>1.8394280882832466</v>
      </c>
      <c r="E95" s="23">
        <f>FishHarvestTimeTrends!AD104*((1+E$10)^MIN($A95,20))</f>
        <v>0.26297442326411263</v>
      </c>
      <c r="F95" s="23">
        <f t="shared" si="21"/>
        <v>5.9177529226588916</v>
      </c>
      <c r="H95" s="22">
        <f t="shared" si="25"/>
        <v>2.8000000000000001E-2</v>
      </c>
      <c r="I95" s="22"/>
      <c r="J95" s="41"/>
      <c r="K95" s="41">
        <f t="shared" si="23"/>
        <v>2.3449129283845131E-2</v>
      </c>
      <c r="L95" s="41">
        <f t="shared" si="26"/>
        <v>7.1649480150315524E-3</v>
      </c>
      <c r="M95" s="41">
        <f t="shared" si="26"/>
        <v>1.024339077984184E-3</v>
      </c>
      <c r="N95" s="41">
        <f t="shared" si="23"/>
        <v>2.3050856038750952E-2</v>
      </c>
      <c r="O95" s="41"/>
      <c r="P95" s="41">
        <f t="shared" si="27"/>
        <v>1.0906571759927968E-4</v>
      </c>
      <c r="R95" s="65">
        <f t="shared" si="28"/>
        <v>-3.8895974884526403</v>
      </c>
      <c r="S95" s="65">
        <f t="shared" si="28"/>
        <v>-1.7200933264397131</v>
      </c>
      <c r="T95" s="65">
        <f t="shared" si="28"/>
        <v>-0.76681495918322606</v>
      </c>
      <c r="U95" s="65">
        <f t="shared" si="28"/>
        <v>-0.34454998492366457</v>
      </c>
      <c r="V95" s="65">
        <f t="shared" si="28"/>
        <v>-0.15601661052166801</v>
      </c>
      <c r="W95" s="65">
        <f t="shared" si="28"/>
        <v>-7.1183958848267254E-2</v>
      </c>
      <c r="X95" s="65">
        <f t="shared" si="28"/>
        <v>-3.2720784633459871E-2</v>
      </c>
      <c r="Y95" s="65">
        <f t="shared" si="28"/>
        <v>-1.5150776473230114E-2</v>
      </c>
    </row>
    <row r="96" spans="1:25" x14ac:dyDescent="0.25">
      <c r="A96" s="21">
        <v>84</v>
      </c>
      <c r="C96" s="25">
        <f t="shared" si="19"/>
        <v>6.02</v>
      </c>
      <c r="D96" s="23">
        <f>FishHarvestTimeTrends!AC105*((1+D$10)^MIN($A96,20))</f>
        <v>1.839429403095254</v>
      </c>
      <c r="E96" s="23">
        <f>FishHarvestTimeTrends!AD105*((1+E$10)^MIN($A96,20))</f>
        <v>0.26297456194342284</v>
      </c>
      <c r="F96" s="23">
        <f t="shared" si="21"/>
        <v>5.9207117991202205</v>
      </c>
      <c r="H96" s="22">
        <f t="shared" si="25"/>
        <v>2.8000000000000001E-2</v>
      </c>
      <c r="I96" s="22"/>
      <c r="J96" s="41"/>
      <c r="K96" s="41">
        <f t="shared" si="23"/>
        <v>2.1915074097051526E-2</v>
      </c>
      <c r="L96" s="41">
        <f t="shared" si="26"/>
        <v>6.6962178845727163E-3</v>
      </c>
      <c r="M96" s="41">
        <f t="shared" si="26"/>
        <v>9.5732674595179034E-4</v>
      </c>
      <c r="N96" s="41">
        <f t="shared" si="23"/>
        <v>2.1553627539037688E-2</v>
      </c>
      <c r="O96" s="41"/>
      <c r="P96" s="41">
        <f t="shared" si="27"/>
        <v>1.0193057719558849E-4</v>
      </c>
      <c r="R96" s="65">
        <f t="shared" si="28"/>
        <v>-3.8895960349613228</v>
      </c>
      <c r="S96" s="65">
        <f t="shared" si="28"/>
        <v>-1.7030620630331761</v>
      </c>
      <c r="T96" s="65">
        <f t="shared" si="28"/>
        <v>-0.75177909081821792</v>
      </c>
      <c r="U96" s="65">
        <f t="shared" si="28"/>
        <v>-0.33451442346589938</v>
      </c>
      <c r="V96" s="65">
        <f t="shared" si="28"/>
        <v>-0.15001591559645858</v>
      </c>
      <c r="W96" s="65">
        <f t="shared" si="28"/>
        <v>-6.7794221188342885E-2</v>
      </c>
      <c r="X96" s="65">
        <f t="shared" si="28"/>
        <v>-3.0868653213333871E-2</v>
      </c>
      <c r="Y96" s="65">
        <f t="shared" si="28"/>
        <v>-1.415959888933143E-2</v>
      </c>
    </row>
    <row r="97" spans="1:25" x14ac:dyDescent="0.25">
      <c r="A97" s="21">
        <v>85</v>
      </c>
      <c r="C97" s="25">
        <f t="shared" si="19"/>
        <v>6.02</v>
      </c>
      <c r="D97" s="23">
        <f>FishHarvestTimeTrends!AC106*((1+D$10)^MIN($A97,20))</f>
        <v>1.8394307179072613</v>
      </c>
      <c r="E97" s="23">
        <f>FishHarvestTimeTrends!AD106*((1+E$10)^MIN($A97,20))</f>
        <v>0.26297470062273304</v>
      </c>
      <c r="F97" s="23">
        <f t="shared" si="21"/>
        <v>5.92367215501978</v>
      </c>
      <c r="H97" s="22">
        <f t="shared" si="25"/>
        <v>2.8000000000000001E-2</v>
      </c>
      <c r="I97" s="22"/>
      <c r="J97" s="41"/>
      <c r="K97" s="41">
        <f t="shared" si="23"/>
        <v>2.0481377660795819E-2</v>
      </c>
      <c r="L97" s="41">
        <f t="shared" si="26"/>
        <v>6.2581520289580403E-3</v>
      </c>
      <c r="M97" s="41">
        <f t="shared" si="26"/>
        <v>8.9469836523071652E-4</v>
      </c>
      <c r="N97" s="41">
        <f t="shared" si="23"/>
        <v>2.0153648927857204E-2</v>
      </c>
      <c r="O97" s="41"/>
      <c r="P97" s="41">
        <f t="shared" si="27"/>
        <v>9.5262221678120098E-5</v>
      </c>
      <c r="R97" s="65">
        <f t="shared" si="28"/>
        <v>-3.8895945814700053</v>
      </c>
      <c r="S97" s="65">
        <f t="shared" si="28"/>
        <v>-1.6861994322981102</v>
      </c>
      <c r="T97" s="65">
        <f t="shared" si="28"/>
        <v>-0.73703804890997537</v>
      </c>
      <c r="U97" s="65">
        <f t="shared" si="28"/>
        <v>-0.32477116355555474</v>
      </c>
      <c r="V97" s="65">
        <f t="shared" si="28"/>
        <v>-0.14424601878602608</v>
      </c>
      <c r="W97" s="65">
        <f t="shared" si="28"/>
        <v>-6.4565900813834731E-2</v>
      </c>
      <c r="X97" s="65">
        <f t="shared" si="28"/>
        <v>-2.9121360073698772E-2</v>
      </c>
      <c r="Y97" s="65">
        <f t="shared" si="28"/>
        <v>-1.3233265044928944E-2</v>
      </c>
    </row>
    <row r="98" spans="1:25" x14ac:dyDescent="0.25">
      <c r="A98" s="21">
        <v>86</v>
      </c>
      <c r="C98" s="25">
        <f t="shared" ref="C98:C112" si="29">C97</f>
        <v>6.02</v>
      </c>
      <c r="D98" s="23">
        <f>FishHarvestTimeTrends!AC107*((1+D$10)^MIN($A98,20))</f>
        <v>1.8394320327192688</v>
      </c>
      <c r="E98" s="23">
        <f>FishHarvestTimeTrends!AD107*((1+E$10)^MIN($A98,20))</f>
        <v>0.2629748393020433</v>
      </c>
      <c r="F98" s="23">
        <f t="shared" si="21"/>
        <v>5.9266339910972894</v>
      </c>
      <c r="H98" s="22">
        <f t="shared" si="25"/>
        <v>2.8000000000000001E-2</v>
      </c>
      <c r="I98" s="22"/>
      <c r="J98" s="41"/>
      <c r="K98" s="41">
        <f t="shared" si="23"/>
        <v>1.9141474449341885E-2</v>
      </c>
      <c r="L98" s="41">
        <f t="shared" si="26"/>
        <v>5.8487443946174241E-3</v>
      </c>
      <c r="M98" s="41">
        <f t="shared" si="26"/>
        <v>8.3616713742854659E-4</v>
      </c>
      <c r="N98" s="41">
        <f t="shared" si="23"/>
        <v>1.8844603506842177E-2</v>
      </c>
      <c r="O98" s="41"/>
      <c r="P98" s="41">
        <f t="shared" si="27"/>
        <v>8.9030113717869248E-5</v>
      </c>
      <c r="R98" s="65">
        <f t="shared" si="28"/>
        <v>-3.8895931279786873</v>
      </c>
      <c r="S98" s="65">
        <f t="shared" si="28"/>
        <v>-1.6695037645417181</v>
      </c>
      <c r="T98" s="65">
        <f t="shared" si="28"/>
        <v>-0.72258605243957308</v>
      </c>
      <c r="U98" s="65">
        <f t="shared" si="28"/>
        <v>-0.31531169144928217</v>
      </c>
      <c r="V98" s="65">
        <f t="shared" si="28"/>
        <v>-0.13869804315687467</v>
      </c>
      <c r="W98" s="65">
        <f t="shared" si="28"/>
        <v>-6.1491311129895733E-2</v>
      </c>
      <c r="X98" s="65">
        <f t="shared" si="28"/>
        <v>-2.7472970935303945E-2</v>
      </c>
      <c r="Y98" s="65">
        <f t="shared" si="28"/>
        <v>-1.2367532803578045E-2</v>
      </c>
    </row>
    <row r="99" spans="1:25" x14ac:dyDescent="0.25">
      <c r="A99" s="21">
        <v>87</v>
      </c>
      <c r="C99" s="25">
        <f t="shared" si="29"/>
        <v>6.02</v>
      </c>
      <c r="D99" s="23">
        <f>FishHarvestTimeTrends!AC108*((1+D$10)^MIN($A99,20))</f>
        <v>1.8394333475312763</v>
      </c>
      <c r="E99" s="23">
        <f>FishHarvestTimeTrends!AD108*((1+E$10)^MIN($A99,20))</f>
        <v>0.2629749779813535</v>
      </c>
      <c r="F99" s="23">
        <f t="shared" si="21"/>
        <v>5.9295973080928377</v>
      </c>
      <c r="H99" s="22">
        <f t="shared" si="25"/>
        <v>2.8000000000000001E-2</v>
      </c>
      <c r="I99" s="22"/>
      <c r="J99" s="41"/>
      <c r="K99" s="41">
        <f t="shared" si="23"/>
        <v>1.7889228457328866E-2</v>
      </c>
      <c r="L99" s="41">
        <f t="shared" si="26"/>
        <v>5.4661201637900671E-3</v>
      </c>
      <c r="M99" s="41">
        <f t="shared" si="26"/>
        <v>7.8146502652316622E-4</v>
      </c>
      <c r="N99" s="41">
        <f t="shared" si="23"/>
        <v>1.7620584867846352E-2</v>
      </c>
      <c r="O99" s="41"/>
      <c r="P99" s="41">
        <f t="shared" si="27"/>
        <v>8.320571375501798E-5</v>
      </c>
      <c r="R99" s="65">
        <f t="shared" si="28"/>
        <v>-3.8895916744873698</v>
      </c>
      <c r="S99" s="65">
        <f t="shared" si="28"/>
        <v>-1.6529734066034307</v>
      </c>
      <c r="T99" s="65">
        <f t="shared" si="28"/>
        <v>-0.70841743374351573</v>
      </c>
      <c r="U99" s="65">
        <f t="shared" si="28"/>
        <v>-0.30612774137992887</v>
      </c>
      <c r="V99" s="65">
        <f t="shared" si="28"/>
        <v>-0.13336345319921716</v>
      </c>
      <c r="W99" s="65">
        <f t="shared" si="28"/>
        <v>-5.8563131572740429E-2</v>
      </c>
      <c r="X99" s="65">
        <f t="shared" si="28"/>
        <v>-2.5917887423589889E-2</v>
      </c>
      <c r="Y99" s="65">
        <f t="shared" si="28"/>
        <v>-1.1558437553260612E-2</v>
      </c>
    </row>
    <row r="100" spans="1:25" x14ac:dyDescent="0.25">
      <c r="A100" s="21">
        <v>88</v>
      </c>
      <c r="C100" s="25">
        <f t="shared" si="29"/>
        <v>6.02</v>
      </c>
      <c r="D100" s="23">
        <f>FishHarvestTimeTrends!AC109*((1+D$10)^MIN($A100,20))</f>
        <v>1.8394346623432836</v>
      </c>
      <c r="E100" s="23">
        <f>FishHarvestTimeTrends!AD109*((1+E$10)^MIN($A100,20))</f>
        <v>0.26297511666066375</v>
      </c>
      <c r="F100" s="23">
        <f t="shared" si="21"/>
        <v>5.9325621067468841</v>
      </c>
      <c r="H100" s="22">
        <f t="shared" si="25"/>
        <v>2.8000000000000001E-2</v>
      </c>
      <c r="I100" s="22"/>
      <c r="J100" s="41"/>
      <c r="K100" s="41">
        <f t="shared" si="23"/>
        <v>1.6718905100307348E-2</v>
      </c>
      <c r="L100" s="41">
        <f t="shared" si="26"/>
        <v>5.1085271690919027E-3</v>
      </c>
      <c r="M100" s="41">
        <f t="shared" si="26"/>
        <v>7.3034153142722451E-4</v>
      </c>
      <c r="N100" s="41">
        <f t="shared" si="23"/>
        <v>1.6476070243252591E-2</v>
      </c>
      <c r="O100" s="41"/>
      <c r="P100" s="41">
        <f t="shared" si="27"/>
        <v>7.7762349303755115E-5</v>
      </c>
      <c r="R100" s="65">
        <f t="shared" si="28"/>
        <v>-3.8895902209960522</v>
      </c>
      <c r="S100" s="65">
        <f t="shared" si="28"/>
        <v>-1.6366067216912192</v>
      </c>
      <c r="T100" s="65">
        <f t="shared" si="28"/>
        <v>-0.69452663629104117</v>
      </c>
      <c r="U100" s="65">
        <f t="shared" si="28"/>
        <v>-0.29721128833384031</v>
      </c>
      <c r="V100" s="65">
        <f t="shared" si="28"/>
        <v>-0.12823404169517108</v>
      </c>
      <c r="W100" s="65">
        <f t="shared" si="28"/>
        <v>-5.5774390179464076E-2</v>
      </c>
      <c r="X100" s="65">
        <f t="shared" si="28"/>
        <v>-2.4450828055096668E-2</v>
      </c>
      <c r="Y100" s="65">
        <f t="shared" si="28"/>
        <v>-1.0802274050484468E-2</v>
      </c>
    </row>
    <row r="101" spans="1:25" x14ac:dyDescent="0.25">
      <c r="A101" s="21">
        <v>89</v>
      </c>
      <c r="C101" s="25">
        <f t="shared" si="29"/>
        <v>6.02</v>
      </c>
      <c r="D101" s="23">
        <f>FishHarvestTimeTrends!AC110*((1+D$10)^MIN($A101,20))</f>
        <v>1.8394359771552908</v>
      </c>
      <c r="E101" s="23">
        <f>FishHarvestTimeTrends!AD110*((1+E$10)^MIN($A101,20))</f>
        <v>0.26297525533997396</v>
      </c>
      <c r="F101" s="23">
        <f t="shared" si="21"/>
        <v>5.9355283878002574</v>
      </c>
      <c r="H101" s="22">
        <f t="shared" si="25"/>
        <v>2.8000000000000001E-2</v>
      </c>
      <c r="I101" s="22"/>
      <c r="J101" s="41"/>
      <c r="K101" s="41">
        <f t="shared" si="23"/>
        <v>1.5625144953558271E-2</v>
      </c>
      <c r="L101" s="41">
        <f t="shared" si="26"/>
        <v>4.774327869741116E-3</v>
      </c>
      <c r="M101" s="41">
        <f t="shared" si="26"/>
        <v>6.8256253885151023E-4</v>
      </c>
      <c r="N101" s="41">
        <f t="shared" si="23"/>
        <v>1.5405895587265623E-2</v>
      </c>
      <c r="O101" s="41"/>
      <c r="P101" s="41">
        <f t="shared" si="27"/>
        <v>7.2675092807247772E-5</v>
      </c>
      <c r="R101" s="65">
        <f t="shared" si="28"/>
        <v>-3.8895887675047347</v>
      </c>
      <c r="S101" s="65">
        <f t="shared" si="28"/>
        <v>-1.6204020892195192</v>
      </c>
      <c r="T101" s="65">
        <f t="shared" si="28"/>
        <v>-0.68090821250500577</v>
      </c>
      <c r="U101" s="65">
        <f t="shared" si="28"/>
        <v>-0.28855454103853556</v>
      </c>
      <c r="V101" s="65">
        <f t="shared" si="28"/>
        <v>-0.12330191709202909</v>
      </c>
      <c r="W101" s="65">
        <f t="shared" si="28"/>
        <v>-5.3118446987876787E-2</v>
      </c>
      <c r="X101" s="65">
        <f t="shared" si="28"/>
        <v>-2.30668103001202E-2</v>
      </c>
      <c r="Y101" s="65">
        <f t="shared" si="28"/>
        <v>-1.0095579452158396E-2</v>
      </c>
    </row>
    <row r="102" spans="1:25" x14ac:dyDescent="0.25">
      <c r="A102" s="21">
        <v>90</v>
      </c>
      <c r="C102" s="25">
        <f t="shared" si="29"/>
        <v>6.02</v>
      </c>
      <c r="D102" s="23">
        <f>FishHarvestTimeTrends!AC111*((1+D$10)^MIN($A102,20))</f>
        <v>1.8394372919672983</v>
      </c>
      <c r="E102" s="23">
        <f>FishHarvestTimeTrends!AD111*((1+E$10)^MIN($A102,20))</f>
        <v>0.26297539401928421</v>
      </c>
      <c r="F102" s="23">
        <f t="shared" si="21"/>
        <v>5.9384961519941575</v>
      </c>
      <c r="H102" s="22">
        <f t="shared" si="25"/>
        <v>2.8000000000000001E-2</v>
      </c>
      <c r="I102" s="22"/>
      <c r="J102" s="41"/>
      <c r="K102" s="41">
        <f t="shared" si="23"/>
        <v>1.4602939208932962E-2</v>
      </c>
      <c r="L102" s="41">
        <f t="shared" si="26"/>
        <v>4.4619918526981276E-3</v>
      </c>
      <c r="M102" s="41">
        <f t="shared" si="26"/>
        <v>6.3790925121408641E-4</v>
      </c>
      <c r="N102" s="41">
        <f t="shared" si="23"/>
        <v>1.4405232275756312E-2</v>
      </c>
      <c r="O102" s="41"/>
      <c r="P102" s="41">
        <f t="shared" si="27"/>
        <v>6.7920647483409133E-5</v>
      </c>
      <c r="R102" s="65">
        <f t="shared" si="28"/>
        <v>-3.8895873140134172</v>
      </c>
      <c r="S102" s="65">
        <f t="shared" si="28"/>
        <v>-1.6043579046487693</v>
      </c>
      <c r="T102" s="65">
        <f t="shared" si="28"/>
        <v>-0.66755682162550045</v>
      </c>
      <c r="U102" s="65">
        <f t="shared" si="28"/>
        <v>-0.28014993515462611</v>
      </c>
      <c r="V102" s="65">
        <f t="shared" si="28"/>
        <v>-0.11855949136117734</v>
      </c>
      <c r="W102" s="65">
        <f t="shared" si="28"/>
        <v>-5.0588978226827355E-2</v>
      </c>
      <c r="X102" s="65">
        <f t="shared" si="28"/>
        <v>-2.1761133660696114E-2</v>
      </c>
      <c r="Y102" s="65">
        <f t="shared" si="28"/>
        <v>-9.4351174575373377E-3</v>
      </c>
    </row>
    <row r="103" spans="1:25" x14ac:dyDescent="0.25">
      <c r="A103" s="21">
        <v>91</v>
      </c>
      <c r="C103" s="25">
        <f t="shared" si="29"/>
        <v>6.02</v>
      </c>
      <c r="D103" s="23">
        <f>FishHarvestTimeTrends!AC112*((1+D$10)^MIN($A103,20))</f>
        <v>1.8394386067793058</v>
      </c>
      <c r="E103" s="23">
        <f>FishHarvestTimeTrends!AD112*((1+E$10)^MIN($A103,20))</f>
        <v>0.26297553269859436</v>
      </c>
      <c r="F103" s="23">
        <f t="shared" si="21"/>
        <v>5.9414654000701539</v>
      </c>
      <c r="H103" s="22">
        <f t="shared" si="25"/>
        <v>2.8000000000000001E-2</v>
      </c>
      <c r="I103" s="22"/>
      <c r="J103" s="41"/>
      <c r="K103" s="41">
        <f t="shared" si="23"/>
        <v>1.3647606737320525E-2</v>
      </c>
      <c r="L103" s="41">
        <f t="shared" si="26"/>
        <v>4.1700888243801889E-3</v>
      </c>
      <c r="M103" s="41">
        <f t="shared" si="26"/>
        <v>5.9617718468567955E-4</v>
      </c>
      <c r="N103" s="41">
        <f t="shared" si="23"/>
        <v>1.3469565319527281E-2</v>
      </c>
      <c r="O103" s="41"/>
      <c r="P103" s="41">
        <f t="shared" si="27"/>
        <v>6.3477240638700131E-5</v>
      </c>
      <c r="R103" s="65">
        <f t="shared" si="28"/>
        <v>-3.8895858605220992</v>
      </c>
      <c r="S103" s="65">
        <f t="shared" si="28"/>
        <v>-1.5884725793265315</v>
      </c>
      <c r="T103" s="65">
        <f t="shared" si="28"/>
        <v>-0.6544672276153547</v>
      </c>
      <c r="U103" s="65">
        <f t="shared" si="28"/>
        <v>-0.27199012666603273</v>
      </c>
      <c r="V103" s="65">
        <f t="shared" si="28"/>
        <v>-0.11399946832398279</v>
      </c>
      <c r="W103" s="65">
        <f t="shared" si="28"/>
        <v>-4.8179961259374751E-2</v>
      </c>
      <c r="X103" s="65">
        <f t="shared" si="28"/>
        <v>-2.0529363706439617E-2</v>
      </c>
      <c r="Y103" s="65">
        <f t="shared" si="28"/>
        <v>-8.8178634876159567E-3</v>
      </c>
    </row>
    <row r="104" spans="1:25" x14ac:dyDescent="0.25">
      <c r="A104" s="21">
        <v>92</v>
      </c>
      <c r="C104" s="25">
        <f t="shared" si="29"/>
        <v>6.02</v>
      </c>
      <c r="D104" s="23">
        <f>FishHarvestTimeTrends!AC113*((1+D$10)^MIN($A104,20))</f>
        <v>1.8394399215913129</v>
      </c>
      <c r="E104" s="23">
        <f>FishHarvestTimeTrends!AD113*((1+E$10)^MIN($A104,20))</f>
        <v>0.26297567137790467</v>
      </c>
      <c r="F104" s="23">
        <f t="shared" si="21"/>
        <v>5.9444361327701882</v>
      </c>
      <c r="H104" s="22">
        <f t="shared" si="25"/>
        <v>2.8000000000000001E-2</v>
      </c>
      <c r="I104" s="22"/>
      <c r="J104" s="41"/>
      <c r="K104" s="41">
        <f t="shared" si="23"/>
        <v>1.2754772651701425E-2</v>
      </c>
      <c r="L104" s="41">
        <f t="shared" si="26"/>
        <v>3.8972820608572578E-3</v>
      </c>
      <c r="M104" s="41">
        <f t="shared" si="26"/>
        <v>5.5717523278300991E-4</v>
      </c>
      <c r="N104" s="41">
        <f t="shared" si="23"/>
        <v>1.259467299269817E-2</v>
      </c>
      <c r="O104" s="41"/>
      <c r="P104" s="41">
        <f t="shared" si="27"/>
        <v>5.9324523961401979E-5</v>
      </c>
      <c r="R104" s="65">
        <f t="shared" si="28"/>
        <v>-3.8895844070307821</v>
      </c>
      <c r="S104" s="65">
        <f t="shared" si="28"/>
        <v>-1.5727445403301885</v>
      </c>
      <c r="T104" s="65">
        <f t="shared" si="28"/>
        <v>-0.64163429710671227</v>
      </c>
      <c r="U104" s="65">
        <f t="shared" si="28"/>
        <v>-0.2640679854627217</v>
      </c>
      <c r="V104" s="65">
        <f t="shared" si="28"/>
        <v>-0.10961483242668905</v>
      </c>
      <c r="W104" s="65">
        <f t="shared" si="28"/>
        <v>-4.5885660242956573E-2</v>
      </c>
      <c r="X104" s="65">
        <f t="shared" si="28"/>
        <v>-1.9367317014022677E-2</v>
      </c>
      <c r="Y104" s="65">
        <f t="shared" si="28"/>
        <v>-8.2409908340997547E-3</v>
      </c>
    </row>
    <row r="105" spans="1:25" x14ac:dyDescent="0.25">
      <c r="A105" s="21">
        <v>93</v>
      </c>
      <c r="C105" s="25">
        <f t="shared" si="29"/>
        <v>6.02</v>
      </c>
      <c r="D105" s="23">
        <f>FishHarvestTimeTrends!AC114*((1+D$10)^MIN($A105,20))</f>
        <v>1.8394412364033204</v>
      </c>
      <c r="E105" s="23">
        <f>FishHarvestTimeTrends!AD114*((1+E$10)^MIN($A105,20))</f>
        <v>0.26297581005721482</v>
      </c>
      <c r="F105" s="23">
        <f t="shared" si="21"/>
        <v>5.9474083508365734</v>
      </c>
      <c r="H105" s="22">
        <f t="shared" si="25"/>
        <v>2.8000000000000001E-2</v>
      </c>
      <c r="I105" s="22"/>
      <c r="J105" s="41"/>
      <c r="K105" s="41">
        <f t="shared" si="23"/>
        <v>1.1920348272618156E-2</v>
      </c>
      <c r="L105" s="41">
        <f t="shared" si="26"/>
        <v>3.6423222865353696E-3</v>
      </c>
      <c r="M105" s="41">
        <f t="shared" si="26"/>
        <v>5.2072479122190719E-4</v>
      </c>
      <c r="N105" s="41">
        <f t="shared" si="23"/>
        <v>1.1776607784293945E-2</v>
      </c>
      <c r="O105" s="41"/>
      <c r="P105" s="41">
        <f t="shared" si="27"/>
        <v>5.5443480337758871E-5</v>
      </c>
      <c r="R105" s="65">
        <f t="shared" si="28"/>
        <v>-3.8895829535394641</v>
      </c>
      <c r="S105" s="65">
        <f t="shared" si="28"/>
        <v>-1.5571722303111937</v>
      </c>
      <c r="T105" s="65">
        <f t="shared" si="28"/>
        <v>-0.62905299738786802</v>
      </c>
      <c r="U105" s="65">
        <f t="shared" si="28"/>
        <v>-0.25637658911035338</v>
      </c>
      <c r="V105" s="65">
        <f t="shared" si="28"/>
        <v>-0.10539883794705104</v>
      </c>
      <c r="W105" s="65">
        <f t="shared" si="28"/>
        <v>-4.3700612472411846E-2</v>
      </c>
      <c r="X105" s="65">
        <f t="shared" si="28"/>
        <v>-1.8271046959138889E-2</v>
      </c>
      <c r="Y105" s="65">
        <f t="shared" si="28"/>
        <v>-7.7018577145231198E-3</v>
      </c>
    </row>
    <row r="106" spans="1:25" x14ac:dyDescent="0.25">
      <c r="A106" s="21">
        <v>94</v>
      </c>
      <c r="C106" s="25">
        <f t="shared" si="29"/>
        <v>6.02</v>
      </c>
      <c r="D106" s="23">
        <f>FishHarvestTimeTrends!AC115*((1+D$10)^MIN($A106,20))</f>
        <v>1.8394425512153281</v>
      </c>
      <c r="E106" s="23">
        <f>FishHarvestTimeTrends!AD115*((1+E$10)^MIN($A106,20))</f>
        <v>0.26297594873652508</v>
      </c>
      <c r="F106" s="23">
        <f t="shared" si="21"/>
        <v>5.9503820550119917</v>
      </c>
      <c r="H106" s="22">
        <f t="shared" si="25"/>
        <v>2.8000000000000001E-2</v>
      </c>
      <c r="I106" s="22"/>
      <c r="J106" s="41"/>
      <c r="K106" s="41">
        <f t="shared" si="23"/>
        <v>1.1140512404316034E-2</v>
      </c>
      <c r="L106" s="41">
        <f t="shared" si="26"/>
        <v>3.4040419532958628E-3</v>
      </c>
      <c r="M106" s="41">
        <f t="shared" si="26"/>
        <v>4.866589400225972E-4</v>
      </c>
      <c r="N106" s="41">
        <f t="shared" si="23"/>
        <v>1.1011678587089806E-2</v>
      </c>
      <c r="O106" s="41"/>
      <c r="P106" s="41">
        <f t="shared" si="27"/>
        <v>5.1816336764260622E-5</v>
      </c>
      <c r="R106" s="65">
        <f t="shared" si="28"/>
        <v>-3.8895815000481466</v>
      </c>
      <c r="S106" s="65">
        <f t="shared" si="28"/>
        <v>-1.5417541073408709</v>
      </c>
      <c r="T106" s="65">
        <f t="shared" si="28"/>
        <v>-0.61671839442958365</v>
      </c>
      <c r="U106" s="65">
        <f t="shared" si="28"/>
        <v>-0.24890921680140099</v>
      </c>
      <c r="V106" s="65">
        <f t="shared" si="28"/>
        <v>-0.10134499861610312</v>
      </c>
      <c r="W106" s="65">
        <f t="shared" si="28"/>
        <v>-4.161961537334085E-2</v>
      </c>
      <c r="X106" s="65">
        <f t="shared" si="28"/>
        <v>-1.7236830312701821E-2</v>
      </c>
      <c r="Y106" s="65">
        <f t="shared" si="28"/>
        <v>-7.1979951742333131E-3</v>
      </c>
    </row>
    <row r="107" spans="1:25" x14ac:dyDescent="0.25">
      <c r="A107" s="21">
        <v>95</v>
      </c>
      <c r="C107" s="25">
        <f t="shared" si="29"/>
        <v>6.02</v>
      </c>
      <c r="D107" s="23">
        <f>FishHarvestTimeTrends!AC116*((1+D$10)^MIN($A107,20))</f>
        <v>1.8394438660273351</v>
      </c>
      <c r="E107" s="23">
        <f>FishHarvestTimeTrends!AD116*((1+E$10)^MIN($A107,20))</f>
        <v>0.26297608741583534</v>
      </c>
      <c r="F107" s="23">
        <f t="shared" si="21"/>
        <v>5.9533572460394977</v>
      </c>
      <c r="H107" s="22">
        <f t="shared" si="25"/>
        <v>2.8000000000000001E-2</v>
      </c>
      <c r="I107" s="22"/>
      <c r="J107" s="41"/>
      <c r="K107" s="41">
        <f t="shared" si="23"/>
        <v>1.0411693835809378E-2</v>
      </c>
      <c r="L107" s="41">
        <f t="shared" si="26"/>
        <v>3.1813498938927207E-3</v>
      </c>
      <c r="M107" s="41">
        <f t="shared" si="26"/>
        <v>4.5482167912171449E-4</v>
      </c>
      <c r="N107" s="41">
        <f t="shared" si="23"/>
        <v>1.0296434043348927E-2</v>
      </c>
      <c r="O107" s="41"/>
      <c r="P107" s="41">
        <f t="shared" si="27"/>
        <v>4.8426482957252925E-5</v>
      </c>
      <c r="R107" s="65">
        <f t="shared" si="28"/>
        <v>-3.8895800465568291</v>
      </c>
      <c r="S107" s="65">
        <f t="shared" si="28"/>
        <v>-1.526488644757735</v>
      </c>
      <c r="T107" s="65">
        <f t="shared" si="28"/>
        <v>-0.60462565095009846</v>
      </c>
      <c r="U107" s="65">
        <f t="shared" si="28"/>
        <v>-0.24165934348245133</v>
      </c>
      <c r="V107" s="65">
        <f t="shared" si="28"/>
        <v>-9.7447077639093438E-2</v>
      </c>
      <c r="W107" s="65">
        <f t="shared" si="28"/>
        <v>-3.9637714114833529E-2</v>
      </c>
      <c r="X107" s="65">
        <f t="shared" si="28"/>
        <v>-1.6261154595753807E-2</v>
      </c>
      <c r="Y107" s="65">
        <f t="shared" si="28"/>
        <v>-6.7270957798376899E-3</v>
      </c>
    </row>
    <row r="108" spans="1:25" x14ac:dyDescent="0.25">
      <c r="A108" s="21">
        <v>96</v>
      </c>
      <c r="C108" s="25">
        <f t="shared" si="29"/>
        <v>6.02</v>
      </c>
      <c r="D108" s="23">
        <f>FishHarvestTimeTrends!AC117*((1+D$10)^MIN($A108,20))</f>
        <v>1.8394451808393426</v>
      </c>
      <c r="E108" s="23">
        <f>FishHarvestTimeTrends!AD117*((1+E$10)^MIN($A108,20))</f>
        <v>0.26297622609514554</v>
      </c>
      <c r="F108" s="23">
        <f t="shared" si="21"/>
        <v>5.9563339246625171</v>
      </c>
      <c r="H108" s="22">
        <f t="shared" si="25"/>
        <v>2.8000000000000001E-2</v>
      </c>
      <c r="I108" s="22"/>
      <c r="J108" s="41"/>
      <c r="K108" s="41">
        <f t="shared" si="23"/>
        <v>9.7305549867377321E-3</v>
      </c>
      <c r="L108" s="41">
        <f t="shared" si="26"/>
        <v>2.9732263251240794E-3</v>
      </c>
      <c r="M108" s="41">
        <f t="shared" si="26"/>
        <v>4.2506721399062925E-4</v>
      </c>
      <c r="N108" s="41">
        <f t="shared" si="23"/>
        <v>9.6276469723089678E-3</v>
      </c>
      <c r="O108" s="41"/>
      <c r="P108" s="41">
        <f t="shared" si="27"/>
        <v>4.5258395287152253E-5</v>
      </c>
      <c r="R108" s="65">
        <f t="shared" si="28"/>
        <v>-3.8895785930655116</v>
      </c>
      <c r="S108" s="65">
        <f t="shared" si="28"/>
        <v>-1.5113743310163263</v>
      </c>
      <c r="T108" s="65">
        <f t="shared" si="28"/>
        <v>-0.5927700245180868</v>
      </c>
      <c r="U108" s="65">
        <f t="shared" si="28"/>
        <v>-0.23462063415255799</v>
      </c>
      <c r="V108" s="65">
        <f t="shared" si="28"/>
        <v>-9.3699078100232258E-2</v>
      </c>
      <c r="W108" s="65">
        <f t="shared" si="28"/>
        <v>-3.7750189812072135E-2</v>
      </c>
      <c r="X108" s="65">
        <f t="shared" si="28"/>
        <v>-1.5340706150139055E-2</v>
      </c>
      <c r="Y108" s="65">
        <f t="shared" si="28"/>
        <v>-6.287003052335872E-3</v>
      </c>
    </row>
    <row r="109" spans="1:25" x14ac:dyDescent="0.25">
      <c r="A109" s="21">
        <v>97</v>
      </c>
      <c r="C109" s="25">
        <f t="shared" si="29"/>
        <v>6.02</v>
      </c>
      <c r="D109" s="23">
        <f>FishHarvestTimeTrends!AC118*((1+D$10)^MIN($A109,20))</f>
        <v>1.8394464956513501</v>
      </c>
      <c r="E109" s="23">
        <f>FishHarvestTimeTrends!AD118*((1+E$10)^MIN($A109,20))</f>
        <v>0.26297636477445574</v>
      </c>
      <c r="F109" s="23">
        <f t="shared" si="21"/>
        <v>5.9593120916248479</v>
      </c>
      <c r="H109" s="22">
        <f t="shared" si="25"/>
        <v>2.8000000000000001E-2</v>
      </c>
      <c r="I109" s="22"/>
      <c r="J109" s="41"/>
      <c r="K109" s="41">
        <f t="shared" si="23"/>
        <v>9.0939766231193792E-3</v>
      </c>
      <c r="L109" s="41">
        <f t="shared" si="26"/>
        <v>2.7787181778957211E-3</v>
      </c>
      <c r="M109" s="41">
        <f t="shared" si="26"/>
        <v>3.9725928798867361E-4</v>
      </c>
      <c r="N109" s="41">
        <f t="shared" si="23"/>
        <v>9.0022998091543217E-3</v>
      </c>
      <c r="O109" s="41"/>
      <c r="P109" s="41">
        <f t="shared" si="27"/>
        <v>4.2297565688927347E-5</v>
      </c>
      <c r="R109" s="65">
        <f t="shared" si="28"/>
        <v>-3.8895771395741936</v>
      </c>
      <c r="S109" s="65">
        <f t="shared" si="28"/>
        <v>-1.4964096695375388</v>
      </c>
      <c r="T109" s="65">
        <f t="shared" si="28"/>
        <v>-0.58114686569280871</v>
      </c>
      <c r="U109" s="65">
        <f t="shared" si="28"/>
        <v>-0.22778693832766342</v>
      </c>
      <c r="V109" s="65">
        <f t="shared" si="28"/>
        <v>-9.0095233736491906E-2</v>
      </c>
      <c r="W109" s="65">
        <f t="shared" si="28"/>
        <v>-3.5952548290719248E-2</v>
      </c>
      <c r="X109" s="65">
        <f t="shared" si="28"/>
        <v>-1.4472358884425949E-2</v>
      </c>
      <c r="Y109" s="65">
        <f t="shared" si="28"/>
        <v>-5.8757015915460566E-3</v>
      </c>
    </row>
    <row r="110" spans="1:25" x14ac:dyDescent="0.25">
      <c r="A110" s="21">
        <v>98</v>
      </c>
      <c r="C110" s="25">
        <f t="shared" si="29"/>
        <v>6.02</v>
      </c>
      <c r="D110" s="23">
        <f>FishHarvestTimeTrends!AC119*((1+D$10)^MIN($A110,20))</f>
        <v>1.8394478104633576</v>
      </c>
      <c r="E110" s="23">
        <f>FishHarvestTimeTrends!AD119*((1+E$10)^MIN($A110,20))</f>
        <v>0.262976503453766</v>
      </c>
      <c r="F110" s="23">
        <f t="shared" si="21"/>
        <v>5.9622917476706601</v>
      </c>
      <c r="H110" s="22">
        <f t="shared" si="25"/>
        <v>2.8000000000000001E-2</v>
      </c>
      <c r="I110" s="22"/>
      <c r="J110" s="41"/>
      <c r="K110" s="41">
        <f t="shared" si="23"/>
        <v>8.499043573008765E-3</v>
      </c>
      <c r="L110" s="41">
        <f t="shared" si="26"/>
        <v>2.5969347327913033E-3</v>
      </c>
      <c r="M110" s="41">
        <f t="shared" si="26"/>
        <v>3.7127055839386168E-4</v>
      </c>
      <c r="N110" s="41">
        <f t="shared" si="23"/>
        <v>8.4175709897746712E-3</v>
      </c>
      <c r="O110" s="41"/>
      <c r="P110" s="41">
        <f t="shared" si="27"/>
        <v>3.9530435223296587E-5</v>
      </c>
      <c r="R110" s="65">
        <f t="shared" ref="R110:Y112" si="30">(($D110/((1+R$10)^$M$7))+$G110+$H110+IF($M$3="Yes",$E110/((1+R$10)^$M$7),0)+IF($M$4="Yes",$F110)-($B110*(1+$M$5))-$C110)/((1+R$10)^($A110-1))</f>
        <v>-3.8895756860828761</v>
      </c>
      <c r="S110" s="65">
        <f t="shared" si="30"/>
        <v>-1.4815931785604377</v>
      </c>
      <c r="T110" s="65">
        <f t="shared" si="30"/>
        <v>-0.56975161620073356</v>
      </c>
      <c r="U110" s="65">
        <f t="shared" si="30"/>
        <v>-0.22115228466625378</v>
      </c>
      <c r="V110" s="65">
        <f t="shared" si="30"/>
        <v>-8.6630000066263813E-2</v>
      </c>
      <c r="W110" s="65">
        <f t="shared" si="30"/>
        <v>-3.4240509386338581E-2</v>
      </c>
      <c r="X110" s="65">
        <f t="shared" si="30"/>
        <v>-1.3653163656856494E-2</v>
      </c>
      <c r="Y110" s="65">
        <f t="shared" si="30"/>
        <v>-5.4913078466003037E-3</v>
      </c>
    </row>
    <row r="111" spans="1:25" x14ac:dyDescent="0.25">
      <c r="A111" s="21">
        <v>99</v>
      </c>
      <c r="C111" s="25">
        <f t="shared" si="29"/>
        <v>6.02</v>
      </c>
      <c r="D111" s="23">
        <f>FishHarvestTimeTrends!AC120*((1+D$10)^MIN($A111,20))</f>
        <v>1.8394491252753649</v>
      </c>
      <c r="E111" s="23">
        <f>FishHarvestTimeTrends!AD120*((1+E$10)^MIN($A111,20))</f>
        <v>0.2629766421330762</v>
      </c>
      <c r="F111" s="23">
        <f t="shared" ref="F111:F112" si="31">F110*(1+F$10)</f>
        <v>5.965272893544495</v>
      </c>
      <c r="H111" s="22">
        <f t="shared" si="25"/>
        <v>2.8000000000000001E-2</v>
      </c>
      <c r="I111" s="22"/>
      <c r="J111" s="41"/>
      <c r="K111" s="41">
        <f t="shared" si="23"/>
        <v>7.9430313766437055E-3</v>
      </c>
      <c r="L111" s="41">
        <f t="shared" si="26"/>
        <v>2.4270435411631298E-3</v>
      </c>
      <c r="M111" s="41">
        <f t="shared" si="26"/>
        <v>3.469820132537255E-4</v>
      </c>
      <c r="N111" s="41">
        <f t="shared" si="23"/>
        <v>7.870822219878091E-3</v>
      </c>
      <c r="O111" s="41"/>
      <c r="P111" s="41">
        <f t="shared" si="27"/>
        <v>3.6944331984389331E-5</v>
      </c>
      <c r="R111" s="65">
        <f t="shared" si="30"/>
        <v>-3.8895742325915585</v>
      </c>
      <c r="S111" s="65">
        <f t="shared" si="30"/>
        <v>-1.4669233909955353</v>
      </c>
      <c r="T111" s="65">
        <f t="shared" si="30"/>
        <v>-0.55857980714791211</v>
      </c>
      <c r="U111" s="65">
        <f t="shared" si="30"/>
        <v>-0.21471087575155007</v>
      </c>
      <c r="V111" s="65">
        <f t="shared" si="30"/>
        <v>-8.3298045859224124E-2</v>
      </c>
      <c r="W111" s="65">
        <f t="shared" si="30"/>
        <v>-3.2609996753371222E-2</v>
      </c>
      <c r="X111" s="65">
        <f t="shared" si="30"/>
        <v>-1.2880338259264698E-2</v>
      </c>
      <c r="Y111" s="65">
        <f t="shared" si="30"/>
        <v>-5.1320614902424606E-3</v>
      </c>
    </row>
    <row r="112" spans="1:25" x14ac:dyDescent="0.25">
      <c r="A112" s="21">
        <v>100</v>
      </c>
      <c r="C112" s="25">
        <f t="shared" si="29"/>
        <v>6.02</v>
      </c>
      <c r="D112" s="23">
        <f>FishHarvestTimeTrends!AC121*((1+D$10)^MIN($A112,20))</f>
        <v>1.8394504400873724</v>
      </c>
      <c r="E112" s="23">
        <f>FishHarvestTimeTrends!AD121*((1+E$10)^MIN($A112,20))</f>
        <v>0.2629767808123864</v>
      </c>
      <c r="F112" s="23">
        <f t="shared" si="31"/>
        <v>5.968255529991267</v>
      </c>
      <c r="H112" s="22">
        <f t="shared" si="25"/>
        <v>2.8000000000000001E-2</v>
      </c>
      <c r="I112" s="22"/>
      <c r="J112" s="41"/>
      <c r="K112" s="41">
        <f t="shared" si="23"/>
        <v>7.4233938099473882E-3</v>
      </c>
      <c r="L112" s="41">
        <f t="shared" si="26"/>
        <v>2.2682666130647176E-3</v>
      </c>
      <c r="M112" s="41">
        <f t="shared" si="26"/>
        <v>3.2428242638580737E-4</v>
      </c>
      <c r="N112" s="41">
        <f t="shared" si="23"/>
        <v>7.3595865710168505E-3</v>
      </c>
      <c r="O112" s="41"/>
      <c r="P112" s="41">
        <f t="shared" si="27"/>
        <v>3.4527413069522736E-5</v>
      </c>
      <c r="R112" s="65">
        <f t="shared" si="30"/>
        <v>-3.8895727791002406</v>
      </c>
      <c r="S112" s="65">
        <f t="shared" si="30"/>
        <v>-1.4523988542795252</v>
      </c>
      <c r="T112" s="65">
        <f t="shared" si="30"/>
        <v>-0.5476270572674039</v>
      </c>
      <c r="U112" s="65">
        <f t="shared" si="30"/>
        <v>-0.20845708302567556</v>
      </c>
      <c r="V112" s="65">
        <f t="shared" si="30"/>
        <v>-8.0094244934284714E-2</v>
      </c>
      <c r="W112" s="65">
        <f t="shared" si="30"/>
        <v>-3.1057128159402245E-2</v>
      </c>
      <c r="X112" s="65">
        <f t="shared" si="30"/>
        <v>-1.215125796794648E-2</v>
      </c>
      <c r="Y112" s="65">
        <f t="shared" si="30"/>
        <v>-4.7963173574273399E-3</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OriginalBCACalculations</vt:lpstr>
      <vt:lpstr>OriginalBCACalculations 0%</vt:lpstr>
      <vt:lpstr> OriginalBCACalculation 7%</vt:lpstr>
      <vt:lpstr>OriginalBCACalculations$2012</vt:lpstr>
      <vt:lpstr>OriginalBCACalculations$2012 0%</vt:lpstr>
      <vt:lpstr> OriginalBCACalculation$2012 7%</vt:lpstr>
      <vt:lpstr>ExPostBCACalculations</vt:lpstr>
      <vt:lpstr>ExPostBCACalc-NoExcessBurden</vt:lpstr>
      <vt:lpstr>ExPostBCACalc-30%ExcessBurden</vt:lpstr>
      <vt:lpstr>Cost Distribution By Year</vt:lpstr>
      <vt:lpstr>CommAndSportFishingValues</vt:lpstr>
      <vt:lpstr>FishHarvestTimeTrends</vt:lpstr>
      <vt:lpstr>PowerRatesAndCosts</vt:lpstr>
      <vt:lpstr>OriginalNPVandBC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dc:creator>
  <cp:lastModifiedBy>Paul Peretz</cp:lastModifiedBy>
  <dcterms:created xsi:type="dcterms:W3CDTF">2017-05-23T16:57:58Z</dcterms:created>
  <dcterms:modified xsi:type="dcterms:W3CDTF">2019-10-24T23:35:45Z</dcterms:modified>
</cp:coreProperties>
</file>