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newto\Documents\Mechanical restraint (SAVAGE)\E&amp;PS submit\Resubmit\"/>
    </mc:Choice>
  </mc:AlternateContent>
  <bookViews>
    <workbookView xWindow="0" yWindow="0" windowWidth="28800" windowHeight="12300" activeTab="6"/>
  </bookViews>
  <sheets>
    <sheet name="Table of Contents" sheetId="1" r:id="rId1"/>
    <sheet name="Table S1" sheetId="2" r:id="rId2"/>
    <sheet name="Table S2" sheetId="3" r:id="rId3"/>
    <sheet name="Table S3" sheetId="4" r:id="rId4"/>
    <sheet name="Table S4" sheetId="5" r:id="rId5"/>
    <sheet name="Table S5" sheetId="6" r:id="rId6"/>
    <sheet name="Table S6" sheetId="7" r:id="rId7"/>
    <sheet name="Table S7" sheetId="8" r:id="rId8"/>
  </sheets>
  <definedNames>
    <definedName name="_ftn1" localSheetId="1">'Table S1'!$A$52</definedName>
    <definedName name="_ftn2" localSheetId="1">'Table S1'!$A$56</definedName>
    <definedName name="_ftnref1" localSheetId="1">'Table S1'!#REF!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8" l="1"/>
  <c r="U6" i="8"/>
  <c r="H5" i="8"/>
  <c r="I5" i="8"/>
  <c r="J5" i="8"/>
  <c r="U5" i="8"/>
  <c r="U4" i="8"/>
  <c r="B5" i="8"/>
  <c r="K5" i="8"/>
  <c r="L5" i="8"/>
  <c r="N5" i="8"/>
  <c r="Q5" i="8"/>
  <c r="P5" i="8"/>
  <c r="P4" i="8"/>
  <c r="Q4" i="8"/>
  <c r="P3" i="8"/>
  <c r="Q3" i="8"/>
  <c r="R5" i="8"/>
  <c r="T5" i="8"/>
  <c r="T3" i="8"/>
  <c r="R3" i="8"/>
  <c r="Q7" i="8"/>
  <c r="R7" i="8"/>
  <c r="Q6" i="8"/>
  <c r="R6" i="8"/>
  <c r="R4" i="8"/>
  <c r="M3" i="7"/>
  <c r="G32" i="7"/>
  <c r="H32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1" i="6"/>
  <c r="C51" i="6"/>
  <c r="H51" i="6"/>
  <c r="B51" i="6"/>
  <c r="D51" i="6"/>
  <c r="G51" i="6"/>
  <c r="E51" i="6"/>
  <c r="H4" i="6"/>
  <c r="H8" i="6"/>
  <c r="H16" i="6"/>
  <c r="H20" i="6"/>
  <c r="H28" i="6"/>
  <c r="H32" i="6"/>
  <c r="H36" i="6"/>
  <c r="H40" i="6"/>
  <c r="H44" i="6"/>
  <c r="H48" i="6"/>
  <c r="H12" i="6"/>
  <c r="H24" i="6"/>
  <c r="H5" i="6"/>
  <c r="H47" i="6"/>
  <c r="H43" i="6"/>
  <c r="H39" i="6"/>
  <c r="H35" i="6"/>
  <c r="H31" i="6"/>
  <c r="H27" i="6"/>
  <c r="H23" i="6"/>
  <c r="H19" i="6"/>
  <c r="H15" i="6"/>
  <c r="H11" i="6"/>
  <c r="H7" i="6"/>
  <c r="H46" i="6"/>
  <c r="H42" i="6"/>
  <c r="H38" i="6"/>
  <c r="H34" i="6"/>
  <c r="H30" i="6"/>
  <c r="H26" i="6"/>
  <c r="H22" i="6"/>
  <c r="H18" i="6"/>
  <c r="H14" i="6"/>
  <c r="H10" i="6"/>
  <c r="H6" i="6"/>
  <c r="H49" i="6"/>
  <c r="H45" i="6"/>
  <c r="H41" i="6"/>
  <c r="H37" i="6"/>
  <c r="H33" i="6"/>
  <c r="H29" i="6"/>
  <c r="H25" i="6"/>
  <c r="H21" i="6"/>
  <c r="H17" i="6"/>
  <c r="H13" i="6"/>
  <c r="H9" i="6"/>
  <c r="C40" i="7"/>
  <c r="E37" i="7"/>
  <c r="P34" i="7"/>
  <c r="O34" i="7"/>
  <c r="Q34" i="7"/>
  <c r="K34" i="7"/>
  <c r="J34" i="7"/>
  <c r="L34" i="7"/>
  <c r="D34" i="7"/>
  <c r="G34" i="7"/>
  <c r="H34" i="7"/>
  <c r="C34" i="7"/>
  <c r="E34" i="7"/>
  <c r="P33" i="7"/>
  <c r="O33" i="7"/>
  <c r="Q33" i="7"/>
  <c r="K33" i="7"/>
  <c r="J33" i="7"/>
  <c r="D33" i="7"/>
  <c r="G33" i="7"/>
  <c r="H33" i="7"/>
  <c r="C33" i="7"/>
  <c r="Q32" i="7"/>
  <c r="J32" i="7"/>
  <c r="L32" i="7"/>
  <c r="E32" i="7"/>
  <c r="Q31" i="7"/>
  <c r="L31" i="7"/>
  <c r="E31" i="7"/>
  <c r="Q30" i="7"/>
  <c r="L30" i="7"/>
  <c r="E30" i="7"/>
  <c r="Q29" i="7"/>
  <c r="L29" i="7"/>
  <c r="E29" i="7"/>
  <c r="Q28" i="7"/>
  <c r="L28" i="7"/>
  <c r="E28" i="7"/>
  <c r="Q27" i="7"/>
  <c r="L27" i="7"/>
  <c r="E27" i="7"/>
  <c r="Q26" i="7"/>
  <c r="L26" i="7"/>
  <c r="E26" i="7"/>
  <c r="K19" i="7"/>
  <c r="I19" i="7"/>
  <c r="G19" i="7"/>
  <c r="J19" i="7"/>
  <c r="K18" i="7"/>
  <c r="F18" i="7"/>
  <c r="G18" i="7"/>
  <c r="J18" i="7"/>
  <c r="K17" i="7"/>
  <c r="F17" i="7"/>
  <c r="I17" i="7"/>
  <c r="F16" i="7"/>
  <c r="I16" i="7"/>
  <c r="F15" i="7"/>
  <c r="I15" i="7"/>
  <c r="F14" i="7"/>
  <c r="I14" i="7"/>
  <c r="F13" i="7"/>
  <c r="I13" i="7"/>
  <c r="F12" i="7"/>
  <c r="I12" i="7"/>
  <c r="F11" i="7"/>
  <c r="I11" i="7"/>
  <c r="F10" i="7"/>
  <c r="I10" i="7"/>
  <c r="F9" i="7"/>
  <c r="I9" i="7"/>
  <c r="F8" i="7"/>
  <c r="I8" i="7"/>
  <c r="F7" i="7"/>
  <c r="I7" i="7"/>
  <c r="F6" i="7"/>
  <c r="I6" i="7"/>
  <c r="F5" i="7"/>
  <c r="I5" i="7"/>
  <c r="F4" i="7"/>
  <c r="I4" i="7"/>
  <c r="W3" i="7"/>
  <c r="F3" i="7"/>
  <c r="I3" i="7"/>
  <c r="G33" i="6"/>
  <c r="G46" i="6"/>
  <c r="G23" i="6"/>
  <c r="G38" i="6"/>
  <c r="G19" i="6"/>
  <c r="G3" i="6"/>
  <c r="H3" i="6"/>
  <c r="G25" i="6"/>
  <c r="G24" i="6"/>
  <c r="G17" i="6"/>
  <c r="G30" i="6"/>
  <c r="G49" i="6"/>
  <c r="G11" i="6"/>
  <c r="G40" i="6"/>
  <c r="G43" i="6"/>
  <c r="G13" i="6"/>
  <c r="G9" i="6"/>
  <c r="G39" i="6"/>
  <c r="G7" i="6"/>
  <c r="G27" i="6"/>
  <c r="G20" i="6"/>
  <c r="G32" i="6"/>
  <c r="G34" i="6"/>
  <c r="G15" i="6"/>
  <c r="G35" i="6"/>
  <c r="G48" i="6"/>
  <c r="G22" i="6"/>
  <c r="G5" i="6"/>
  <c r="G26" i="6"/>
  <c r="G28" i="6"/>
  <c r="G21" i="6"/>
  <c r="G12" i="6"/>
  <c r="G8" i="6"/>
  <c r="G10" i="6"/>
  <c r="G44" i="6"/>
  <c r="G42" i="6"/>
  <c r="G31" i="6"/>
  <c r="G37" i="6"/>
  <c r="G41" i="6"/>
  <c r="G45" i="6"/>
  <c r="G18" i="6"/>
  <c r="G16" i="6"/>
  <c r="G29" i="6"/>
  <c r="G6" i="6"/>
  <c r="G4" i="6"/>
  <c r="G36" i="6"/>
  <c r="G47" i="6"/>
  <c r="G14" i="6"/>
  <c r="I18" i="7"/>
  <c r="L33" i="7"/>
  <c r="E33" i="7"/>
  <c r="G53" i="6"/>
  <c r="H55" i="6"/>
  <c r="G17" i="7"/>
  <c r="J17" i="7"/>
  <c r="H54" i="6"/>
  <c r="G55" i="6"/>
  <c r="G54" i="6"/>
  <c r="H53" i="6"/>
  <c r="B9" i="4"/>
  <c r="B8" i="4"/>
  <c r="C9" i="4"/>
  <c r="D9" i="4"/>
  <c r="B10" i="4"/>
  <c r="C8" i="4"/>
  <c r="H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F18" i="5"/>
  <c r="B18" i="5"/>
  <c r="E4" i="5"/>
  <c r="D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D8" i="4"/>
  <c r="H20" i="2"/>
  <c r="I20" i="2"/>
  <c r="H16" i="2"/>
  <c r="I16" i="2"/>
  <c r="H12" i="2"/>
  <c r="I12" i="2"/>
  <c r="H8" i="2"/>
  <c r="I8" i="2"/>
  <c r="H4" i="2"/>
  <c r="I4" i="2"/>
  <c r="H5" i="2"/>
  <c r="I5" i="2"/>
  <c r="H6" i="2"/>
  <c r="I6" i="2"/>
  <c r="H7" i="2"/>
  <c r="I7" i="2"/>
  <c r="H9" i="2"/>
  <c r="I9" i="2"/>
  <c r="H10" i="2"/>
  <c r="I10" i="2"/>
  <c r="H11" i="2"/>
  <c r="I11" i="2"/>
  <c r="H13" i="2"/>
  <c r="I13" i="2"/>
  <c r="H14" i="2"/>
  <c r="I14" i="2"/>
  <c r="H15" i="2"/>
  <c r="I15" i="2"/>
  <c r="H17" i="2"/>
  <c r="I17" i="2"/>
  <c r="H18" i="2"/>
  <c r="I18" i="2"/>
  <c r="H19" i="2"/>
  <c r="I19" i="2"/>
  <c r="H21" i="2"/>
  <c r="I21" i="2"/>
  <c r="H22" i="2"/>
  <c r="I22" i="2"/>
  <c r="H23" i="2"/>
  <c r="I23" i="2"/>
  <c r="B29" i="2"/>
  <c r="B28" i="2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I24" i="2"/>
  <c r="D12" i="3"/>
  <c r="D29" i="3"/>
  <c r="D30" i="3"/>
  <c r="D37" i="3"/>
  <c r="D39" i="3"/>
  <c r="F28" i="2"/>
  <c r="F30" i="2"/>
  <c r="F31" i="2"/>
  <c r="B40" i="2"/>
  <c r="D38" i="2"/>
  <c r="D28" i="2"/>
  <c r="D30" i="2"/>
  <c r="D31" i="2"/>
  <c r="B39" i="2"/>
  <c r="D40" i="2"/>
  <c r="D39" i="2"/>
  <c r="D33" i="2"/>
  <c r="B30" i="2"/>
  <c r="B31" i="2"/>
  <c r="B38" i="2"/>
  <c r="I3" i="2"/>
</calcChain>
</file>

<file path=xl/sharedStrings.xml><?xml version="1.0" encoding="utf-8"?>
<sst xmlns="http://schemas.openxmlformats.org/spreadsheetml/2006/main" count="417" uniqueCount="328">
  <si>
    <t>Worksheet Table of Contents</t>
  </si>
  <si>
    <t>DHB</t>
  </si>
  <si>
    <t>Auckland</t>
  </si>
  <si>
    <t xml:space="preserve"> </t>
  </si>
  <si>
    <t>CCDHB</t>
  </si>
  <si>
    <t>Counties Manukau</t>
  </si>
  <si>
    <t>Hawkes Bay</t>
  </si>
  <si>
    <t>?</t>
  </si>
  <si>
    <t>Nelson/Marlborough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</si>
  <si>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</si>
  <si>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</si>
  <si>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</si>
  <si>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</si>
  <si>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</si>
  <si>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</si>
  <si>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</si>
  <si>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</si>
  <si>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Whanagnui</t>
  </si>
  <si>
    <t>Statistics NZ https://www.stats.govt.nz/topics/population  (Dec. 31 in 2008, 2016, 2018) for 15-64 years old</t>
  </si>
  <si>
    <t>NZ rate for 15-64 year olds per 1 million population per year</t>
  </si>
  <si>
    <t>NZ rate per 1 million 15-64 year olds per day</t>
  </si>
  <si>
    <t>NZ restraint data per DHB from OIA requests 2008, 2016/2017, 2018, with Calculations</t>
  </si>
  <si>
    <t>2016-2017</t>
  </si>
  <si>
    <t>Mean</t>
  </si>
  <si>
    <t>US Restraint duration data for restraints followed by injurious assaults</t>
  </si>
  <si>
    <t>median</t>
  </si>
  <si>
    <t>Year</t>
  </si>
  <si>
    <t>Table S1</t>
  </si>
  <si>
    <t>Table S2</t>
  </si>
  <si>
    <t>Number of restraints</t>
  </si>
  <si>
    <t>[1]</t>
  </si>
  <si>
    <r>
      <t>Between 1 January and 31 December 2017, New Zealand adult mental health services (excluding forensic and other regional rehabilitation services) accommodated 8,910 people for a total of 241,830 bed nights.</t>
    </r>
    <r>
      <rPr>
        <vertAlign val="superscript"/>
        <sz val="10.5"/>
        <color theme="1"/>
        <rFont val="Segoe UI"/>
        <family val="2"/>
      </rPr>
      <t>[1]</t>
    </r>
    <r>
      <rPr>
        <sz val="10.5"/>
        <color theme="1"/>
        <rFont val="Segoe UI"/>
        <family val="2"/>
      </rPr>
      <t xml:space="preserve"> Of these people, 775</t>
    </r>
    <r>
      <rPr>
        <vertAlign val="superscript"/>
        <sz val="10.5"/>
        <color theme="1"/>
        <rFont val="Segoe UI"/>
        <family val="2"/>
      </rPr>
      <t>[2]</t>
    </r>
    <r>
      <rPr>
        <sz val="10.5"/>
        <color theme="1"/>
        <rFont val="Segoe UI"/>
        <family val="2"/>
      </rPr>
      <t xml:space="preserve"> (8.7 percent) were secluded at some stage during the reporting period.</t>
    </r>
  </si>
  <si>
    <t>For 2017, bed nights are measured by team types that provide seclusion. In previous years, this was measured by acute and sub-acute bed nights. Excludes outlier data.</t>
  </si>
  <si>
    <t>[2]</t>
  </si>
  <si>
    <t>Source: PRIMHD data, extracted on 17 August 2018; except Southern DHB, which submitted data manually. Excludes outlier data.</t>
  </si>
  <si>
    <t>Number of restraint events per 1000 bed-nights</t>
  </si>
  <si>
    <t>No. Restraints per day per 1 M people</t>
  </si>
  <si>
    <t>numbers of mechanical restraint events in 2008</t>
  </si>
  <si>
    <t>numbers mechanical restraints July 2016-June 2017 from Health Service Network OIA request</t>
  </si>
  <si>
    <t>numbers of mechanical restraint events in 2018</t>
  </si>
  <si>
    <t>References: For population data</t>
  </si>
  <si>
    <t>Total NZ</t>
  </si>
  <si>
    <t>population 15-64 according to stats nz in 2016.5</t>
  </si>
  <si>
    <t xml:space="preserve"> Page 49: </t>
  </si>
  <si>
    <t xml:space="preserve"> New Zealand restraint events by day, type and duration</t>
  </si>
  <si>
    <t>All district health boards, all dates reported</t>
  </si>
  <si>
    <t>date</t>
  </si>
  <si>
    <t>start time</t>
  </si>
  <si>
    <t>duration (min)</t>
  </si>
  <si>
    <t>physical restraint type</t>
  </si>
  <si>
    <t>leather belt and wrist restraints</t>
  </si>
  <si>
    <t>mechanical belt with cuffs</t>
  </si>
  <si>
    <t>none for 2016/2017 or 2018</t>
  </si>
  <si>
    <t xml:space="preserve">physical restraint  </t>
  </si>
  <si>
    <t>one time only</t>
  </si>
  <si>
    <t>none for 2008 or 2018</t>
  </si>
  <si>
    <t>physical restraint--no other information</t>
  </si>
  <si>
    <t>response on 25/2/2020 showed one in 2016/2017, one in 2018 and none in 2008</t>
  </si>
  <si>
    <t>Lakes</t>
  </si>
  <si>
    <t>31 July-9 August 2018</t>
  </si>
  <si>
    <t>wrist restraints for ten days</t>
  </si>
  <si>
    <t>same person</t>
  </si>
  <si>
    <t>none for 2008 or 2016/2017</t>
  </si>
  <si>
    <t xml:space="preserve">mittens </t>
  </si>
  <si>
    <t>Mid-central</t>
  </si>
  <si>
    <t>6:15am</t>
  </si>
  <si>
    <t>T belt (belt that goes across lap whilst sitting in chair)</t>
  </si>
  <si>
    <t xml:space="preserve">T belt  </t>
  </si>
  <si>
    <t>4pm</t>
  </si>
  <si>
    <t>Leg restraints (cuffs around ankles)</t>
  </si>
  <si>
    <t>8.35 pm</t>
  </si>
  <si>
    <t>T belt</t>
  </si>
  <si>
    <t>1.15pm</t>
  </si>
  <si>
    <t>8.30pm</t>
  </si>
  <si>
    <t>6pm</t>
  </si>
  <si>
    <t xml:space="preserve">Leg restraints  </t>
  </si>
  <si>
    <t>5.50pm</t>
  </si>
  <si>
    <t>2.50pm</t>
  </si>
  <si>
    <t>6.45pm</t>
  </si>
  <si>
    <t>11.30am</t>
  </si>
  <si>
    <t>7.30am</t>
  </si>
  <si>
    <t>4.15am</t>
  </si>
  <si>
    <t>12.30am</t>
  </si>
  <si>
    <t>bed rails, blue non locking cuffs, green non locking cuffs</t>
  </si>
  <si>
    <t>11.55pm</t>
  </si>
  <si>
    <t xml:space="preserve">bed rails </t>
  </si>
  <si>
    <t>8 hours</t>
  </si>
  <si>
    <t>5 hours 39 minutes</t>
  </si>
  <si>
    <t>none for 2008</t>
  </si>
  <si>
    <t>For 2018 only 20 restraints for handcuffs by police</t>
  </si>
  <si>
    <t>wrist restraint</t>
  </si>
  <si>
    <t>1/12/2018-Feb 2019</t>
  </si>
  <si>
    <t>17 days in 2018, 31 days total.  See below for types of restraints on individual days</t>
  </si>
  <si>
    <t>soft limb (wrist, leg)</t>
  </si>
  <si>
    <t>I have included all the days in 2018 in which restraints were applied.</t>
  </si>
  <si>
    <t>Did not give dates or durations</t>
  </si>
  <si>
    <t>For 2008,  only 9 restraints for handcuffs by police</t>
  </si>
  <si>
    <t>number of retraint episodes per year per 1,000,000 population from ages 15-64 in 2016/2017</t>
  </si>
  <si>
    <t>number of restraint episodes per day per 1,000,000 population of 15-64 in 2016/2017</t>
  </si>
  <si>
    <t>31 days</t>
  </si>
  <si>
    <t>Arrived to TPW from ICU</t>
  </si>
  <si>
    <t>wrist and leg restraints</t>
  </si>
  <si>
    <t>wrist &amp; leg from 00 to 12:30 then from 12:30 to 16:30 wrist only, then wrist &amp; leg from 16:3-24:00</t>
  </si>
  <si>
    <t>wrist restraints</t>
  </si>
  <si>
    <t>wrist only until 0830 hrs, then leg restraints added until 16:30. 16:30-22:30 wrist restraints only. 22:30 leg restraints added.</t>
  </si>
  <si>
    <t>said there were 2 in 2018, 14 in 2016/2017 and 23 in 2018</t>
  </si>
  <si>
    <t>Summary:</t>
  </si>
  <si>
    <t xml:space="preserve">  </t>
  </si>
  <si>
    <t>Duration</t>
  </si>
  <si>
    <t>Device only</t>
  </si>
  <si>
    <t>Hold and device</t>
  </si>
  <si>
    <t xml:space="preserve">Hold only </t>
  </si>
  <si>
    <t>Less than 8 hours</t>
  </si>
  <si>
    <t>8-11 hours</t>
  </si>
  <si>
    <t>18-23 hours</t>
  </si>
  <si>
    <t>12-17 hours</t>
  </si>
  <si>
    <t>1 day</t>
  </si>
  <si>
    <t>2 days</t>
  </si>
  <si>
    <t>3 days</t>
  </si>
  <si>
    <t>4 days</t>
  </si>
  <si>
    <t>5 days</t>
  </si>
  <si>
    <t>6 days</t>
  </si>
  <si>
    <t>7 days</t>
  </si>
  <si>
    <t>8 days</t>
  </si>
  <si>
    <t>12 days</t>
  </si>
  <si>
    <t>23 days</t>
  </si>
  <si>
    <t>Count</t>
  </si>
  <si>
    <t>Percent</t>
  </si>
  <si>
    <t>Total count</t>
  </si>
  <si>
    <t>Hold only</t>
  </si>
  <si>
    <t>Total hours</t>
  </si>
  <si>
    <t>SD</t>
  </si>
  <si>
    <t xml:space="preserve">5th </t>
  </si>
  <si>
    <t>25th</t>
  </si>
  <si>
    <t>50th</t>
  </si>
  <si>
    <t>75th</t>
  </si>
  <si>
    <t>95th</t>
  </si>
  <si>
    <t>Duration percentiles</t>
  </si>
  <si>
    <t>Duration mean, SD</t>
  </si>
  <si>
    <t>Percentage of restraints involving device</t>
  </si>
  <si>
    <t>Totals</t>
  </si>
  <si>
    <t>Any kind of restraint</t>
  </si>
  <si>
    <t>Any device restraint</t>
  </si>
  <si>
    <t>Japanese mechanical restraint data by prefecture for June 30 2017</t>
  </si>
  <si>
    <t>Japanese restraint data by calendar year and age</t>
  </si>
  <si>
    <t xml:space="preserve"> https://www.ncnp.go.jp/nimh/seisaku/data/</t>
  </si>
  <si>
    <t>https://www.statista.com/statistics/610928/japan-population-by-prefecture/</t>
  </si>
  <si>
    <t>Prefecture</t>
  </si>
  <si>
    <t>Population of ages 15-64 in 2015 per 1,000</t>
  </si>
  <si>
    <t>Estimated population 20-64 in 1000's</t>
  </si>
  <si>
    <t>Hokkaido</t>
  </si>
  <si>
    <t>Yamagata</t>
  </si>
  <si>
    <t>Saga</t>
  </si>
  <si>
    <t>Akita</t>
  </si>
  <si>
    <t>Chiba</t>
  </si>
  <si>
    <t>Nagasaki</t>
  </si>
  <si>
    <t>Ibaraki</t>
  </si>
  <si>
    <t>Iwate</t>
  </si>
  <si>
    <t>Toyama</t>
  </si>
  <si>
    <t>Tochigi</t>
  </si>
  <si>
    <t>Saitama</t>
  </si>
  <si>
    <t>Niigata</t>
  </si>
  <si>
    <t>Tokushima</t>
  </si>
  <si>
    <t>Tottori</t>
  </si>
  <si>
    <t>Fukushima</t>
  </si>
  <si>
    <t>Fukui</t>
  </si>
  <si>
    <t>Gunma</t>
  </si>
  <si>
    <t>Kanagawa</t>
  </si>
  <si>
    <t>Nagano</t>
  </si>
  <si>
    <t>Miyagi</t>
  </si>
  <si>
    <t>Aomori</t>
  </si>
  <si>
    <t>Kochi</t>
  </si>
  <si>
    <t>Yamaguchi</t>
  </si>
  <si>
    <t>Osaka</t>
  </si>
  <si>
    <t>Hyogo</t>
  </si>
  <si>
    <t>Okinawa</t>
  </si>
  <si>
    <t>Oita</t>
  </si>
  <si>
    <t>Kagoshima</t>
  </si>
  <si>
    <t>Miyazaki</t>
  </si>
  <si>
    <t>Ehime</t>
  </si>
  <si>
    <t>Shimane</t>
  </si>
  <si>
    <t>Fukuoka</t>
  </si>
  <si>
    <t>Hiroshima</t>
  </si>
  <si>
    <t>Tokyo</t>
  </si>
  <si>
    <t>Shizuoka</t>
  </si>
  <si>
    <t>Gifu</t>
  </si>
  <si>
    <t>Yamanishi</t>
  </si>
  <si>
    <t>Nara</t>
  </si>
  <si>
    <t>Ishikawa</t>
  </si>
  <si>
    <t>Kyoto</t>
  </si>
  <si>
    <t>Mie</t>
  </si>
  <si>
    <t>Aichi</t>
  </si>
  <si>
    <t>Kagawa</t>
  </si>
  <si>
    <t>Shiga</t>
  </si>
  <si>
    <t>Kumamoto</t>
  </si>
  <si>
    <t>Wakayama</t>
  </si>
  <si>
    <t>Okayama</t>
  </si>
  <si>
    <t>total</t>
  </si>
  <si>
    <t>min</t>
  </si>
  <si>
    <t>max</t>
  </si>
  <si>
    <t># people in restraints in Japan</t>
  </si>
  <si>
    <t># people between 20-64 years old in restraints in Japan</t>
  </si>
  <si>
    <t># people &gt;65 years old in restraints in Japan</t>
  </si>
  <si>
    <t>Population of Japan (all ages) from World Bank</t>
  </si>
  <si>
    <t>Population in millions</t>
  </si>
  <si>
    <t>calculating 20-64 population from percent in 2020</t>
  </si>
  <si>
    <t>this line from https://worldpopulationreview.com/countries/japan-population/, but calculating 20-64 from percent in 2020</t>
  </si>
  <si>
    <t>this line from https://worldpopulationreview.com/countries/japan-population/</t>
  </si>
  <si>
    <t xml:space="preserve">Reference world bank website for population statistics from 2003-2018: </t>
  </si>
  <si>
    <t>https://data.worldbank.org/indicator/SP.POP.TOTL?locations=JP</t>
  </si>
  <si>
    <t>https://www.stat.go.jp/english/data/jinsui/2017np/index.html</t>
  </si>
  <si>
    <t>All Japan by age-2017 and 2018</t>
  </si>
  <si>
    <t>Ages</t>
  </si>
  <si>
    <t>percent of people in hospitals who are restrained</t>
  </si>
  <si>
    <t>total population of country in each age group in mllions</t>
  </si>
  <si>
    <t>Number of people in hospital per 1 Million population</t>
  </si>
  <si>
    <t>year</t>
  </si>
  <si>
    <t>number of people in restraints</t>
  </si>
  <si>
    <t>total population in hospital</t>
  </si>
  <si>
    <t>percent of people in hospital who are restrained</t>
  </si>
  <si>
    <t>&lt;20</t>
  </si>
  <si>
    <t>20-40</t>
  </si>
  <si>
    <t>41-64</t>
  </si>
  <si>
    <t>65-74</t>
  </si>
  <si>
    <t>&gt;75</t>
  </si>
  <si>
    <t>uncertain</t>
  </si>
  <si>
    <t>20-64</t>
  </si>
  <si>
    <t>65 or greater</t>
  </si>
  <si>
    <t>In 2020, there were 76.47million  people 15-64 and 70.72 million people 20-64 and 126.5 million total</t>
  </si>
  <si>
    <t>So in 2020, 56% of the population was aged 20-64.</t>
  </si>
  <si>
    <t>So if all we have for prefectures is ages 20-64 for restrained patients but 15-64 for the whole country, we can estimate</t>
  </si>
  <si>
    <t>1.08 times more people from ages 15-64 as ages 20-64</t>
  </si>
  <si>
    <t>Table S5</t>
  </si>
  <si>
    <t xml:space="preserve">Reference for restraint data (in Japanese): </t>
  </si>
  <si>
    <t xml:space="preserve">Reference for population data: </t>
  </si>
  <si>
    <t>https://www.stat.go.jp/english/data/nenkan/66nenkan/1431-02.html</t>
  </si>
  <si>
    <t>15-19 year olds (in 1000's) in 2015</t>
  </si>
  <si>
    <t>20-64 year olds  in 2015</t>
  </si>
  <si>
    <t>sum</t>
  </si>
  <si>
    <t>Ratio of 20-64/15-64</t>
  </si>
  <si>
    <t>total ratio 2017/2015</t>
  </si>
  <si>
    <t>So assume is same in 2015 and 2017</t>
  </si>
  <si>
    <t>by age, in groups of 0-14, 15-64 and 65 and greater</t>
  </si>
  <si>
    <t xml:space="preserve">Calculated  values used to do scaling </t>
  </si>
  <si>
    <t>Total population in 2015 in 1000's</t>
  </si>
  <si>
    <t xml:space="preserve"> restrained people of all ages in 2017</t>
  </si>
  <si>
    <t>People 20-64 restrained in 2017</t>
  </si>
  <si>
    <t>Population of all ages in millions for 2017</t>
  </si>
  <si>
    <t>Number of people ages 20-64 restrained per million population of 20-64-yr olds in 2017*</t>
  </si>
  <si>
    <t>*Differences in total populations between 2015 and 2017 were negligible, so the 2015 data is used for the ages</t>
  </si>
  <si>
    <t xml:space="preserve">Reference for restraints: </t>
  </si>
  <si>
    <t>Number of people in restraints (B)</t>
  </si>
  <si>
    <t>total number of people in hospitals</t>
  </si>
  <si>
    <t>percent of people in country in psychiatric hospitals</t>
  </si>
  <si>
    <t xml:space="preserve">population of different ages from: </t>
  </si>
  <si>
    <t>Below are calculations for age groups in hospitals</t>
  </si>
  <si>
    <t xml:space="preserve">restraints per million population for All ages  </t>
  </si>
  <si>
    <t>restraints per 1 M population for20-64-year olds</t>
  </si>
  <si>
    <t>restraint per 1 M population for &gt;65-year olds</t>
  </si>
  <si>
    <t>Total Japanese population of 20-64 year-olds in millions</t>
  </si>
  <si>
    <t>Total population of &gt;65-year olds in millions</t>
  </si>
  <si>
    <t>Table S6</t>
  </si>
  <si>
    <t xml:space="preserve">Table S3 </t>
  </si>
  <si>
    <t xml:space="preserve">Table S4 </t>
  </si>
  <si>
    <t>Table S1. NZ restraint data from OIA requests with Calculations</t>
  </si>
  <si>
    <t>Table S2. New Zealand restraint events by day, type and duration</t>
  </si>
  <si>
    <t>Number of people of all ages restrained per 1 M population in 2017</t>
  </si>
  <si>
    <t>Number of people in hospital</t>
  </si>
  <si>
    <t>percent of people restrained</t>
  </si>
  <si>
    <t>Bay of Plenty</t>
  </si>
  <si>
    <t>Hutt</t>
  </si>
  <si>
    <t>Lakes District</t>
  </si>
  <si>
    <t>Mid-Central</t>
  </si>
  <si>
    <t>West Coast</t>
  </si>
  <si>
    <t>Total mechanical used for one year in NZ in mental health services</t>
  </si>
  <si>
    <t>Population of 15-64 year olds in millions in 2008</t>
  </si>
  <si>
    <t>population of 15-64 in 2008 in each DHB</t>
  </si>
  <si>
    <t>Ashburn*</t>
  </si>
  <si>
    <t>* Ashburn is a private psychiatric facility that is not part of the DHB system</t>
  </si>
  <si>
    <t xml:space="preserve">Canterbury </t>
  </si>
  <si>
    <t>Number of bed-nights in all DHB acute mental health wards (**)</t>
  </si>
  <si>
    <t>** Below from 2017 report: office-of-the-director-of-mental-health-and-addiction-services-annual-report-2017.docx</t>
  </si>
  <si>
    <t>country</t>
  </si>
  <si>
    <t>N HBIPS-2 Overall Rate of hours of restraint Per 1000 hours in hospital]</t>
  </si>
  <si>
    <t>N HBIPS-2 Overall Numerator in hours</t>
  </si>
  <si>
    <t>N HBIPS-2 Overall Denominator in days</t>
  </si>
  <si>
    <t>dates covered</t>
  </si>
  <si>
    <t>age range</t>
  </si>
  <si>
    <t>population of age range studied in millions</t>
  </si>
  <si>
    <t>Total duration of restraints during the year in days</t>
  </si>
  <si>
    <t>number of restraints per year</t>
  </si>
  <si>
    <t>number of restraints per day</t>
  </si>
  <si>
    <t>number of restraints per day per 1,000,000 people</t>
  </si>
  <si>
    <t xml:space="preserve"> number of people restrained on one day</t>
  </si>
  <si>
    <t>Numbers of mechanical restraint events per day per million people assuming 71.4% of restraints are from devices</t>
  </si>
  <si>
    <t>raw total number of restraint events in the year</t>
  </si>
  <si>
    <t>number of restraints per 1,000,000 population per year</t>
  </si>
  <si>
    <t>number of restraints per 1,000,000 population per day</t>
  </si>
  <si>
    <t>average numbers of restraints per day comared to AUS rates</t>
  </si>
  <si>
    <t>multiplier for regional data</t>
  </si>
  <si>
    <t xml:space="preserve">number of mechanical restraints per 1000 bed-days </t>
  </si>
  <si>
    <t>USA</t>
  </si>
  <si>
    <t>calendar year 2017</t>
  </si>
  <si>
    <t>general</t>
  </si>
  <si>
    <t>NZ</t>
  </si>
  <si>
    <t>15-64</t>
  </si>
  <si>
    <t>Japan--all ages, all restrained</t>
  </si>
  <si>
    <t>Japan only 20-64 yrs, all restrained</t>
  </si>
  <si>
    <t>Australia</t>
  </si>
  <si>
    <t>2016-2017 (same in 2015-2016 and 2017-2018</t>
  </si>
  <si>
    <t>References:</t>
  </si>
  <si>
    <t>USA restraints: https://data.medicare.gov/Hospital-Compare/Inpatient-Psychiatric-Facility-Quality-Measure-Dat/s5xg-sys6</t>
  </si>
  <si>
    <t>USA population: https://www.census.gov/data/tables/time-series/demo/popest/2010s-national-total.html</t>
  </si>
  <si>
    <t xml:space="preserve">Australia Restraints: https://www.aihw.gov.au/reports/mental-health-services/mental-health-services-in-australia/report-contents/restrictive-practices.  </t>
  </si>
  <si>
    <t>Australia Population: https://www.abs.gov.au/AUSSTATS/abs@.nsf/mf/3218.0</t>
  </si>
  <si>
    <t>NZ:  Table S1</t>
  </si>
  <si>
    <t>Japan Restraints: https://www.ncnp.go.jp/nimh/seisaku/data/</t>
  </si>
  <si>
    <t xml:space="preserve">Japan Population: </t>
  </si>
  <si>
    <t xml:space="preserve">NZ patient bed-days in 2017: </t>
  </si>
  <si>
    <t>Office of the directory of mental health and addiction services Annual Report 2017 p. 49: 241,830 bed-nights for NZ adult mental health services</t>
  </si>
  <si>
    <t>Table S7</t>
  </si>
  <si>
    <t>Calculation for comparison of countries</t>
  </si>
  <si>
    <t>USA Long event durations for restraints followed by injurious assaults</t>
  </si>
  <si>
    <t xml:space="preserve">and https://data.medicare.gov/Hospital-Compare/Veterans-Health-Administration-Behavioral-Health-D/6qxe-iqz8  </t>
  </si>
  <si>
    <t>mean duration of restraints in days (using duration of 4.06 hrs per restraint from Table S5)</t>
  </si>
  <si>
    <t>Table S3. US restraint durations by type as reported to the National Database of Nursing Quality Indicators® in 2017 for restraints following injurious assaults</t>
  </si>
  <si>
    <t>Table S4. US restraint durations as reported to National Database of Nursing Quality Indicators® in 2017 for restraints following injurious assaults</t>
  </si>
  <si>
    <t>average in each country's standard reporting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</si>
</sst>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0.00000"/>
    <numFmt numFmtId="165" formatCode="0.000"/>
    <numFmt numFmtId="166" formatCode="0.0%"/>
    <numFmt numFmtId="167" formatCode="#,##0_ "/>
    <numFmt numFmtId="168" formatCode="#,##0.00_ ;\-#,##0.00\ "/>
    <numFmt numFmtId="169" formatCode="0.0000"/>
    <numFmt numFmtId="170" formatCode="0.0"/>
    <numFmt numFmtId="171" formatCode="#,##0.0_ ;\-#,##0.0\ "/>
  </numFmts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0.5"/>
      <color theme="1"/>
      <name val="Segoe UI"/>
      <family val="2"/>
    </font>
    <font>
      <vertAlign val="superscript"/>
      <sz val="10.5"/>
      <color theme="1"/>
      <name val="Segoe UI"/>
      <family val="2"/>
    </font>
    <font>
      <sz val="8.5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theme="1"/>
      <name val="Meiryo UI"/>
      <family val="3"/>
      <charset val="128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0" fontId="4" fillId="0" borderId="0"/>
    <xf numFmtId="0" fontId="4" fillId="0" borderId="0"/>
    <xf numFmtId="0" fontId="5" fillId="0" borderId="0">
      <alignment vertical="center"/>
    </xf>
    <xf numFmtId="41" fontId="1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3" fontId="0" fillId="0" borderId="0" xfId="0" applyNumberFormat="1"/>
    <xf numFmtId="0" fontId="0" fillId="0" borderId="0" xfId="0" applyFill="1"/>
    <xf numFmtId="0" fontId="1" fillId="0" borderId="0" xfId="1"/>
    <xf numFmtId="164" fontId="0" fillId="0" borderId="0" xfId="0" applyNumberFormat="1"/>
    <xf numFmtId="0" fontId="3" fillId="0" borderId="0" xfId="0" applyFont="1"/>
    <xf numFmtId="14" fontId="0" fillId="0" borderId="0" xfId="0" applyNumberFormat="1"/>
    <xf numFmtId="0" fontId="6" fillId="0" borderId="0" xfId="0" applyFont="1"/>
    <xf numFmtId="0" fontId="1" fillId="0" borderId="0" xfId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165" fontId="0" fillId="0" borderId="0" xfId="0" applyNumberFormat="1"/>
    <xf numFmtId="164" fontId="3" fillId="0" borderId="0" xfId="2" applyNumberFormat="1" applyFont="1" applyFill="1" applyBorder="1" applyAlignment="1">
      <alignment horizontal="right"/>
    </xf>
    <xf numFmtId="16" fontId="0" fillId="0" borderId="0" xfId="0" applyNumberFormat="1"/>
    <xf numFmtId="18" fontId="0" fillId="0" borderId="0" xfId="0" applyNumberFormat="1"/>
    <xf numFmtId="49" fontId="0" fillId="0" borderId="0" xfId="0" applyNumberFormat="1"/>
    <xf numFmtId="20" fontId="0" fillId="0" borderId="0" xfId="0" applyNumberFormat="1"/>
    <xf numFmtId="14" fontId="0" fillId="0" borderId="0" xfId="0" applyNumberFormat="1" applyFill="1"/>
    <xf numFmtId="20" fontId="0" fillId="0" borderId="0" xfId="0" applyNumberFormat="1" applyFill="1"/>
    <xf numFmtId="0" fontId="3" fillId="0" borderId="0" xfId="1" applyFont="1" applyAlignment="1">
      <alignment wrapText="1"/>
    </xf>
    <xf numFmtId="0" fontId="0" fillId="0" borderId="0" xfId="0" applyAlignment="1">
      <alignment horizontal="right"/>
    </xf>
    <xf numFmtId="166" fontId="0" fillId="0" borderId="0" xfId="0" applyNumberFormat="1"/>
    <xf numFmtId="2" fontId="0" fillId="0" borderId="0" xfId="0" applyNumberFormat="1"/>
    <xf numFmtId="0" fontId="9" fillId="0" borderId="0" xfId="0" applyFont="1"/>
    <xf numFmtId="1" fontId="0" fillId="0" borderId="0" xfId="0" applyNumberFormat="1" applyAlignment="1">
      <alignment wrapText="1"/>
    </xf>
    <xf numFmtId="3" fontId="11" fillId="0" borderId="0" xfId="8" applyNumberFormat="1" applyFont="1" applyFill="1" applyBorder="1" applyAlignment="1">
      <alignment vertical="top"/>
    </xf>
    <xf numFmtId="37" fontId="12" fillId="0" borderId="0" xfId="0" applyNumberFormat="1" applyFont="1" applyBorder="1" applyAlignment="1">
      <alignment vertical="center"/>
    </xf>
    <xf numFmtId="37" fontId="0" fillId="0" borderId="0" xfId="0" applyNumberFormat="1"/>
    <xf numFmtId="37" fontId="0" fillId="0" borderId="0" xfId="0" applyNumberFormat="1" applyBorder="1"/>
    <xf numFmtId="0" fontId="13" fillId="2" borderId="0" xfId="0" applyFont="1" applyFill="1" applyBorder="1" applyAlignment="1">
      <alignment horizontal="left"/>
    </xf>
    <xf numFmtId="0" fontId="14" fillId="0" borderId="0" xfId="5" applyFont="1" applyBorder="1" applyAlignment="1">
      <alignment vertical="center" wrapText="1"/>
    </xf>
    <xf numFmtId="167" fontId="14" fillId="0" borderId="0" xfId="5" applyNumberFormat="1" applyFont="1" applyBorder="1" applyAlignment="1">
      <alignment vertical="center" wrapText="1"/>
    </xf>
    <xf numFmtId="0" fontId="15" fillId="0" borderId="0" xfId="0" applyFont="1" applyBorder="1"/>
    <xf numFmtId="167" fontId="14" fillId="0" borderId="0" xfId="5" applyNumberFormat="1" applyFont="1" applyFill="1" applyBorder="1" applyAlignment="1">
      <alignment vertical="center"/>
    </xf>
    <xf numFmtId="0" fontId="14" fillId="0" borderId="0" xfId="5" applyFont="1" applyBorder="1" applyAlignment="1">
      <alignment vertical="center"/>
    </xf>
    <xf numFmtId="167" fontId="14" fillId="0" borderId="0" xfId="0" applyNumberFormat="1" applyFont="1" applyFill="1" applyBorder="1" applyAlignment="1" applyProtection="1">
      <alignment vertical="center"/>
      <protection locked="0"/>
    </xf>
    <xf numFmtId="167" fontId="14" fillId="0" borderId="0" xfId="5" applyNumberFormat="1" applyFont="1" applyBorder="1" applyAlignment="1">
      <alignment vertical="center"/>
    </xf>
    <xf numFmtId="0" fontId="14" fillId="0" borderId="0" xfId="6" applyFont="1" applyBorder="1" applyAlignment="1">
      <alignment vertical="center"/>
    </xf>
    <xf numFmtId="167" fontId="14" fillId="0" borderId="0" xfId="6" applyNumberFormat="1" applyFont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7" fontId="15" fillId="0" borderId="0" xfId="7" applyNumberFormat="1" applyFont="1" applyFill="1" applyBorder="1">
      <alignment vertical="center"/>
    </xf>
    <xf numFmtId="0" fontId="15" fillId="0" borderId="0" xfId="0" applyFont="1"/>
    <xf numFmtId="0" fontId="0" fillId="0" borderId="0" xfId="0" applyBorder="1"/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37" fontId="15" fillId="0" borderId="0" xfId="0" applyNumberFormat="1" applyFont="1" applyBorder="1" applyAlignment="1">
      <alignment vertical="center"/>
    </xf>
    <xf numFmtId="168" fontId="15" fillId="0" borderId="0" xfId="0" applyNumberFormat="1" applyFont="1" applyBorder="1" applyAlignment="1">
      <alignment vertical="center"/>
    </xf>
    <xf numFmtId="37" fontId="15" fillId="0" borderId="0" xfId="0" applyNumberFormat="1" applyFont="1" applyBorder="1"/>
    <xf numFmtId="167" fontId="0" fillId="0" borderId="0" xfId="0" applyNumberFormat="1"/>
    <xf numFmtId="37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3" fontId="15" fillId="0" borderId="0" xfId="0" applyNumberFormat="1" applyFont="1"/>
    <xf numFmtId="0" fontId="16" fillId="0" borderId="0" xfId="1" applyFont="1"/>
    <xf numFmtId="37" fontId="15" fillId="0" borderId="0" xfId="0" applyNumberFormat="1" applyFont="1"/>
    <xf numFmtId="37" fontId="15" fillId="0" borderId="0" xfId="0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1" fontId="0" fillId="3" borderId="0" xfId="0" applyNumberFormat="1" applyFill="1"/>
    <xf numFmtId="1" fontId="3" fillId="3" borderId="0" xfId="1" applyNumberFormat="1" applyFont="1" applyFill="1" applyAlignment="1">
      <alignment wrapText="1"/>
    </xf>
    <xf numFmtId="165" fontId="0" fillId="3" borderId="0" xfId="0" applyNumberFormat="1" applyFill="1"/>
    <xf numFmtId="0" fontId="3" fillId="0" borderId="0" xfId="0" applyFont="1" applyAlignment="1">
      <alignment wrapText="1"/>
    </xf>
    <xf numFmtId="0" fontId="3" fillId="0" borderId="0" xfId="1" applyFont="1"/>
    <xf numFmtId="15" fontId="0" fillId="0" borderId="0" xfId="0" applyNumberFormat="1"/>
    <xf numFmtId="1" fontId="3" fillId="0" borderId="0" xfId="1" applyNumberFormat="1" applyFont="1"/>
    <xf numFmtId="2" fontId="3" fillId="0" borderId="0" xfId="1" applyNumberFormat="1" applyFont="1"/>
    <xf numFmtId="165" fontId="3" fillId="0" borderId="0" xfId="1" applyNumberFormat="1" applyFont="1"/>
    <xf numFmtId="169" fontId="3" fillId="0" borderId="0" xfId="1" applyNumberFormat="1" applyFont="1"/>
    <xf numFmtId="170" fontId="3" fillId="0" borderId="0" xfId="1" applyNumberFormat="1" applyFont="1"/>
    <xf numFmtId="171" fontId="0" fillId="0" borderId="0" xfId="0" applyNumberFormat="1" applyFont="1" applyBorder="1" applyAlignment="1">
      <alignment vertical="center"/>
    </xf>
    <xf numFmtId="171" fontId="0" fillId="0" borderId="0" xfId="0" applyNumberFormat="1"/>
  </cellXfs>
  <cellStyles count="9">
    <cellStyle name="Comma [0]" xfId="8" builtinId="6"/>
    <cellStyle name="Hyperlink" xfId="1" builtinId="8"/>
    <cellStyle name="Normal" xfId="0" builtinId="0"/>
    <cellStyle name="Normal 10" xfId="3"/>
    <cellStyle name="Normal 106" xfId="4"/>
    <cellStyle name="Normal 2" xfId="7"/>
    <cellStyle name="Normal 3" xfId="2"/>
    <cellStyle name="標準 2" xfId="5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S2'!$S$2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S2'!$A$3:$A$7</c:f>
              <c:strCache>
                <c:ptCount val="5"/>
                <c:pt idx="0">
                  <c:v>DHB</c:v>
                </c:pt>
                <c:pt idx="1">
                  <c:v>Auckland</c:v>
                </c:pt>
                <c:pt idx="2">
                  <c:v>Auckland</c:v>
                </c:pt>
                <c:pt idx="4">
                  <c:v>CCDHB</c:v>
                </c:pt>
              </c:strCache>
            </c:strRef>
          </c:cat>
          <c:val>
            <c:numRef>
              <c:f>'Table S2'!$S$3:$S$6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02F-4722-9D13-4A857979A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97352640"/>
        <c:axId val="-1597351552"/>
      </c:barChart>
      <c:catAx>
        <c:axId val="-15973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7351552"/>
        <c:crosses val="autoZero"/>
        <c:auto val="1"/>
        <c:lblAlgn val="ctr"/>
        <c:lblOffset val="100"/>
        <c:noMultiLvlLbl val="0"/>
      </c:catAx>
      <c:valAx>
        <c:axId val="-15973515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73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377190</xdr:colOff>
      <xdr:row>8</xdr:row>
      <xdr:rowOff>7620</xdr:rowOff>
    </xdr:from>
    <xdr:to>
      <xdr:col>30</xdr:col>
      <xdr:colOff>72390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at.go.jp/english/data/nenkan/66nenkan/1431-02.html" TargetMode="External"/><Relationship Id="rId1" Type="http://schemas.openxmlformats.org/officeDocument/2006/relationships/hyperlink" Target="https://www.statista.com/statistics/610928/japan-population-by-prefectur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tat.go.jp/english/data/jinsui/2017np/index.html" TargetMode="External"/><Relationship Id="rId1" Type="http://schemas.openxmlformats.org/officeDocument/2006/relationships/hyperlink" Target="https://data.worldbank.org/indicator/SP.POP.TOTL?locations=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.go.jp/english/data/nenkan/66nenkan/1431-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7" sqref="A7"/>
    </sheetView>
  </sheetViews>
  <sheetFormatPr defaultRowHeight="15"/>
  <sheetData>
    <row r="1" spans="1:2">
      <c r="A1" t="s">
        <v>0</v>
      </c>
    </row>
    <row r="2" spans="1:2">
      <c r="A2" s="5" t="s">
        <v>27</v>
      </c>
      <c r="B2" t="s">
        <v>21</v>
      </c>
    </row>
    <row r="3" spans="1:2">
      <c r="A3" s="5" t="s">
        <v>28</v>
      </c>
      <c r="B3" t="s">
        <v>44</v>
      </c>
    </row>
    <row r="4" spans="1:2">
      <c r="A4" s="5" t="s">
        <v>262</v>
      </c>
      <c r="B4" t="s">
        <v>24</v>
      </c>
    </row>
    <row r="5" spans="1:2">
      <c r="A5" s="5" t="s">
        <v>263</v>
      </c>
      <c r="B5" t="s">
        <v>322</v>
      </c>
    </row>
    <row r="6" spans="1:2">
      <c r="A6" s="5" t="s">
        <v>232</v>
      </c>
      <c r="B6" t="s">
        <v>143</v>
      </c>
    </row>
    <row r="7" spans="1:2">
      <c r="A7" s="5" t="s">
        <v>261</v>
      </c>
      <c r="B7" t="s">
        <v>144</v>
      </c>
    </row>
    <row r="8" spans="1:2">
      <c r="A8" s="5" t="s">
        <v>320</v>
      </c>
      <c r="B8" t="s">
        <v>321</v>
      </c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</sheetData>
  <hyperlinks>
    <hyperlink ref="A2" location="'Table S1'!A1" display="Table S1"/>
    <hyperlink ref="A3" location="'Table S2'!A1" display="Table S2"/>
    <hyperlink ref="A6" location="'Table S5'!A1" display="Table S5"/>
    <hyperlink ref="A7" location="'Table S6'!A1" display="Table S6"/>
    <hyperlink ref="A4" location="'Table S3'!A1" display="Table S3 "/>
    <hyperlink ref="A5" location="'Table S4'!A1" display="Table S4 "/>
    <hyperlink ref="A8" location="'Table S7'!A1" display="Table S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E1" workbookViewId="0">
      <pane ySplit="2" topLeftCell="A12" activePane="bottomLeft" state="frozen"/>
      <selection pane="bottomLeft" activeCell="P23" sqref="P23"/>
    </sheetView>
  </sheetViews>
  <sheetFormatPr defaultRowHeight="15"/>
  <cols>
    <col min="1" max="1" width="21.85546875" customWidth="1"/>
    <col min="2" max="3" width="17.28515625" customWidth="1"/>
    <col min="4" max="4" width="15.7109375" customWidth="1"/>
    <col min="5" max="5" width="8.85546875" customWidth="1"/>
    <col min="8" max="8" width="8.85546875" customWidth="1"/>
  </cols>
  <sheetData>
    <row r="1" spans="1:11">
      <c r="A1" t="s">
        <v>264</v>
      </c>
    </row>
    <row r="2" spans="1:11" ht="210">
      <c r="A2" t="s">
        <v>1</v>
      </c>
      <c r="B2" s="1" t="s">
        <v>37</v>
      </c>
      <c r="C2" s="62" t="s">
        <v>276</v>
      </c>
      <c r="D2" s="1" t="s">
        <v>38</v>
      </c>
      <c r="E2" s="1" t="s">
        <v>42</v>
      </c>
      <c r="F2" s="1" t="s">
        <v>39</v>
      </c>
      <c r="G2" s="1"/>
      <c r="H2" s="24" t="s">
        <v>97</v>
      </c>
      <c r="I2" s="1" t="s">
        <v>98</v>
      </c>
      <c r="K2" s="62"/>
    </row>
    <row r="3" spans="1:11" s="61" customFormat="1">
      <c r="A3" s="61" t="s">
        <v>277</v>
      </c>
      <c r="B3" s="62">
        <v>0</v>
      </c>
      <c r="C3" s="62"/>
      <c r="D3" s="62">
        <v>0</v>
      </c>
      <c r="E3" s="63"/>
      <c r="F3" s="62">
        <v>0</v>
      </c>
      <c r="G3" s="62"/>
      <c r="H3" s="64">
        <v>0</v>
      </c>
      <c r="I3" s="65">
        <f t="shared" ref="I3:I24" si="0">H3/365</f>
        <v>0</v>
      </c>
    </row>
    <row r="4" spans="1:11">
      <c r="A4" t="s">
        <v>2</v>
      </c>
      <c r="B4">
        <v>2</v>
      </c>
      <c r="D4">
        <v>0</v>
      </c>
      <c r="E4">
        <v>338015.1</v>
      </c>
      <c r="F4">
        <v>0</v>
      </c>
      <c r="H4" s="2">
        <f>D4/E4*1000000</f>
        <v>0</v>
      </c>
      <c r="I4" s="16">
        <f t="shared" si="0"/>
        <v>0</v>
      </c>
    </row>
    <row r="5" spans="1:11">
      <c r="A5" s="61" t="s">
        <v>269</v>
      </c>
      <c r="B5">
        <v>0</v>
      </c>
      <c r="D5">
        <v>0</v>
      </c>
      <c r="E5">
        <v>138942.6</v>
      </c>
      <c r="F5">
        <v>0</v>
      </c>
      <c r="H5" s="2">
        <f>D5/E5*1000000</f>
        <v>0</v>
      </c>
      <c r="I5" s="16">
        <f t="shared" si="0"/>
        <v>0</v>
      </c>
      <c r="K5" s="61"/>
    </row>
    <row r="6" spans="1:11">
      <c r="A6" s="61" t="s">
        <v>279</v>
      </c>
      <c r="B6">
        <v>0</v>
      </c>
      <c r="D6">
        <v>0</v>
      </c>
      <c r="E6">
        <v>354526.2</v>
      </c>
      <c r="F6">
        <v>0</v>
      </c>
      <c r="H6" s="2">
        <f>D6/E6*1000000</f>
        <v>0</v>
      </c>
      <c r="I6" s="16">
        <f t="shared" si="0"/>
        <v>0</v>
      </c>
      <c r="K6" s="61"/>
    </row>
    <row r="7" spans="1:11">
      <c r="A7" t="s">
        <v>4</v>
      </c>
      <c r="B7">
        <v>0</v>
      </c>
      <c r="D7">
        <v>1</v>
      </c>
      <c r="E7">
        <v>211507.8</v>
      </c>
      <c r="F7">
        <v>0</v>
      </c>
      <c r="H7" s="2">
        <f t="shared" ref="H7:H23" si="1">(D7/E7)*1000000</f>
        <v>4.7279580232974867</v>
      </c>
      <c r="I7" s="16">
        <f t="shared" si="0"/>
        <v>1.2953309652869827E-2</v>
      </c>
    </row>
    <row r="8" spans="1:11">
      <c r="A8" t="s">
        <v>5</v>
      </c>
      <c r="B8">
        <v>0</v>
      </c>
      <c r="D8">
        <v>1</v>
      </c>
      <c r="E8">
        <v>342111.9</v>
      </c>
      <c r="F8">
        <v>1</v>
      </c>
      <c r="H8" s="2">
        <f t="shared" si="1"/>
        <v>2.9230202164847228</v>
      </c>
      <c r="I8" s="16">
        <f t="shared" si="0"/>
        <v>8.0082745657115689E-3</v>
      </c>
    </row>
    <row r="9" spans="1:11">
      <c r="A9" t="s">
        <v>6</v>
      </c>
      <c r="B9">
        <v>0</v>
      </c>
      <c r="D9">
        <v>0</v>
      </c>
      <c r="E9">
        <v>102094.8</v>
      </c>
      <c r="F9">
        <v>0</v>
      </c>
      <c r="H9" s="2">
        <f t="shared" si="1"/>
        <v>0</v>
      </c>
      <c r="I9" s="16">
        <f t="shared" si="0"/>
        <v>0</v>
      </c>
    </row>
    <row r="10" spans="1:11">
      <c r="A10" t="s">
        <v>270</v>
      </c>
      <c r="B10">
        <v>0</v>
      </c>
      <c r="D10">
        <v>0</v>
      </c>
      <c r="E10">
        <v>96326.1</v>
      </c>
      <c r="F10">
        <v>0</v>
      </c>
      <c r="H10" s="2">
        <f t="shared" si="1"/>
        <v>0</v>
      </c>
      <c r="I10" s="16">
        <f t="shared" si="0"/>
        <v>0</v>
      </c>
      <c r="K10" s="61"/>
    </row>
    <row r="11" spans="1:11">
      <c r="A11" t="s">
        <v>271</v>
      </c>
      <c r="B11" s="25">
        <v>0</v>
      </c>
      <c r="D11">
        <v>0</v>
      </c>
      <c r="E11">
        <v>70612.5</v>
      </c>
      <c r="F11">
        <v>10</v>
      </c>
      <c r="H11" s="2">
        <f t="shared" si="1"/>
        <v>0</v>
      </c>
      <c r="I11" s="16">
        <f t="shared" si="0"/>
        <v>0</v>
      </c>
      <c r="K11" s="61"/>
    </row>
    <row r="12" spans="1:11">
      <c r="A12" t="s">
        <v>272</v>
      </c>
      <c r="B12">
        <v>0</v>
      </c>
      <c r="D12">
        <v>15</v>
      </c>
      <c r="E12">
        <v>107761.8</v>
      </c>
      <c r="F12">
        <v>1</v>
      </c>
      <c r="H12" s="2">
        <f t="shared" si="1"/>
        <v>139.19589316436807</v>
      </c>
      <c r="I12" s="16">
        <f t="shared" si="0"/>
        <v>0.38135861140922761</v>
      </c>
      <c r="K12" s="61"/>
    </row>
    <row r="13" spans="1:11">
      <c r="A13" t="s">
        <v>8</v>
      </c>
      <c r="B13">
        <v>0</v>
      </c>
      <c r="D13">
        <v>0</v>
      </c>
      <c r="E13">
        <v>96868.2</v>
      </c>
      <c r="F13">
        <v>0</v>
      </c>
      <c r="H13" s="2">
        <f t="shared" si="1"/>
        <v>0</v>
      </c>
      <c r="I13" s="16">
        <f t="shared" si="0"/>
        <v>0</v>
      </c>
    </row>
    <row r="14" spans="1:11">
      <c r="A14" t="s">
        <v>9</v>
      </c>
      <c r="B14">
        <v>0</v>
      </c>
      <c r="D14">
        <v>0</v>
      </c>
      <c r="E14">
        <v>103182</v>
      </c>
      <c r="F14">
        <v>0</v>
      </c>
      <c r="H14" s="2">
        <f t="shared" si="1"/>
        <v>0</v>
      </c>
      <c r="I14" s="16">
        <f t="shared" si="0"/>
        <v>0</v>
      </c>
    </row>
    <row r="15" spans="1:11">
      <c r="A15" t="s">
        <v>10</v>
      </c>
      <c r="B15">
        <v>0</v>
      </c>
      <c r="D15">
        <v>0</v>
      </c>
      <c r="E15">
        <v>37842</v>
      </c>
      <c r="F15">
        <v>0</v>
      </c>
      <c r="H15" s="2">
        <f t="shared" si="1"/>
        <v>0</v>
      </c>
      <c r="I15" s="16">
        <f t="shared" si="0"/>
        <v>0</v>
      </c>
    </row>
    <row r="16" spans="1:11">
      <c r="A16" t="s">
        <v>11</v>
      </c>
      <c r="B16">
        <v>0</v>
      </c>
      <c r="D16">
        <v>3</v>
      </c>
      <c r="E16">
        <v>223392.6</v>
      </c>
      <c r="F16">
        <v>0</v>
      </c>
      <c r="H16" s="2">
        <f t="shared" si="1"/>
        <v>13.429272052879101</v>
      </c>
      <c r="I16" s="16">
        <f t="shared" si="0"/>
        <v>3.6792526172271509E-2</v>
      </c>
    </row>
    <row r="17" spans="1:11">
      <c r="A17" t="s">
        <v>12</v>
      </c>
      <c r="B17">
        <v>0</v>
      </c>
      <c r="D17">
        <v>0</v>
      </c>
      <c r="E17">
        <v>28333.8</v>
      </c>
      <c r="F17">
        <v>0</v>
      </c>
      <c r="H17" s="2">
        <f t="shared" si="1"/>
        <v>0</v>
      </c>
      <c r="I17" s="16">
        <f t="shared" si="0"/>
        <v>0</v>
      </c>
    </row>
    <row r="18" spans="1:11">
      <c r="A18" t="s">
        <v>13</v>
      </c>
      <c r="B18">
        <v>0</v>
      </c>
      <c r="D18">
        <v>0</v>
      </c>
      <c r="E18">
        <v>71760.600000000006</v>
      </c>
      <c r="F18">
        <v>17</v>
      </c>
      <c r="H18" s="2">
        <f t="shared" si="1"/>
        <v>0</v>
      </c>
      <c r="I18" s="16">
        <f t="shared" si="0"/>
        <v>0</v>
      </c>
    </row>
    <row r="19" spans="1:11">
      <c r="A19" t="s">
        <v>14</v>
      </c>
      <c r="B19">
        <v>2</v>
      </c>
      <c r="D19">
        <v>14</v>
      </c>
      <c r="E19">
        <v>252242.1</v>
      </c>
      <c r="F19">
        <v>23</v>
      </c>
      <c r="H19" s="2">
        <f t="shared" si="1"/>
        <v>55.502233766686849</v>
      </c>
      <c r="I19" s="16">
        <f t="shared" si="0"/>
        <v>0.15206091442927905</v>
      </c>
    </row>
    <row r="20" spans="1:11">
      <c r="A20" t="s">
        <v>15</v>
      </c>
      <c r="B20">
        <v>0</v>
      </c>
      <c r="D20" s="4">
        <v>0</v>
      </c>
      <c r="E20">
        <v>26612.7</v>
      </c>
      <c r="F20">
        <v>0</v>
      </c>
      <c r="H20" s="2">
        <f t="shared" si="1"/>
        <v>0</v>
      </c>
      <c r="I20" s="16">
        <f t="shared" si="0"/>
        <v>0</v>
      </c>
    </row>
    <row r="21" spans="1:11">
      <c r="A21" t="s">
        <v>16</v>
      </c>
      <c r="B21">
        <v>0</v>
      </c>
      <c r="D21">
        <v>0</v>
      </c>
      <c r="E21">
        <v>381155.4</v>
      </c>
      <c r="F21">
        <v>0</v>
      </c>
      <c r="H21" s="2">
        <f t="shared" si="1"/>
        <v>0</v>
      </c>
      <c r="I21" s="16">
        <f t="shared" si="0"/>
        <v>0</v>
      </c>
    </row>
    <row r="22" spans="1:11">
      <c r="A22" s="61" t="s">
        <v>273</v>
      </c>
      <c r="B22">
        <v>0</v>
      </c>
      <c r="D22">
        <v>0</v>
      </c>
      <c r="E22">
        <v>22829.7</v>
      </c>
      <c r="F22">
        <v>0</v>
      </c>
      <c r="H22" s="2">
        <f t="shared" si="1"/>
        <v>0</v>
      </c>
      <c r="I22" s="16">
        <f t="shared" si="0"/>
        <v>0</v>
      </c>
      <c r="K22" s="61"/>
    </row>
    <row r="23" spans="1:11">
      <c r="A23" t="s">
        <v>17</v>
      </c>
      <c r="B23">
        <v>0</v>
      </c>
      <c r="D23">
        <v>0</v>
      </c>
      <c r="E23">
        <v>39357.9</v>
      </c>
      <c r="F23">
        <v>0</v>
      </c>
      <c r="H23" s="2">
        <f t="shared" si="1"/>
        <v>0</v>
      </c>
      <c r="I23" s="16">
        <f t="shared" si="0"/>
        <v>0</v>
      </c>
    </row>
    <row r="24" spans="1:11">
      <c r="A24" t="s">
        <v>41</v>
      </c>
      <c r="C24">
        <v>2783156.1428571427</v>
      </c>
      <c r="E24">
        <v>3046450.8</v>
      </c>
      <c r="G24">
        <v>3128046</v>
      </c>
      <c r="H24" s="2"/>
      <c r="I24" s="16">
        <f t="shared" si="0"/>
        <v>0</v>
      </c>
      <c r="K24" s="4"/>
    </row>
    <row r="25" spans="1:11">
      <c r="E25" s="2"/>
      <c r="H25" s="2"/>
      <c r="I25" s="16"/>
    </row>
    <row r="26" spans="1:11">
      <c r="A26" t="s">
        <v>278</v>
      </c>
      <c r="E26" s="2"/>
      <c r="H26" s="2"/>
      <c r="I26" s="16"/>
    </row>
    <row r="27" spans="1:11">
      <c r="B27" s="3"/>
      <c r="C27" s="3"/>
    </row>
    <row r="28" spans="1:11" ht="45">
      <c r="A28" s="1" t="s">
        <v>274</v>
      </c>
      <c r="B28" s="13">
        <f>SUM(B4:B23)</f>
        <v>4</v>
      </c>
      <c r="C28" s="13"/>
      <c r="D28" s="13">
        <f>SUM(D4:D23)</f>
        <v>34</v>
      </c>
      <c r="F28" s="13">
        <f>SUM(F4:F23)</f>
        <v>52</v>
      </c>
      <c r="G28" s="13"/>
    </row>
    <row r="29" spans="1:11" ht="45">
      <c r="A29" s="1" t="s">
        <v>275</v>
      </c>
      <c r="B29" s="17">
        <f>C24/1000000</f>
        <v>2.7831561428571425</v>
      </c>
      <c r="C29" s="17"/>
      <c r="D29" s="15">
        <v>3.05</v>
      </c>
      <c r="F29" s="17">
        <v>3.13</v>
      </c>
      <c r="G29" s="17"/>
    </row>
    <row r="30" spans="1:11" ht="45">
      <c r="A30" s="1" t="s">
        <v>19</v>
      </c>
      <c r="B30" s="14">
        <f>B28/B29</f>
        <v>1.4372172435477031</v>
      </c>
      <c r="C30" s="14"/>
      <c r="D30" s="13">
        <f>D28/D29</f>
        <v>11.147540983606557</v>
      </c>
      <c r="E30" s="5"/>
      <c r="F30" s="14">
        <f>F28/F29</f>
        <v>16.613418530351439</v>
      </c>
      <c r="G30" s="14"/>
    </row>
    <row r="31" spans="1:11" ht="30">
      <c r="A31" s="1" t="s">
        <v>20</v>
      </c>
      <c r="B31" s="14">
        <f>B30/365</f>
        <v>3.9375814891717889E-3</v>
      </c>
      <c r="C31" s="14"/>
      <c r="D31" s="13">
        <f>D30/365</f>
        <v>3.0541208174264541E-2</v>
      </c>
      <c r="F31" s="13">
        <f>F30/365</f>
        <v>4.5516215151647776E-2</v>
      </c>
      <c r="G31" s="13"/>
    </row>
    <row r="32" spans="1:11" ht="45">
      <c r="A32" s="1" t="s">
        <v>280</v>
      </c>
      <c r="B32" s="6"/>
      <c r="C32" s="6"/>
      <c r="D32">
        <v>241830</v>
      </c>
    </row>
    <row r="33" spans="1:4" ht="45">
      <c r="A33" s="1" t="s">
        <v>35</v>
      </c>
      <c r="B33" s="6"/>
      <c r="C33" s="6"/>
      <c r="D33">
        <f>D28/D32*1000</f>
        <v>0.14059463259314395</v>
      </c>
    </row>
    <row r="34" spans="1:4">
      <c r="A34" s="1"/>
      <c r="B34" s="6"/>
      <c r="C34" s="6"/>
    </row>
    <row r="35" spans="1:4">
      <c r="A35" t="s">
        <v>40</v>
      </c>
      <c r="C35" t="s">
        <v>18</v>
      </c>
    </row>
    <row r="36" spans="1:4">
      <c r="A36" s="1" t="s">
        <v>106</v>
      </c>
    </row>
    <row r="37" spans="1:4">
      <c r="A37" t="s">
        <v>26</v>
      </c>
      <c r="B37" t="s">
        <v>36</v>
      </c>
      <c r="D37" t="s">
        <v>29</v>
      </c>
    </row>
    <row r="38" spans="1:4">
      <c r="A38">
        <v>2008</v>
      </c>
      <c r="B38" s="16">
        <f>B31</f>
        <v>3.9375814891717889E-3</v>
      </c>
      <c r="C38" s="16"/>
      <c r="D38">
        <f>B28</f>
        <v>4</v>
      </c>
    </row>
    <row r="39" spans="1:4">
      <c r="A39">
        <v>2016.5</v>
      </c>
      <c r="B39" s="16">
        <f>D31</f>
        <v>3.0541208174264541E-2</v>
      </c>
      <c r="C39" s="16"/>
      <c r="D39">
        <f>D28</f>
        <v>34</v>
      </c>
    </row>
    <row r="40" spans="1:4">
      <c r="A40">
        <v>2018</v>
      </c>
      <c r="B40" s="16">
        <f>F31</f>
        <v>4.5516215151647776E-2</v>
      </c>
      <c r="C40" s="16"/>
      <c r="D40">
        <f>F28</f>
        <v>52</v>
      </c>
    </row>
    <row r="42" spans="1:4">
      <c r="A42" t="s">
        <v>281</v>
      </c>
    </row>
    <row r="43" spans="1:4">
      <c r="A43" t="s">
        <v>43</v>
      </c>
    </row>
    <row r="44" spans="1:4" ht="17.25">
      <c r="A44" s="12" t="s">
        <v>31</v>
      </c>
    </row>
    <row r="45" spans="1:4">
      <c r="A45" s="10" t="s">
        <v>30</v>
      </c>
      <c r="B45" s="11" t="s">
        <v>32</v>
      </c>
      <c r="C45" s="11"/>
    </row>
    <row r="46" spans="1:4">
      <c r="A46" s="10" t="s">
        <v>33</v>
      </c>
      <c r="B46" s="11" t="s">
        <v>34</v>
      </c>
      <c r="C46" s="11"/>
    </row>
    <row r="47" spans="1:4">
      <c r="A47" s="10"/>
      <c r="B47" s="11"/>
      <c r="C47" s="11"/>
    </row>
    <row r="48" spans="1:4">
      <c r="A48" s="10"/>
      <c r="B48" s="11"/>
      <c r="C48" s="11"/>
    </row>
    <row r="49" spans="1:3" ht="15.75">
      <c r="A49" s="9"/>
      <c r="B49" s="11"/>
      <c r="C49" s="11"/>
    </row>
  </sheetData>
  <sortState ref="A4:G24">
    <sortCondition ref="A4:A24"/>
  </sortState>
  <hyperlinks>
    <hyperlink ref="A45" location="_ftnref1" display="_ftnref1"/>
    <hyperlink ref="A46" location="_ftnref2" display="_ftnref2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2" workbookViewId="0">
      <selection activeCell="A38" sqref="A38"/>
    </sheetView>
  </sheetViews>
  <sheetFormatPr defaultRowHeight="15"/>
  <cols>
    <col min="1" max="1" width="20.140625" customWidth="1"/>
    <col min="2" max="2" width="10.7109375" customWidth="1"/>
    <col min="3" max="4" width="8.85546875" customWidth="1"/>
    <col min="5" max="5" width="23.42578125" customWidth="1"/>
    <col min="6" max="12" width="8.85546875" customWidth="1"/>
    <col min="13" max="13" width="8.85546875" style="7" customWidth="1"/>
    <col min="14" max="14" width="12" style="7" customWidth="1"/>
    <col min="19" max="19" width="12" style="7" customWidth="1"/>
    <col min="20" max="20" width="12" bestFit="1" customWidth="1"/>
  </cols>
  <sheetData>
    <row r="1" spans="1:19">
      <c r="A1" t="s">
        <v>265</v>
      </c>
    </row>
    <row r="2" spans="1:19">
      <c r="A2" t="s">
        <v>45</v>
      </c>
      <c r="M2"/>
      <c r="N2"/>
      <c r="S2"/>
    </row>
    <row r="3" spans="1:19" s="1" customFormat="1" ht="30">
      <c r="A3" s="1" t="s">
        <v>1</v>
      </c>
      <c r="B3" s="1" t="s">
        <v>46</v>
      </c>
      <c r="C3" s="1" t="s">
        <v>47</v>
      </c>
      <c r="D3" s="1" t="s">
        <v>48</v>
      </c>
      <c r="E3" s="1" t="s">
        <v>49</v>
      </c>
    </row>
    <row r="4" spans="1:19">
      <c r="A4" t="s">
        <v>2</v>
      </c>
      <c r="B4">
        <v>2008</v>
      </c>
      <c r="C4" t="s">
        <v>7</v>
      </c>
      <c r="D4">
        <v>25</v>
      </c>
      <c r="E4" t="s">
        <v>50</v>
      </c>
      <c r="M4"/>
      <c r="N4"/>
      <c r="S4"/>
    </row>
    <row r="5" spans="1:19">
      <c r="A5" t="s">
        <v>2</v>
      </c>
      <c r="B5">
        <v>2008</v>
      </c>
      <c r="C5" t="s">
        <v>7</v>
      </c>
      <c r="D5">
        <v>30</v>
      </c>
      <c r="E5" t="s">
        <v>51</v>
      </c>
      <c r="J5" t="s">
        <v>52</v>
      </c>
      <c r="M5"/>
      <c r="N5"/>
      <c r="S5"/>
    </row>
    <row r="6" spans="1:19">
      <c r="M6"/>
      <c r="N6"/>
      <c r="S6"/>
    </row>
    <row r="7" spans="1:19">
      <c r="A7" t="s">
        <v>4</v>
      </c>
      <c r="B7" t="s">
        <v>22</v>
      </c>
      <c r="D7">
        <v>24</v>
      </c>
      <c r="E7" t="s">
        <v>53</v>
      </c>
      <c r="G7" t="s">
        <v>54</v>
      </c>
      <c r="J7" t="s">
        <v>55</v>
      </c>
      <c r="M7"/>
      <c r="N7"/>
      <c r="S7"/>
    </row>
    <row r="8" spans="1:19">
      <c r="M8"/>
      <c r="N8"/>
      <c r="S8"/>
    </row>
    <row r="9" spans="1:19">
      <c r="A9" t="s">
        <v>5</v>
      </c>
      <c r="B9" s="8">
        <v>42637</v>
      </c>
      <c r="C9" t="s">
        <v>3</v>
      </c>
      <c r="D9">
        <v>40</v>
      </c>
      <c r="E9" t="s">
        <v>56</v>
      </c>
      <c r="M9"/>
      <c r="N9"/>
      <c r="S9"/>
    </row>
    <row r="10" spans="1:19">
      <c r="A10" t="s">
        <v>5</v>
      </c>
      <c r="B10" s="8">
        <v>43405</v>
      </c>
      <c r="D10">
        <v>30</v>
      </c>
      <c r="E10" t="s">
        <v>56</v>
      </c>
      <c r="J10" t="s">
        <v>57</v>
      </c>
      <c r="M10"/>
      <c r="N10"/>
      <c r="S10"/>
    </row>
    <row r="11" spans="1:19">
      <c r="M11"/>
      <c r="N11"/>
      <c r="S11"/>
    </row>
    <row r="12" spans="1:19">
      <c r="A12" t="s">
        <v>58</v>
      </c>
      <c r="B12" t="s">
        <v>59</v>
      </c>
      <c r="D12">
        <f>240*60</f>
        <v>14400</v>
      </c>
      <c r="E12" t="s">
        <v>60</v>
      </c>
      <c r="F12" t="s">
        <v>61</v>
      </c>
      <c r="J12" t="s">
        <v>62</v>
      </c>
      <c r="M12"/>
      <c r="N12"/>
      <c r="S12"/>
    </row>
    <row r="13" spans="1:19">
      <c r="A13" t="s">
        <v>58</v>
      </c>
      <c r="B13" s="18">
        <v>43313</v>
      </c>
      <c r="C13" s="19">
        <v>0.45833333333333331</v>
      </c>
      <c r="D13">
        <v>60</v>
      </c>
      <c r="E13" t="s">
        <v>63</v>
      </c>
      <c r="F13" t="s">
        <v>61</v>
      </c>
      <c r="M13"/>
      <c r="N13"/>
      <c r="S13"/>
    </row>
    <row r="14" spans="1:19">
      <c r="M14"/>
      <c r="N14"/>
      <c r="S14"/>
    </row>
    <row r="15" spans="1:19">
      <c r="A15" t="s">
        <v>64</v>
      </c>
      <c r="B15" s="8">
        <v>42523</v>
      </c>
      <c r="C15" t="s">
        <v>65</v>
      </c>
      <c r="D15">
        <v>10</v>
      </c>
      <c r="E15" t="s">
        <v>66</v>
      </c>
      <c r="M15"/>
      <c r="N15"/>
      <c r="S15"/>
    </row>
    <row r="16" spans="1:19">
      <c r="A16" t="s">
        <v>64</v>
      </c>
      <c r="B16" s="8">
        <v>42527</v>
      </c>
      <c r="C16" s="19">
        <v>0.88541666666666663</v>
      </c>
      <c r="D16">
        <v>85</v>
      </c>
      <c r="E16" t="s">
        <v>67</v>
      </c>
      <c r="M16"/>
      <c r="N16"/>
      <c r="S16"/>
    </row>
    <row r="17" spans="1:19">
      <c r="A17" t="s">
        <v>64</v>
      </c>
      <c r="B17" s="8">
        <v>42530</v>
      </c>
      <c r="C17" t="s">
        <v>68</v>
      </c>
      <c r="D17">
        <v>40</v>
      </c>
      <c r="E17" t="s">
        <v>69</v>
      </c>
      <c r="M17"/>
      <c r="N17"/>
      <c r="S17"/>
    </row>
    <row r="18" spans="1:19">
      <c r="A18" t="s">
        <v>64</v>
      </c>
      <c r="B18" s="8">
        <v>42539</v>
      </c>
      <c r="C18" t="s">
        <v>70</v>
      </c>
      <c r="D18">
        <v>20</v>
      </c>
      <c r="E18" t="s">
        <v>71</v>
      </c>
      <c r="M18"/>
      <c r="N18"/>
      <c r="S18"/>
    </row>
    <row r="19" spans="1:19">
      <c r="A19" t="s">
        <v>64</v>
      </c>
      <c r="B19" s="8">
        <v>42544</v>
      </c>
      <c r="C19" t="s">
        <v>72</v>
      </c>
      <c r="D19">
        <v>30</v>
      </c>
      <c r="E19" t="s">
        <v>71</v>
      </c>
      <c r="M19"/>
      <c r="N19"/>
      <c r="S19"/>
    </row>
    <row r="20" spans="1:19">
      <c r="A20" t="s">
        <v>64</v>
      </c>
      <c r="B20" s="8">
        <v>42544</v>
      </c>
      <c r="C20" t="s">
        <v>73</v>
      </c>
      <c r="D20">
        <v>75</v>
      </c>
      <c r="E20" t="s">
        <v>71</v>
      </c>
      <c r="M20"/>
      <c r="N20"/>
      <c r="S20"/>
    </row>
    <row r="21" spans="1:19">
      <c r="A21" t="s">
        <v>64</v>
      </c>
      <c r="B21" s="8">
        <v>42585</v>
      </c>
      <c r="C21" t="s">
        <v>74</v>
      </c>
      <c r="D21">
        <v>80</v>
      </c>
      <c r="E21" t="s">
        <v>75</v>
      </c>
      <c r="M21"/>
      <c r="N21"/>
      <c r="S21"/>
    </row>
    <row r="22" spans="1:19">
      <c r="A22" t="s">
        <v>64</v>
      </c>
      <c r="B22" s="8">
        <v>42597</v>
      </c>
      <c r="C22" t="s">
        <v>76</v>
      </c>
      <c r="D22">
        <v>110</v>
      </c>
      <c r="E22" t="s">
        <v>75</v>
      </c>
      <c r="M22"/>
      <c r="N22"/>
      <c r="S22"/>
    </row>
    <row r="23" spans="1:19">
      <c r="A23" t="s">
        <v>64</v>
      </c>
      <c r="B23" s="8">
        <v>42601</v>
      </c>
      <c r="C23" t="s">
        <v>77</v>
      </c>
      <c r="D23">
        <v>55</v>
      </c>
      <c r="E23" t="s">
        <v>75</v>
      </c>
      <c r="M23"/>
      <c r="N23"/>
      <c r="S23"/>
    </row>
    <row r="24" spans="1:19">
      <c r="A24" t="s">
        <v>64</v>
      </c>
      <c r="B24" s="8">
        <v>42609</v>
      </c>
      <c r="C24" t="s">
        <v>78</v>
      </c>
      <c r="D24">
        <v>5</v>
      </c>
      <c r="E24" t="s">
        <v>75</v>
      </c>
      <c r="M24"/>
      <c r="N24"/>
      <c r="S24"/>
    </row>
    <row r="25" spans="1:19">
      <c r="A25" t="s">
        <v>64</v>
      </c>
      <c r="B25" s="8">
        <v>42616</v>
      </c>
      <c r="C25" t="s">
        <v>79</v>
      </c>
      <c r="D25">
        <v>10</v>
      </c>
      <c r="E25" t="s">
        <v>75</v>
      </c>
      <c r="M25"/>
      <c r="N25"/>
      <c r="S25"/>
    </row>
    <row r="26" spans="1:19">
      <c r="A26" t="s">
        <v>64</v>
      </c>
      <c r="B26" s="8">
        <v>42629</v>
      </c>
      <c r="C26" t="s">
        <v>80</v>
      </c>
      <c r="D26">
        <v>15</v>
      </c>
      <c r="E26" t="s">
        <v>75</v>
      </c>
      <c r="M26"/>
      <c r="N26"/>
      <c r="S26"/>
    </row>
    <row r="27" spans="1:19">
      <c r="A27" t="s">
        <v>64</v>
      </c>
      <c r="B27" s="8">
        <v>42677</v>
      </c>
      <c r="C27" t="s">
        <v>81</v>
      </c>
      <c r="D27">
        <v>205</v>
      </c>
      <c r="E27" t="s">
        <v>71</v>
      </c>
      <c r="M27"/>
      <c r="N27"/>
      <c r="S27"/>
    </row>
    <row r="28" spans="1:19">
      <c r="A28" t="s">
        <v>64</v>
      </c>
      <c r="B28" s="8">
        <v>42680</v>
      </c>
      <c r="C28" t="s">
        <v>82</v>
      </c>
      <c r="D28">
        <v>10</v>
      </c>
      <c r="E28" t="s">
        <v>83</v>
      </c>
      <c r="M28"/>
      <c r="N28"/>
      <c r="S28"/>
    </row>
    <row r="29" spans="1:19">
      <c r="A29" t="s">
        <v>64</v>
      </c>
      <c r="B29" s="8">
        <v>42743</v>
      </c>
      <c r="C29" t="s">
        <v>84</v>
      </c>
      <c r="D29">
        <f>8*60</f>
        <v>480</v>
      </c>
      <c r="E29" t="s">
        <v>85</v>
      </c>
      <c r="F29" t="s">
        <v>86</v>
      </c>
      <c r="M29"/>
      <c r="N29"/>
      <c r="S29"/>
    </row>
    <row r="30" spans="1:19">
      <c r="A30" t="s">
        <v>64</v>
      </c>
      <c r="B30" s="20">
        <v>2018</v>
      </c>
      <c r="C30" t="s">
        <v>7</v>
      </c>
      <c r="D30">
        <f>5*60+39</f>
        <v>339</v>
      </c>
      <c r="E30" t="s">
        <v>85</v>
      </c>
      <c r="F30" t="s">
        <v>87</v>
      </c>
      <c r="J30" t="s">
        <v>88</v>
      </c>
      <c r="M30"/>
      <c r="N30"/>
      <c r="S30"/>
    </row>
    <row r="31" spans="1:19">
      <c r="M31"/>
      <c r="N31"/>
      <c r="S31"/>
    </row>
    <row r="32" spans="1:19">
      <c r="A32" t="s">
        <v>11</v>
      </c>
      <c r="B32" s="20" t="s">
        <v>3</v>
      </c>
      <c r="D32" t="s">
        <v>3</v>
      </c>
      <c r="E32" t="s">
        <v>96</v>
      </c>
      <c r="J32" t="s">
        <v>89</v>
      </c>
      <c r="M32"/>
      <c r="N32"/>
      <c r="S32"/>
    </row>
    <row r="33" spans="1:19">
      <c r="A33" t="s">
        <v>11</v>
      </c>
      <c r="B33" s="8">
        <v>42564</v>
      </c>
      <c r="C33" s="21">
        <v>0.96527777777777779</v>
      </c>
      <c r="D33">
        <v>10</v>
      </c>
      <c r="E33" t="s">
        <v>90</v>
      </c>
      <c r="J33" s="4"/>
      <c r="K33" s="22"/>
      <c r="L33" s="23"/>
      <c r="M33" s="4"/>
      <c r="N33" s="4"/>
      <c r="O33" s="4"/>
      <c r="P33" s="4"/>
      <c r="Q33" s="4"/>
      <c r="S33"/>
    </row>
    <row r="34" spans="1:19">
      <c r="A34" t="s">
        <v>11</v>
      </c>
      <c r="B34" s="8">
        <v>42823</v>
      </c>
      <c r="C34" s="21">
        <v>0.71875</v>
      </c>
      <c r="D34">
        <v>3</v>
      </c>
      <c r="E34" t="s">
        <v>90</v>
      </c>
      <c r="M34"/>
      <c r="N34"/>
      <c r="S34"/>
    </row>
    <row r="35" spans="1:19">
      <c r="A35" t="s">
        <v>11</v>
      </c>
      <c r="B35" s="8">
        <v>42881</v>
      </c>
      <c r="C35" s="21">
        <v>0.7597222222222223</v>
      </c>
      <c r="D35">
        <v>1</v>
      </c>
      <c r="E35" t="s">
        <v>90</v>
      </c>
      <c r="M35"/>
      <c r="N35"/>
      <c r="S35"/>
    </row>
    <row r="36" spans="1:19">
      <c r="M36"/>
      <c r="N36"/>
      <c r="S36"/>
    </row>
    <row r="37" spans="1:19">
      <c r="A37" t="s">
        <v>13</v>
      </c>
      <c r="B37" s="8" t="s">
        <v>91</v>
      </c>
      <c r="D37">
        <f>17*24*60</f>
        <v>24480</v>
      </c>
      <c r="E37" t="s">
        <v>92</v>
      </c>
      <c r="M37"/>
      <c r="N37"/>
      <c r="S37"/>
    </row>
    <row r="38" spans="1:19">
      <c r="A38" t="s">
        <v>14</v>
      </c>
      <c r="B38" s="8" t="s">
        <v>95</v>
      </c>
      <c r="E38" t="s">
        <v>105</v>
      </c>
      <c r="M38"/>
      <c r="N38"/>
      <c r="S38"/>
    </row>
    <row r="39" spans="1:19">
      <c r="A39" t="s">
        <v>25</v>
      </c>
      <c r="D39">
        <f>MEDIAN(D4:D37)</f>
        <v>30</v>
      </c>
      <c r="M39"/>
      <c r="N39"/>
      <c r="S39"/>
    </row>
    <row r="41" spans="1:19">
      <c r="A41" t="s">
        <v>13</v>
      </c>
      <c r="B41" s="8" t="s">
        <v>91</v>
      </c>
      <c r="E41" t="s">
        <v>99</v>
      </c>
      <c r="F41" t="s">
        <v>93</v>
      </c>
      <c r="H41" t="s">
        <v>94</v>
      </c>
      <c r="M41"/>
      <c r="N41"/>
    </row>
    <row r="42" spans="1:19">
      <c r="B42" s="8">
        <v>43449</v>
      </c>
      <c r="D42" t="s">
        <v>7</v>
      </c>
      <c r="E42" t="s">
        <v>100</v>
      </c>
      <c r="M42"/>
      <c r="N42"/>
    </row>
    <row r="43" spans="1:19">
      <c r="B43" s="8">
        <v>43450</v>
      </c>
      <c r="D43">
        <v>24</v>
      </c>
      <c r="E43" t="s">
        <v>101</v>
      </c>
      <c r="M43"/>
      <c r="N43"/>
    </row>
    <row r="44" spans="1:19">
      <c r="B44" s="8">
        <f>1+B43</f>
        <v>43451</v>
      </c>
      <c r="D44">
        <v>24</v>
      </c>
      <c r="E44" t="s">
        <v>102</v>
      </c>
      <c r="M44"/>
      <c r="N44"/>
    </row>
    <row r="45" spans="1:19">
      <c r="B45" s="8">
        <f t="shared" ref="B45:B58" si="0">1+B44</f>
        <v>43452</v>
      </c>
      <c r="D45">
        <v>24</v>
      </c>
      <c r="E45" t="s">
        <v>103</v>
      </c>
      <c r="M45"/>
      <c r="N45"/>
    </row>
    <row r="46" spans="1:19">
      <c r="B46" s="8">
        <f t="shared" si="0"/>
        <v>43453</v>
      </c>
      <c r="D46">
        <v>24</v>
      </c>
      <c r="E46" t="s">
        <v>103</v>
      </c>
      <c r="M46"/>
      <c r="N46"/>
    </row>
    <row r="47" spans="1:19">
      <c r="B47" s="8">
        <f t="shared" si="0"/>
        <v>43454</v>
      </c>
      <c r="D47">
        <v>24</v>
      </c>
      <c r="E47" t="s">
        <v>103</v>
      </c>
      <c r="M47"/>
      <c r="N47"/>
    </row>
    <row r="48" spans="1:19">
      <c r="B48" s="8">
        <f t="shared" si="0"/>
        <v>43455</v>
      </c>
      <c r="D48">
        <v>24</v>
      </c>
      <c r="E48" t="s">
        <v>103</v>
      </c>
      <c r="M48"/>
      <c r="N48"/>
    </row>
    <row r="49" spans="2:14">
      <c r="B49" s="8">
        <f t="shared" si="0"/>
        <v>43456</v>
      </c>
      <c r="D49">
        <v>24</v>
      </c>
      <c r="E49" t="s">
        <v>103</v>
      </c>
      <c r="M49"/>
      <c r="N49"/>
    </row>
    <row r="50" spans="2:14">
      <c r="B50" s="8">
        <f t="shared" si="0"/>
        <v>43457</v>
      </c>
      <c r="D50">
        <v>24</v>
      </c>
      <c r="E50" t="s">
        <v>103</v>
      </c>
      <c r="F50" t="s">
        <v>104</v>
      </c>
      <c r="M50"/>
      <c r="N50"/>
    </row>
    <row r="51" spans="2:14">
      <c r="B51" s="8">
        <f t="shared" si="0"/>
        <v>43458</v>
      </c>
      <c r="D51">
        <v>24</v>
      </c>
      <c r="E51" t="s">
        <v>101</v>
      </c>
      <c r="M51"/>
      <c r="N51"/>
    </row>
    <row r="52" spans="2:14">
      <c r="B52" s="8">
        <f t="shared" si="0"/>
        <v>43459</v>
      </c>
      <c r="D52">
        <v>24</v>
      </c>
      <c r="E52" t="s">
        <v>101</v>
      </c>
      <c r="M52"/>
      <c r="N52"/>
    </row>
    <row r="53" spans="2:14">
      <c r="B53" s="8">
        <f t="shared" si="0"/>
        <v>43460</v>
      </c>
      <c r="D53">
        <v>24</v>
      </c>
      <c r="E53" t="s">
        <v>101</v>
      </c>
      <c r="M53"/>
      <c r="N53"/>
    </row>
    <row r="54" spans="2:14">
      <c r="B54" s="8">
        <f t="shared" si="0"/>
        <v>43461</v>
      </c>
      <c r="D54">
        <v>24</v>
      </c>
      <c r="E54" t="s">
        <v>101</v>
      </c>
      <c r="M54"/>
      <c r="N54"/>
    </row>
    <row r="55" spans="2:14">
      <c r="B55" s="8">
        <f t="shared" si="0"/>
        <v>43462</v>
      </c>
      <c r="D55">
        <v>24</v>
      </c>
      <c r="E55" t="s">
        <v>101</v>
      </c>
      <c r="M55"/>
      <c r="N55"/>
    </row>
    <row r="56" spans="2:14">
      <c r="B56" s="8">
        <f t="shared" si="0"/>
        <v>43463</v>
      </c>
      <c r="D56">
        <v>24</v>
      </c>
      <c r="E56" t="s">
        <v>101</v>
      </c>
      <c r="M56"/>
      <c r="N56"/>
    </row>
    <row r="57" spans="2:14">
      <c r="B57" s="8">
        <f t="shared" si="0"/>
        <v>43464</v>
      </c>
      <c r="D57">
        <v>24</v>
      </c>
      <c r="E57" t="s">
        <v>101</v>
      </c>
      <c r="M57"/>
      <c r="N57"/>
    </row>
    <row r="58" spans="2:14">
      <c r="B58" s="8">
        <f t="shared" si="0"/>
        <v>43465</v>
      </c>
      <c r="D58">
        <v>24</v>
      </c>
      <c r="E58" t="s">
        <v>101</v>
      </c>
      <c r="M58"/>
      <c r="N5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/>
  </sheetViews>
  <sheetFormatPr defaultRowHeight="15"/>
  <cols>
    <col min="1" max="1" width="19" customWidth="1"/>
    <col min="2" max="2" width="11" customWidth="1"/>
    <col min="3" max="3" width="10.85546875" bestFit="1" customWidth="1"/>
    <col min="5" max="5" width="10" customWidth="1"/>
  </cols>
  <sheetData>
    <row r="1" spans="1:11">
      <c r="A1" t="s">
        <v>325</v>
      </c>
      <c r="K1" s="61"/>
    </row>
    <row r="2" spans="1:11" ht="15" customHeight="1">
      <c r="A2" s="28"/>
      <c r="B2" s="28"/>
      <c r="C2" s="28"/>
      <c r="D2" s="28" t="s">
        <v>138</v>
      </c>
      <c r="E2" s="28"/>
      <c r="F2" s="28" t="s">
        <v>137</v>
      </c>
      <c r="G2" s="28"/>
      <c r="H2" s="28"/>
      <c r="I2" s="28"/>
      <c r="J2" s="28"/>
    </row>
    <row r="3" spans="1:11">
      <c r="A3" s="28"/>
      <c r="B3" s="28" t="s">
        <v>126</v>
      </c>
      <c r="C3" s="28" t="s">
        <v>130</v>
      </c>
      <c r="D3" s="28" t="s">
        <v>23</v>
      </c>
      <c r="E3" s="28" t="s">
        <v>131</v>
      </c>
      <c r="F3" s="28" t="s">
        <v>132</v>
      </c>
      <c r="G3" s="28" t="s">
        <v>133</v>
      </c>
      <c r="H3" s="28" t="s">
        <v>134</v>
      </c>
      <c r="I3" s="28" t="s">
        <v>135</v>
      </c>
      <c r="J3" s="28" t="s">
        <v>136</v>
      </c>
    </row>
    <row r="4" spans="1:11">
      <c r="A4" t="s">
        <v>109</v>
      </c>
      <c r="B4">
        <v>2933</v>
      </c>
      <c r="C4">
        <v>16086</v>
      </c>
      <c r="D4" s="27">
        <v>5.48</v>
      </c>
      <c r="E4">
        <v>16.68</v>
      </c>
      <c r="F4">
        <v>0.5</v>
      </c>
      <c r="G4">
        <v>1</v>
      </c>
      <c r="H4">
        <v>2</v>
      </c>
      <c r="I4">
        <v>4</v>
      </c>
      <c r="J4">
        <v>16</v>
      </c>
    </row>
    <row r="5" spans="1:11">
      <c r="A5" t="s">
        <v>110</v>
      </c>
      <c r="B5">
        <v>418</v>
      </c>
      <c r="C5">
        <v>1905</v>
      </c>
      <c r="D5" s="27">
        <v>4.5599999999999996</v>
      </c>
      <c r="E5">
        <v>14.02</v>
      </c>
      <c r="F5">
        <v>0.17</v>
      </c>
      <c r="G5">
        <v>1</v>
      </c>
      <c r="H5">
        <v>2</v>
      </c>
      <c r="I5">
        <v>4</v>
      </c>
      <c r="J5">
        <v>11</v>
      </c>
    </row>
    <row r="6" spans="1:11">
      <c r="A6" t="s">
        <v>129</v>
      </c>
      <c r="B6">
        <v>1341</v>
      </c>
      <c r="C6">
        <v>1054</v>
      </c>
      <c r="D6" s="27">
        <v>0.79</v>
      </c>
      <c r="E6">
        <v>1.31</v>
      </c>
      <c r="F6">
        <v>0.02</v>
      </c>
      <c r="G6">
        <v>0.03</v>
      </c>
      <c r="H6">
        <v>0.08</v>
      </c>
      <c r="I6">
        <v>0.2</v>
      </c>
      <c r="J6">
        <v>4</v>
      </c>
    </row>
    <row r="8" spans="1:11" ht="30">
      <c r="A8" s="1" t="s">
        <v>141</v>
      </c>
      <c r="B8">
        <f>SUM(B4:B6)</f>
        <v>4692</v>
      </c>
      <c r="C8">
        <f>SUM(C4:C6)</f>
        <v>19045</v>
      </c>
      <c r="D8" s="27">
        <f>C8/B8</f>
        <v>4.0590366581415172</v>
      </c>
    </row>
    <row r="9" spans="1:11">
      <c r="A9" s="1" t="s">
        <v>142</v>
      </c>
      <c r="B9">
        <f>SUM(B4:B5)</f>
        <v>3351</v>
      </c>
      <c r="C9">
        <f>SUM(C4:C5)</f>
        <v>17991</v>
      </c>
      <c r="D9" s="27">
        <f>C9/B9</f>
        <v>5.3688451208594445</v>
      </c>
    </row>
    <row r="10" spans="1:11" ht="45">
      <c r="A10" s="1" t="s">
        <v>139</v>
      </c>
      <c r="B10" s="26">
        <f>SUM(B4:B5)/SUM(B4:B6)</f>
        <v>0.71419437340153458</v>
      </c>
      <c r="D10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15" zoomScaleNormal="115" workbookViewId="0">
      <selection activeCell="A2" sqref="A2"/>
    </sheetView>
  </sheetViews>
  <sheetFormatPr defaultRowHeight="15"/>
  <cols>
    <col min="1" max="1" width="22.140625" customWidth="1"/>
    <col min="2" max="2" width="12.7109375" bestFit="1" customWidth="1"/>
    <col min="3" max="3" width="12.7109375" customWidth="1"/>
    <col min="4" max="4" width="15.28515625" bestFit="1" customWidth="1"/>
    <col min="5" max="5" width="15.28515625" customWidth="1"/>
    <col min="6" max="6" width="12.7109375" bestFit="1" customWidth="1"/>
    <col min="7" max="7" width="12.7109375" customWidth="1"/>
    <col min="8" max="8" width="12.28515625" customWidth="1"/>
  </cols>
  <sheetData>
    <row r="1" spans="1:8">
      <c r="A1" t="s">
        <v>326</v>
      </c>
    </row>
    <row r="2" spans="1:8" ht="15.75" customHeight="1">
      <c r="A2" s="28" t="s">
        <v>108</v>
      </c>
      <c r="B2" s="28" t="s">
        <v>109</v>
      </c>
      <c r="C2" s="28"/>
      <c r="D2" s="28" t="s">
        <v>110</v>
      </c>
      <c r="E2" s="28"/>
      <c r="F2" s="28" t="s">
        <v>111</v>
      </c>
      <c r="G2" s="28"/>
      <c r="H2" s="28" t="s">
        <v>128</v>
      </c>
    </row>
    <row r="3" spans="1:8">
      <c r="A3" s="28"/>
      <c r="B3" s="28" t="s">
        <v>126</v>
      </c>
      <c r="C3" s="28" t="s">
        <v>127</v>
      </c>
      <c r="D3" s="28" t="s">
        <v>126</v>
      </c>
      <c r="E3" s="28" t="s">
        <v>127</v>
      </c>
      <c r="F3" s="28" t="s">
        <v>126</v>
      </c>
      <c r="G3" s="28" t="s">
        <v>127</v>
      </c>
      <c r="H3" s="28"/>
    </row>
    <row r="4" spans="1:8" ht="15" customHeight="1">
      <c r="A4" t="s">
        <v>112</v>
      </c>
      <c r="B4">
        <v>2512</v>
      </c>
      <c r="C4" s="26">
        <f>ROUND(B4/2933, 3)</f>
        <v>0.85599999999999998</v>
      </c>
      <c r="D4">
        <v>377</v>
      </c>
      <c r="E4" s="26">
        <f>ROUND(D4/418, 3)</f>
        <v>0.90200000000000002</v>
      </c>
      <c r="F4">
        <v>1313</v>
      </c>
      <c r="G4" s="26">
        <f>ROUND(F4/1341, 3)</f>
        <v>0.97899999999999998</v>
      </c>
      <c r="H4">
        <v>4202</v>
      </c>
    </row>
    <row r="5" spans="1:8">
      <c r="A5" t="s">
        <v>113</v>
      </c>
      <c r="B5">
        <v>188</v>
      </c>
      <c r="C5" s="26">
        <f t="shared" ref="C5:C17" si="0">ROUND(B5/2933, 3)</f>
        <v>6.4000000000000001E-2</v>
      </c>
      <c r="D5">
        <v>23</v>
      </c>
      <c r="E5" s="26">
        <f t="shared" ref="E5:E17" si="1">ROUND(D5/418, 3)</f>
        <v>5.5E-2</v>
      </c>
      <c r="F5">
        <v>12</v>
      </c>
      <c r="G5" s="26">
        <f t="shared" ref="G5:G17" si="2">ROUND(F5/1341, 3)</f>
        <v>8.9999999999999993E-3</v>
      </c>
      <c r="H5">
        <v>223</v>
      </c>
    </row>
    <row r="6" spans="1:8">
      <c r="A6" t="s">
        <v>115</v>
      </c>
      <c r="B6">
        <v>97</v>
      </c>
      <c r="C6" s="26">
        <f t="shared" si="0"/>
        <v>3.3000000000000002E-2</v>
      </c>
      <c r="D6">
        <v>6</v>
      </c>
      <c r="E6" s="26">
        <f t="shared" si="1"/>
        <v>1.4E-2</v>
      </c>
      <c r="F6">
        <v>5</v>
      </c>
      <c r="G6" s="26">
        <f t="shared" si="2"/>
        <v>4.0000000000000001E-3</v>
      </c>
      <c r="H6">
        <v>108</v>
      </c>
    </row>
    <row r="7" spans="1:8">
      <c r="A7" t="s">
        <v>114</v>
      </c>
      <c r="B7">
        <v>40</v>
      </c>
      <c r="C7" s="26">
        <f t="shared" si="0"/>
        <v>1.4E-2</v>
      </c>
      <c r="D7">
        <v>1</v>
      </c>
      <c r="E7" s="26">
        <f t="shared" si="1"/>
        <v>2E-3</v>
      </c>
      <c r="F7">
        <v>6</v>
      </c>
      <c r="G7" s="26">
        <f t="shared" si="2"/>
        <v>4.0000000000000001E-3</v>
      </c>
      <c r="H7">
        <v>47</v>
      </c>
    </row>
    <row r="8" spans="1:8">
      <c r="A8" t="s">
        <v>116</v>
      </c>
      <c r="B8">
        <v>32</v>
      </c>
      <c r="C8" s="26">
        <f t="shared" si="0"/>
        <v>1.0999999999999999E-2</v>
      </c>
      <c r="D8">
        <v>4</v>
      </c>
      <c r="E8" s="26">
        <f t="shared" si="1"/>
        <v>0.01</v>
      </c>
      <c r="F8">
        <v>2</v>
      </c>
      <c r="G8" s="26">
        <f t="shared" si="2"/>
        <v>1E-3</v>
      </c>
      <c r="H8">
        <v>38</v>
      </c>
    </row>
    <row r="9" spans="1:8">
      <c r="A9" t="s">
        <v>117</v>
      </c>
      <c r="B9">
        <v>30</v>
      </c>
      <c r="C9" s="26">
        <f t="shared" si="0"/>
        <v>0.01</v>
      </c>
      <c r="D9">
        <v>2</v>
      </c>
      <c r="E9" s="26">
        <f t="shared" si="1"/>
        <v>5.0000000000000001E-3</v>
      </c>
      <c r="F9">
        <v>2</v>
      </c>
      <c r="G9" s="26">
        <f t="shared" si="2"/>
        <v>1E-3</v>
      </c>
      <c r="H9">
        <v>34</v>
      </c>
    </row>
    <row r="10" spans="1:8">
      <c r="A10" t="s">
        <v>118</v>
      </c>
      <c r="B10">
        <v>18</v>
      </c>
      <c r="C10" s="26">
        <f t="shared" si="0"/>
        <v>6.0000000000000001E-3</v>
      </c>
      <c r="D10">
        <v>1</v>
      </c>
      <c r="E10" s="26">
        <f t="shared" si="1"/>
        <v>2E-3</v>
      </c>
      <c r="F10">
        <v>0</v>
      </c>
      <c r="G10" s="26">
        <f t="shared" si="2"/>
        <v>0</v>
      </c>
      <c r="H10">
        <v>19</v>
      </c>
    </row>
    <row r="11" spans="1:8">
      <c r="A11" t="s">
        <v>119</v>
      </c>
      <c r="B11">
        <v>6</v>
      </c>
      <c r="C11" s="26">
        <f t="shared" si="0"/>
        <v>2E-3</v>
      </c>
      <c r="D11">
        <v>1</v>
      </c>
      <c r="E11" s="26">
        <f t="shared" si="1"/>
        <v>2E-3</v>
      </c>
      <c r="F11">
        <v>0</v>
      </c>
      <c r="G11" s="26">
        <f t="shared" si="2"/>
        <v>0</v>
      </c>
      <c r="H11">
        <v>7</v>
      </c>
    </row>
    <row r="12" spans="1:8">
      <c r="A12" t="s">
        <v>120</v>
      </c>
      <c r="B12">
        <v>2</v>
      </c>
      <c r="C12" s="26">
        <f t="shared" si="0"/>
        <v>1E-3</v>
      </c>
      <c r="D12">
        <v>1</v>
      </c>
      <c r="E12" s="26">
        <f t="shared" si="1"/>
        <v>2E-3</v>
      </c>
      <c r="F12">
        <v>1</v>
      </c>
      <c r="G12" s="26">
        <f t="shared" si="2"/>
        <v>1E-3</v>
      </c>
      <c r="H12">
        <v>4</v>
      </c>
    </row>
    <row r="13" spans="1:8">
      <c r="A13" t="s">
        <v>121</v>
      </c>
      <c r="B13">
        <v>1</v>
      </c>
      <c r="C13" s="26">
        <f t="shared" si="0"/>
        <v>0</v>
      </c>
      <c r="D13">
        <v>1</v>
      </c>
      <c r="E13" s="26">
        <f t="shared" si="1"/>
        <v>2E-3</v>
      </c>
      <c r="F13">
        <v>0</v>
      </c>
      <c r="G13" s="26">
        <f t="shared" si="2"/>
        <v>0</v>
      </c>
      <c r="H13">
        <v>2</v>
      </c>
    </row>
    <row r="14" spans="1:8">
      <c r="A14" t="s">
        <v>122</v>
      </c>
      <c r="B14">
        <v>3</v>
      </c>
      <c r="C14" s="26">
        <f t="shared" si="0"/>
        <v>1E-3</v>
      </c>
      <c r="D14">
        <v>1</v>
      </c>
      <c r="E14" s="26">
        <f t="shared" si="1"/>
        <v>2E-3</v>
      </c>
      <c r="F14">
        <v>0</v>
      </c>
      <c r="G14" s="26">
        <f t="shared" si="2"/>
        <v>0</v>
      </c>
      <c r="H14">
        <v>4</v>
      </c>
    </row>
    <row r="15" spans="1:8">
      <c r="A15" t="s">
        <v>123</v>
      </c>
      <c r="B15">
        <v>2</v>
      </c>
      <c r="C15" s="26">
        <f t="shared" si="0"/>
        <v>1E-3</v>
      </c>
      <c r="D15">
        <v>0</v>
      </c>
      <c r="E15" s="26">
        <f t="shared" si="1"/>
        <v>0</v>
      </c>
      <c r="F15">
        <v>0</v>
      </c>
      <c r="G15" s="26">
        <f t="shared" si="2"/>
        <v>0</v>
      </c>
      <c r="H15">
        <v>2</v>
      </c>
    </row>
    <row r="16" spans="1:8">
      <c r="A16" t="s">
        <v>124</v>
      </c>
      <c r="B16">
        <v>1</v>
      </c>
      <c r="C16" s="26">
        <f t="shared" si="0"/>
        <v>0</v>
      </c>
      <c r="D16">
        <v>0</v>
      </c>
      <c r="E16" s="26">
        <f t="shared" si="1"/>
        <v>0</v>
      </c>
      <c r="F16">
        <v>0</v>
      </c>
      <c r="G16" s="26">
        <f t="shared" si="2"/>
        <v>0</v>
      </c>
      <c r="H16">
        <v>1</v>
      </c>
    </row>
    <row r="17" spans="1:10">
      <c r="A17" t="s">
        <v>125</v>
      </c>
      <c r="B17">
        <v>1</v>
      </c>
      <c r="C17" s="26">
        <f t="shared" si="0"/>
        <v>0</v>
      </c>
      <c r="D17">
        <v>0</v>
      </c>
      <c r="E17" s="26">
        <f t="shared" si="1"/>
        <v>0</v>
      </c>
      <c r="F17">
        <v>0</v>
      </c>
      <c r="G17" s="26">
        <f t="shared" si="2"/>
        <v>0</v>
      </c>
      <c r="H17">
        <v>1</v>
      </c>
    </row>
    <row r="18" spans="1:10">
      <c r="A18" t="s">
        <v>140</v>
      </c>
      <c r="B18">
        <f>SUM(B4:B17)</f>
        <v>2933</v>
      </c>
      <c r="D18">
        <f>SUM(D4:D17)</f>
        <v>418</v>
      </c>
      <c r="F18">
        <f>SUM(F4:F17)</f>
        <v>1341</v>
      </c>
      <c r="H18">
        <f>SUM(H4:H17)</f>
        <v>4692</v>
      </c>
      <c r="J18" t="s">
        <v>107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xSplit="1" ySplit="2" topLeftCell="B39" activePane="bottomRight" state="frozen"/>
      <selection pane="topRight" activeCell="B1" sqref="B1"/>
      <selection pane="bottomLeft" activeCell="A4" sqref="A4"/>
      <selection pane="bottomRight" activeCell="I51" sqref="I51"/>
    </sheetView>
  </sheetViews>
  <sheetFormatPr defaultRowHeight="15"/>
  <cols>
    <col min="1" max="1" width="11.28515625" customWidth="1"/>
    <col min="8" max="8" width="8.85546875" style="2"/>
  </cols>
  <sheetData>
    <row r="1" spans="1:12">
      <c r="A1" t="s">
        <v>232</v>
      </c>
      <c r="B1" t="s">
        <v>143</v>
      </c>
    </row>
    <row r="2" spans="1:12" s="1" customFormat="1" ht="195">
      <c r="A2" s="1" t="s">
        <v>147</v>
      </c>
      <c r="B2" s="1" t="s">
        <v>245</v>
      </c>
      <c r="C2" s="1" t="s">
        <v>246</v>
      </c>
      <c r="D2" s="1" t="s">
        <v>247</v>
      </c>
      <c r="E2" s="1" t="s">
        <v>148</v>
      </c>
      <c r="F2" s="1" t="s">
        <v>149</v>
      </c>
      <c r="G2" s="1" t="s">
        <v>266</v>
      </c>
      <c r="H2" s="29" t="s">
        <v>248</v>
      </c>
    </row>
    <row r="3" spans="1:12">
      <c r="A3" t="s">
        <v>191</v>
      </c>
      <c r="B3" s="56">
        <v>273</v>
      </c>
      <c r="C3" s="33">
        <v>107</v>
      </c>
      <c r="D3">
        <v>7.53</v>
      </c>
      <c r="E3" s="30">
        <v>4571.8</v>
      </c>
      <c r="F3">
        <f t="shared" ref="F3:F49" si="0">E3*$D$67</f>
        <v>4216.9541194229596</v>
      </c>
      <c r="G3" s="55">
        <f t="shared" ref="G3:G49" si="1">B3/D3</f>
        <v>36.254980079681275</v>
      </c>
      <c r="H3" s="2">
        <f t="shared" ref="H3:H49" si="2">C3/(F3/1000)</f>
        <v>25.373764326049077</v>
      </c>
      <c r="L3" s="3"/>
    </row>
    <row r="4" spans="1:12">
      <c r="A4" t="s">
        <v>153</v>
      </c>
      <c r="B4" s="56">
        <v>218</v>
      </c>
      <c r="C4" s="33">
        <v>57</v>
      </c>
      <c r="D4">
        <v>1</v>
      </c>
      <c r="E4" s="30">
        <v>565.70000000000005</v>
      </c>
      <c r="F4">
        <f t="shared" si="0"/>
        <v>521.79249865645227</v>
      </c>
      <c r="G4" s="55">
        <f t="shared" si="1"/>
        <v>218</v>
      </c>
      <c r="H4" s="2">
        <f t="shared" si="2"/>
        <v>109.23882605972216</v>
      </c>
      <c r="L4" s="3"/>
    </row>
    <row r="5" spans="1:12">
      <c r="A5" t="s">
        <v>170</v>
      </c>
      <c r="B5" s="55">
        <v>186</v>
      </c>
      <c r="C5" s="33">
        <v>46</v>
      </c>
      <c r="D5">
        <v>1.28</v>
      </c>
      <c r="E5" s="30">
        <v>757.4</v>
      </c>
      <c r="F5">
        <f t="shared" si="0"/>
        <v>698.6134673544226</v>
      </c>
      <c r="G5" s="55">
        <f t="shared" si="1"/>
        <v>145.3125</v>
      </c>
      <c r="H5" s="2">
        <f t="shared" si="2"/>
        <v>65.844708339501764</v>
      </c>
      <c r="L5" s="3"/>
    </row>
    <row r="6" spans="1:12">
      <c r="A6" t="s">
        <v>154</v>
      </c>
      <c r="B6" s="55">
        <v>903</v>
      </c>
      <c r="C6" s="33">
        <v>354</v>
      </c>
      <c r="D6">
        <v>6.25</v>
      </c>
      <c r="E6" s="30">
        <v>3786.1</v>
      </c>
      <c r="F6">
        <f t="shared" si="0"/>
        <v>3492.2371913791649</v>
      </c>
      <c r="G6" s="55">
        <f t="shared" si="1"/>
        <v>144.47999999999999</v>
      </c>
      <c r="H6" s="2">
        <f t="shared" si="2"/>
        <v>101.36768512570512</v>
      </c>
      <c r="L6" s="3"/>
    </row>
    <row r="7" spans="1:12">
      <c r="A7" t="s">
        <v>179</v>
      </c>
      <c r="B7" s="55">
        <v>91</v>
      </c>
      <c r="C7" s="33">
        <v>31</v>
      </c>
      <c r="D7">
        <v>1.36</v>
      </c>
      <c r="E7" s="30">
        <v>775.3</v>
      </c>
      <c r="F7">
        <f t="shared" si="0"/>
        <v>715.12413683639272</v>
      </c>
      <c r="G7" s="55">
        <f t="shared" si="1"/>
        <v>66.911764705882348</v>
      </c>
      <c r="H7" s="2">
        <f t="shared" si="2"/>
        <v>43.349117171655791</v>
      </c>
      <c r="L7" s="3"/>
    </row>
    <row r="8" spans="1:12">
      <c r="A8" t="s">
        <v>165</v>
      </c>
      <c r="B8" s="55">
        <v>134</v>
      </c>
      <c r="C8" s="33">
        <v>30</v>
      </c>
      <c r="D8">
        <v>0.78</v>
      </c>
      <c r="E8" s="30">
        <v>450.3</v>
      </c>
      <c r="F8">
        <f t="shared" si="0"/>
        <v>415.3494116050918</v>
      </c>
      <c r="G8" s="55">
        <f t="shared" si="1"/>
        <v>171.7948717948718</v>
      </c>
      <c r="H8" s="2">
        <f t="shared" si="2"/>
        <v>72.228343562753295</v>
      </c>
      <c r="L8" s="3"/>
    </row>
    <row r="9" spans="1:12">
      <c r="A9" t="s">
        <v>181</v>
      </c>
      <c r="B9" s="55">
        <v>374</v>
      </c>
      <c r="C9" s="33">
        <v>116</v>
      </c>
      <c r="D9">
        <v>5.1100000000000003</v>
      </c>
      <c r="E9" s="30">
        <v>2998</v>
      </c>
      <c r="F9">
        <f t="shared" si="0"/>
        <v>2765.3065422875088</v>
      </c>
      <c r="G9" s="55">
        <f t="shared" si="1"/>
        <v>73.189823874755376</v>
      </c>
      <c r="H9" s="2">
        <f t="shared" si="2"/>
        <v>41.948333114650943</v>
      </c>
      <c r="L9" s="3"/>
    </row>
    <row r="10" spans="1:12">
      <c r="A10" t="s">
        <v>164</v>
      </c>
      <c r="B10" s="55">
        <v>182</v>
      </c>
      <c r="C10" s="33">
        <v>79</v>
      </c>
      <c r="D10">
        <v>1.88</v>
      </c>
      <c r="E10" s="30">
        <v>1126.8</v>
      </c>
      <c r="F10">
        <f t="shared" si="0"/>
        <v>1039.342031971169</v>
      </c>
      <c r="G10" s="55">
        <f t="shared" si="1"/>
        <v>96.808510638297875</v>
      </c>
      <c r="H10" s="2">
        <f t="shared" si="2"/>
        <v>76.009626831094451</v>
      </c>
      <c r="L10" s="3"/>
    </row>
    <row r="11" spans="1:12">
      <c r="A11" t="s">
        <v>185</v>
      </c>
      <c r="B11" s="55">
        <v>79</v>
      </c>
      <c r="C11" s="31">
        <v>39</v>
      </c>
      <c r="D11">
        <v>2.0099999999999998</v>
      </c>
      <c r="E11" s="30">
        <v>1184.0999999999999</v>
      </c>
      <c r="F11">
        <f t="shared" si="0"/>
        <v>1092.1946219888721</v>
      </c>
      <c r="G11" s="55">
        <f t="shared" si="1"/>
        <v>39.303482587064678</v>
      </c>
      <c r="H11" s="2">
        <f t="shared" si="2"/>
        <v>35.707921660501782</v>
      </c>
      <c r="L11" s="3"/>
    </row>
    <row r="12" spans="1:12">
      <c r="A12" t="s">
        <v>166</v>
      </c>
      <c r="B12" s="55">
        <v>217</v>
      </c>
      <c r="C12" s="33">
        <v>77</v>
      </c>
      <c r="D12">
        <v>1.96</v>
      </c>
      <c r="E12" s="30">
        <v>1166.5</v>
      </c>
      <c r="F12">
        <f t="shared" si="0"/>
        <v>1075.9606676378849</v>
      </c>
      <c r="G12" s="55">
        <f t="shared" si="1"/>
        <v>110.71428571428572</v>
      </c>
      <c r="H12" s="2">
        <f t="shared" si="2"/>
        <v>71.563954255913742</v>
      </c>
      <c r="L12" s="3"/>
    </row>
    <row r="13" spans="1:12">
      <c r="A13" t="s">
        <v>182</v>
      </c>
      <c r="B13" s="55">
        <v>153</v>
      </c>
      <c r="C13" s="33">
        <v>64</v>
      </c>
      <c r="D13">
        <v>2.83</v>
      </c>
      <c r="E13" s="30">
        <v>1657.9</v>
      </c>
      <c r="F13">
        <f t="shared" si="0"/>
        <v>1529.2200521876121</v>
      </c>
      <c r="G13" s="55">
        <f t="shared" si="1"/>
        <v>54.063604240282686</v>
      </c>
      <c r="H13" s="2">
        <f t="shared" si="2"/>
        <v>41.851399939757115</v>
      </c>
      <c r="L13" s="3"/>
    </row>
    <row r="14" spans="1:12">
      <c r="A14" t="s">
        <v>150</v>
      </c>
      <c r="B14" s="55">
        <v>1297</v>
      </c>
      <c r="C14" s="33">
        <v>405</v>
      </c>
      <c r="D14">
        <v>5.32</v>
      </c>
      <c r="E14" s="30">
        <v>3169.1</v>
      </c>
      <c r="F14">
        <f t="shared" si="0"/>
        <v>2923.1264053246641</v>
      </c>
      <c r="G14" s="55">
        <f t="shared" si="1"/>
        <v>243.79699248120301</v>
      </c>
      <c r="H14" s="2">
        <f t="shared" si="2"/>
        <v>138.55028618066817</v>
      </c>
      <c r="L14" s="3"/>
    </row>
    <row r="15" spans="1:12">
      <c r="A15" t="s">
        <v>174</v>
      </c>
      <c r="B15" s="55">
        <v>448</v>
      </c>
      <c r="C15" s="33">
        <v>184</v>
      </c>
      <c r="D15">
        <v>5.5</v>
      </c>
      <c r="E15" s="30">
        <v>3257.4</v>
      </c>
      <c r="F15">
        <f t="shared" si="0"/>
        <v>3004.5728922105841</v>
      </c>
      <c r="G15" s="55">
        <f t="shared" si="1"/>
        <v>81.454545454545453</v>
      </c>
      <c r="H15" s="2">
        <f t="shared" si="2"/>
        <v>61.239985382622507</v>
      </c>
      <c r="L15" s="3"/>
    </row>
    <row r="16" spans="1:12">
      <c r="A16" t="s">
        <v>156</v>
      </c>
      <c r="B16" s="55">
        <v>391</v>
      </c>
      <c r="C16" s="33">
        <v>156</v>
      </c>
      <c r="D16">
        <v>2.89</v>
      </c>
      <c r="E16" s="30">
        <v>1748.5</v>
      </c>
      <c r="F16">
        <f t="shared" si="0"/>
        <v>1612.7880217443992</v>
      </c>
      <c r="G16" s="55">
        <f t="shared" si="1"/>
        <v>135.29411764705881</v>
      </c>
      <c r="H16" s="2">
        <f t="shared" si="2"/>
        <v>96.726908866342924</v>
      </c>
      <c r="L16" s="3"/>
    </row>
    <row r="17" spans="1:12">
      <c r="A17" t="s">
        <v>188</v>
      </c>
      <c r="B17" s="55">
        <v>119</v>
      </c>
      <c r="C17" s="33">
        <v>21</v>
      </c>
      <c r="D17">
        <v>1.1499999999999999</v>
      </c>
      <c r="E17" s="30">
        <v>671.1</v>
      </c>
      <c r="F17">
        <f t="shared" si="0"/>
        <v>619.01174800838794</v>
      </c>
      <c r="G17" s="55">
        <f t="shared" si="1"/>
        <v>103.47826086956522</v>
      </c>
      <c r="H17" s="2">
        <f t="shared" si="2"/>
        <v>33.925042727485419</v>
      </c>
      <c r="L17" s="3"/>
    </row>
    <row r="18" spans="1:12">
      <c r="A18" t="s">
        <v>157</v>
      </c>
      <c r="B18" s="55">
        <v>176</v>
      </c>
      <c r="C18" s="33">
        <v>64</v>
      </c>
      <c r="D18">
        <v>1.26</v>
      </c>
      <c r="E18" s="30">
        <v>730.2</v>
      </c>
      <c r="F18">
        <f t="shared" si="0"/>
        <v>673.52462881198767</v>
      </c>
      <c r="G18" s="55">
        <f t="shared" si="1"/>
        <v>139.68253968253967</v>
      </c>
      <c r="H18" s="2">
        <f t="shared" si="2"/>
        <v>95.022508847060138</v>
      </c>
      <c r="L18" s="3"/>
    </row>
    <row r="19" spans="1:12">
      <c r="A19" t="s">
        <v>192</v>
      </c>
      <c r="B19" s="55">
        <v>34</v>
      </c>
      <c r="C19" s="33">
        <v>12</v>
      </c>
      <c r="D19">
        <v>0.97</v>
      </c>
      <c r="E19" s="30">
        <v>545</v>
      </c>
      <c r="F19">
        <f t="shared" si="0"/>
        <v>502.69915461864315</v>
      </c>
      <c r="G19" s="55">
        <f t="shared" si="1"/>
        <v>35.051546391752581</v>
      </c>
      <c r="H19" s="2">
        <f t="shared" si="2"/>
        <v>23.871136224813075</v>
      </c>
      <c r="L19" s="3"/>
    </row>
    <row r="20" spans="1:12">
      <c r="A20" t="s">
        <v>177</v>
      </c>
      <c r="B20" s="55">
        <v>121</v>
      </c>
      <c r="C20" s="33">
        <v>42</v>
      </c>
      <c r="D20">
        <v>1.63</v>
      </c>
      <c r="E20" s="30">
        <v>930.7</v>
      </c>
      <c r="F20">
        <f t="shared" si="0"/>
        <v>858.46257468545173</v>
      </c>
      <c r="G20" s="55">
        <f t="shared" si="1"/>
        <v>74.233128834355838</v>
      </c>
      <c r="H20" s="2">
        <f t="shared" si="2"/>
        <v>48.924672127249309</v>
      </c>
      <c r="L20" s="3"/>
    </row>
    <row r="21" spans="1:12">
      <c r="A21" t="s">
        <v>167</v>
      </c>
      <c r="B21" s="55">
        <v>966</v>
      </c>
      <c r="C21" s="33">
        <v>371</v>
      </c>
      <c r="D21">
        <v>9.16</v>
      </c>
      <c r="E21" s="30">
        <v>5682.2</v>
      </c>
      <c r="F21">
        <f t="shared" si="0"/>
        <v>5241.1690575670718</v>
      </c>
      <c r="G21" s="55">
        <f t="shared" si="1"/>
        <v>105.4585152838428</v>
      </c>
      <c r="H21" s="2">
        <f t="shared" si="2"/>
        <v>70.785734236975102</v>
      </c>
      <c r="L21" s="3"/>
    </row>
    <row r="22" spans="1:12">
      <c r="A22" t="s">
        <v>171</v>
      </c>
      <c r="B22" s="55">
        <v>70</v>
      </c>
      <c r="C22" s="33">
        <v>24</v>
      </c>
      <c r="D22">
        <v>0.71</v>
      </c>
      <c r="E22" s="30">
        <v>399.8</v>
      </c>
      <c r="F22">
        <f t="shared" si="0"/>
        <v>368.76903122299734</v>
      </c>
      <c r="G22" s="55">
        <f t="shared" si="1"/>
        <v>98.591549295774655</v>
      </c>
      <c r="H22" s="2">
        <f t="shared" si="2"/>
        <v>65.081386906068644</v>
      </c>
      <c r="L22" s="3"/>
    </row>
    <row r="23" spans="1:12">
      <c r="A23" t="s">
        <v>194</v>
      </c>
      <c r="B23" s="55">
        <v>160</v>
      </c>
      <c r="C23" s="33">
        <v>21</v>
      </c>
      <c r="D23">
        <v>1.77</v>
      </c>
      <c r="E23" s="30">
        <v>1026.7</v>
      </c>
      <c r="F23">
        <f t="shared" si="0"/>
        <v>947.01141659992834</v>
      </c>
      <c r="G23" s="55">
        <f t="shared" si="1"/>
        <v>90.395480225988706</v>
      </c>
      <c r="H23" s="2">
        <f t="shared" si="2"/>
        <v>22.175023058746923</v>
      </c>
      <c r="L23" s="3"/>
    </row>
    <row r="24" spans="1:12">
      <c r="A24" t="s">
        <v>189</v>
      </c>
      <c r="B24" s="55">
        <v>108</v>
      </c>
      <c r="C24" s="33">
        <v>46</v>
      </c>
      <c r="D24">
        <v>2.6</v>
      </c>
      <c r="E24" s="30">
        <v>1526.1</v>
      </c>
      <c r="F24">
        <f t="shared" si="0"/>
        <v>1407.6498713091951</v>
      </c>
      <c r="G24" s="55">
        <f t="shared" si="1"/>
        <v>41.53846153846154</v>
      </c>
      <c r="H24" s="2">
        <f t="shared" si="2"/>
        <v>32.678580759018828</v>
      </c>
      <c r="L24" s="3"/>
    </row>
    <row r="25" spans="1:12">
      <c r="A25" t="s">
        <v>190</v>
      </c>
      <c r="B25" s="55">
        <v>69</v>
      </c>
      <c r="C25" s="33">
        <v>29</v>
      </c>
      <c r="D25">
        <v>1.8</v>
      </c>
      <c r="E25" s="30">
        <v>1061.2</v>
      </c>
      <c r="F25">
        <f t="shared" si="0"/>
        <v>978.83365666294344</v>
      </c>
      <c r="G25" s="55">
        <f t="shared" si="1"/>
        <v>38.333333333333336</v>
      </c>
      <c r="H25" s="2">
        <f t="shared" si="2"/>
        <v>29.627097313824802</v>
      </c>
      <c r="L25" s="3"/>
    </row>
    <row r="26" spans="1:12">
      <c r="A26" t="s">
        <v>169</v>
      </c>
      <c r="B26" s="55">
        <v>237</v>
      </c>
      <c r="C26" s="33">
        <v>87</v>
      </c>
      <c r="D26">
        <v>2.3199999999999998</v>
      </c>
      <c r="E26" s="30">
        <v>1407.6</v>
      </c>
      <c r="F26">
        <f t="shared" si="0"/>
        <v>1298.347394571013</v>
      </c>
      <c r="G26" s="55">
        <f t="shared" si="1"/>
        <v>102.15517241379311</v>
      </c>
      <c r="H26" s="2">
        <f t="shared" si="2"/>
        <v>67.008260165027465</v>
      </c>
      <c r="L26" s="3"/>
    </row>
    <row r="27" spans="1:12">
      <c r="A27" t="s">
        <v>178</v>
      </c>
      <c r="B27" s="55">
        <v>63</v>
      </c>
      <c r="C27" s="33">
        <v>26</v>
      </c>
      <c r="D27">
        <v>1.0900000000000001</v>
      </c>
      <c r="E27" s="30">
        <v>619.20000000000005</v>
      </c>
      <c r="F27">
        <f t="shared" si="0"/>
        <v>571.14003034837413</v>
      </c>
      <c r="G27" s="55">
        <f t="shared" si="1"/>
        <v>57.798165137614674</v>
      </c>
      <c r="H27" s="2">
        <f t="shared" si="2"/>
        <v>45.522986690568629</v>
      </c>
      <c r="L27" s="3"/>
    </row>
    <row r="28" spans="1:12">
      <c r="A28" t="s">
        <v>168</v>
      </c>
      <c r="B28" s="55">
        <v>237</v>
      </c>
      <c r="C28" s="33">
        <v>76</v>
      </c>
      <c r="D28">
        <v>2.08</v>
      </c>
      <c r="E28" s="30">
        <v>1189.2</v>
      </c>
      <c r="F28">
        <f t="shared" si="0"/>
        <v>1096.8987792155788</v>
      </c>
      <c r="G28" s="55">
        <f t="shared" si="1"/>
        <v>113.94230769230769</v>
      </c>
      <c r="H28" s="2">
        <f t="shared" si="2"/>
        <v>69.286247227250627</v>
      </c>
      <c r="L28" s="3"/>
    </row>
    <row r="29" spans="1:12">
      <c r="A29" t="s">
        <v>155</v>
      </c>
      <c r="B29" s="55">
        <v>185</v>
      </c>
      <c r="C29" s="33">
        <v>70</v>
      </c>
      <c r="D29">
        <v>1.35</v>
      </c>
      <c r="E29" s="30">
        <v>783.1</v>
      </c>
      <c r="F29">
        <f t="shared" si="0"/>
        <v>722.31873024194397</v>
      </c>
      <c r="G29" s="55">
        <f t="shared" si="1"/>
        <v>137.03703703703704</v>
      </c>
      <c r="H29" s="2">
        <f t="shared" si="2"/>
        <v>96.910127163050561</v>
      </c>
      <c r="L29" s="3"/>
    </row>
    <row r="30" spans="1:12">
      <c r="A30" t="s">
        <v>187</v>
      </c>
      <c r="B30" s="55">
        <v>67</v>
      </c>
      <c r="C30" s="33">
        <v>26</v>
      </c>
      <c r="D30">
        <v>1.35</v>
      </c>
      <c r="E30" s="30">
        <v>799.4</v>
      </c>
      <c r="F30">
        <f t="shared" si="0"/>
        <v>737.35358569200616</v>
      </c>
      <c r="G30" s="55">
        <f t="shared" si="1"/>
        <v>49.629629629629626</v>
      </c>
      <c r="H30" s="2">
        <f t="shared" si="2"/>
        <v>35.261237626720167</v>
      </c>
      <c r="L30" s="3"/>
    </row>
    <row r="31" spans="1:12">
      <c r="A31" t="s">
        <v>161</v>
      </c>
      <c r="B31" s="55">
        <v>343</v>
      </c>
      <c r="C31" s="33">
        <v>96</v>
      </c>
      <c r="D31">
        <v>2.27</v>
      </c>
      <c r="E31" s="30">
        <v>1333.1</v>
      </c>
      <c r="F31">
        <f t="shared" si="0"/>
        <v>1229.6298037102993</v>
      </c>
      <c r="G31" s="55">
        <f t="shared" si="1"/>
        <v>151.10132158590309</v>
      </c>
      <c r="H31" s="2">
        <f t="shared" si="2"/>
        <v>78.072278103806923</v>
      </c>
      <c r="L31" s="3"/>
    </row>
    <row r="32" spans="1:12">
      <c r="A32" t="s">
        <v>176</v>
      </c>
      <c r="B32" s="55">
        <v>90</v>
      </c>
      <c r="C32" s="33">
        <v>35</v>
      </c>
      <c r="D32">
        <v>1.1499999999999999</v>
      </c>
      <c r="E32" s="30">
        <v>659.5</v>
      </c>
      <c r="F32">
        <f t="shared" si="0"/>
        <v>608.31209627705539</v>
      </c>
      <c r="G32" s="55">
        <f t="shared" si="1"/>
        <v>78.260869565217391</v>
      </c>
      <c r="H32" s="2">
        <f t="shared" si="2"/>
        <v>57.536255179215225</v>
      </c>
      <c r="L32" s="3"/>
    </row>
    <row r="33" spans="1:12">
      <c r="A33" t="s">
        <v>196</v>
      </c>
      <c r="B33" s="55">
        <v>38</v>
      </c>
      <c r="C33" s="33">
        <v>14</v>
      </c>
      <c r="D33">
        <v>1.91</v>
      </c>
      <c r="E33" s="30">
        <v>1099.0999999999999</v>
      </c>
      <c r="F33">
        <f t="shared" si="0"/>
        <v>1013.7920015437627</v>
      </c>
      <c r="G33" s="55">
        <f t="shared" si="1"/>
        <v>19.895287958115183</v>
      </c>
      <c r="H33" s="2">
        <f t="shared" si="2"/>
        <v>13.809538819285759</v>
      </c>
      <c r="L33" s="3"/>
    </row>
    <row r="34" spans="1:12">
      <c r="A34" t="s">
        <v>175</v>
      </c>
      <c r="B34" s="55">
        <v>93</v>
      </c>
      <c r="C34" s="33">
        <v>50</v>
      </c>
      <c r="D34">
        <v>1.44</v>
      </c>
      <c r="E34" s="30">
        <v>897.4</v>
      </c>
      <c r="F34">
        <f t="shared" si="0"/>
        <v>827.74719514636763</v>
      </c>
      <c r="G34" s="55">
        <f t="shared" si="1"/>
        <v>64.583333333333343</v>
      </c>
      <c r="H34" s="2">
        <f t="shared" si="2"/>
        <v>60.404916251221699</v>
      </c>
      <c r="L34" s="3"/>
    </row>
    <row r="35" spans="1:12">
      <c r="A35" t="s">
        <v>173</v>
      </c>
      <c r="B35" s="55">
        <v>718</v>
      </c>
      <c r="C35" s="33">
        <v>311</v>
      </c>
      <c r="D35">
        <v>8.82</v>
      </c>
      <c r="E35" s="30">
        <v>5283.8</v>
      </c>
      <c r="F35">
        <f t="shared" si="0"/>
        <v>4873.6913636219942</v>
      </c>
      <c r="G35" s="55">
        <f t="shared" si="1"/>
        <v>81.40589569160997</v>
      </c>
      <c r="H35" s="2">
        <f t="shared" si="2"/>
        <v>63.81200137566227</v>
      </c>
      <c r="L35" s="3"/>
    </row>
    <row r="36" spans="1:12">
      <c r="A36" t="s">
        <v>152</v>
      </c>
      <c r="B36" s="55">
        <v>80</v>
      </c>
      <c r="C36" s="33">
        <v>50</v>
      </c>
      <c r="D36">
        <v>0.82</v>
      </c>
      <c r="E36" s="30">
        <v>484.1</v>
      </c>
      <c r="F36">
        <f t="shared" si="0"/>
        <v>446.52598302914708</v>
      </c>
      <c r="G36" s="55">
        <f t="shared" si="1"/>
        <v>97.560975609756099</v>
      </c>
      <c r="H36" s="2">
        <f t="shared" si="2"/>
        <v>111.97556670904017</v>
      </c>
      <c r="L36" s="3"/>
    </row>
    <row r="37" spans="1:12">
      <c r="A37" t="s">
        <v>160</v>
      </c>
      <c r="B37" s="55">
        <v>1238</v>
      </c>
      <c r="C37" s="33">
        <v>362</v>
      </c>
      <c r="D37">
        <v>7.31</v>
      </c>
      <c r="E37" s="30">
        <v>4441.1000000000004</v>
      </c>
      <c r="F37">
        <f t="shared" si="0"/>
        <v>4096.3985606914794</v>
      </c>
      <c r="G37" s="55">
        <f t="shared" si="1"/>
        <v>169.35704514363886</v>
      </c>
      <c r="H37" s="2">
        <f t="shared" si="2"/>
        <v>88.370307389936613</v>
      </c>
      <c r="L37" s="3"/>
    </row>
    <row r="38" spans="1:12">
      <c r="A38" t="s">
        <v>193</v>
      </c>
      <c r="B38" s="55">
        <v>31</v>
      </c>
      <c r="C38" s="33">
        <v>18</v>
      </c>
      <c r="D38">
        <v>1.41</v>
      </c>
      <c r="E38" s="30">
        <v>856</v>
      </c>
      <c r="F38">
        <f t="shared" si="0"/>
        <v>789.56050707074962</v>
      </c>
      <c r="G38" s="55">
        <f t="shared" si="1"/>
        <v>21.98581560283688</v>
      </c>
      <c r="H38" s="2">
        <f t="shared" si="2"/>
        <v>22.797492831524163</v>
      </c>
      <c r="L38" s="3"/>
    </row>
    <row r="39" spans="1:12">
      <c r="A39" t="s">
        <v>180</v>
      </c>
      <c r="B39" s="55">
        <v>67</v>
      </c>
      <c r="C39" s="33">
        <v>15</v>
      </c>
      <c r="D39">
        <v>0.69</v>
      </c>
      <c r="E39" s="30">
        <v>375.9</v>
      </c>
      <c r="F39">
        <f t="shared" si="0"/>
        <v>346.72405912137236</v>
      </c>
      <c r="G39" s="55">
        <f t="shared" si="1"/>
        <v>97.101449275362327</v>
      </c>
      <c r="H39" s="2">
        <f t="shared" si="2"/>
        <v>43.262068510651517</v>
      </c>
      <c r="L39" s="3"/>
    </row>
    <row r="40" spans="1:12">
      <c r="A40" t="s">
        <v>184</v>
      </c>
      <c r="B40" s="55">
        <v>217</v>
      </c>
      <c r="C40" s="33">
        <v>77</v>
      </c>
      <c r="D40">
        <v>3.68</v>
      </c>
      <c r="E40" s="30">
        <v>2174.8000000000002</v>
      </c>
      <c r="F40">
        <f t="shared" si="0"/>
        <v>2006.000222870872</v>
      </c>
      <c r="G40" s="55">
        <f t="shared" si="1"/>
        <v>58.967391304347821</v>
      </c>
      <c r="H40" s="2">
        <f t="shared" si="2"/>
        <v>38.384841198971564</v>
      </c>
      <c r="L40" s="3"/>
    </row>
    <row r="41" spans="1:12">
      <c r="A41" t="s">
        <v>159</v>
      </c>
      <c r="B41" s="55">
        <v>277</v>
      </c>
      <c r="C41" s="33">
        <v>100</v>
      </c>
      <c r="D41">
        <v>1.96</v>
      </c>
      <c r="E41" s="30">
        <v>1203.0999999999999</v>
      </c>
      <c r="F41">
        <f t="shared" si="0"/>
        <v>1109.719913617779</v>
      </c>
      <c r="G41" s="55">
        <f t="shared" si="1"/>
        <v>141.32653061224491</v>
      </c>
      <c r="H41" s="2">
        <f t="shared" si="2"/>
        <v>90.112828266721564</v>
      </c>
      <c r="L41" s="3"/>
    </row>
    <row r="42" spans="1:12">
      <c r="A42" t="s">
        <v>162</v>
      </c>
      <c r="B42" s="55">
        <v>95</v>
      </c>
      <c r="C42" s="33">
        <v>30</v>
      </c>
      <c r="D42">
        <v>0.74</v>
      </c>
      <c r="E42" s="30">
        <v>421.3</v>
      </c>
      <c r="F42">
        <f t="shared" si="0"/>
        <v>388.60028227676031</v>
      </c>
      <c r="G42" s="55">
        <f t="shared" si="1"/>
        <v>128.37837837837839</v>
      </c>
      <c r="H42" s="2">
        <f t="shared" si="2"/>
        <v>77.200149789479724</v>
      </c>
      <c r="L42" s="3"/>
    </row>
    <row r="43" spans="1:12">
      <c r="A43" t="s">
        <v>183</v>
      </c>
      <c r="B43" s="55">
        <v>982</v>
      </c>
      <c r="C43" s="33">
        <v>325</v>
      </c>
      <c r="D43">
        <v>13.72</v>
      </c>
      <c r="E43" s="30">
        <v>8719.7999999999993</v>
      </c>
      <c r="F43">
        <f t="shared" si="0"/>
        <v>8043.0019971443016</v>
      </c>
      <c r="G43" s="55">
        <f t="shared" si="1"/>
        <v>71.574344023323619</v>
      </c>
      <c r="H43" s="2">
        <f t="shared" si="2"/>
        <v>40.407797998234052</v>
      </c>
      <c r="L43" s="3"/>
    </row>
    <row r="44" spans="1:12">
      <c r="A44" t="s">
        <v>163</v>
      </c>
      <c r="B44" s="55">
        <v>64</v>
      </c>
      <c r="C44" s="33">
        <v>23</v>
      </c>
      <c r="D44">
        <v>0.56999999999999995</v>
      </c>
      <c r="E44" s="30">
        <v>323.3</v>
      </c>
      <c r="F44">
        <f t="shared" si="0"/>
        <v>298.20667282239879</v>
      </c>
      <c r="G44" s="55">
        <f t="shared" si="1"/>
        <v>112.28070175438597</v>
      </c>
      <c r="H44" s="2">
        <f t="shared" si="2"/>
        <v>77.12771743943496</v>
      </c>
      <c r="L44" s="3"/>
    </row>
    <row r="45" spans="1:12">
      <c r="A45" t="s">
        <v>158</v>
      </c>
      <c r="B45" s="55">
        <v>139</v>
      </c>
      <c r="C45" s="33">
        <v>53</v>
      </c>
      <c r="D45">
        <v>1.06</v>
      </c>
      <c r="E45" s="30">
        <v>606.5</v>
      </c>
      <c r="F45">
        <f t="shared" si="0"/>
        <v>559.42575647010472</v>
      </c>
      <c r="G45" s="55">
        <f t="shared" si="1"/>
        <v>131.1320754716981</v>
      </c>
      <c r="H45" s="2">
        <f t="shared" si="2"/>
        <v>94.740006849921073</v>
      </c>
      <c r="L45" s="3"/>
    </row>
    <row r="46" spans="1:12">
      <c r="A46" t="s">
        <v>195</v>
      </c>
      <c r="B46" s="55">
        <v>15</v>
      </c>
      <c r="C46" s="33">
        <v>11</v>
      </c>
      <c r="D46">
        <v>0.95</v>
      </c>
      <c r="E46" s="30">
        <v>545.9</v>
      </c>
      <c r="F46">
        <f t="shared" si="0"/>
        <v>503.52930001159137</v>
      </c>
      <c r="G46" s="55">
        <f t="shared" si="1"/>
        <v>15.789473684210527</v>
      </c>
      <c r="H46" s="2">
        <f t="shared" si="2"/>
        <v>21.845799240971235</v>
      </c>
      <c r="L46" s="3"/>
    </row>
    <row r="47" spans="1:12">
      <c r="A47" t="s">
        <v>151</v>
      </c>
      <c r="B47" s="55">
        <v>260</v>
      </c>
      <c r="C47" s="33">
        <v>69</v>
      </c>
      <c r="D47">
        <v>1.1000000000000001</v>
      </c>
      <c r="E47" s="30">
        <v>638.29999999999995</v>
      </c>
      <c r="F47">
        <f t="shared" si="0"/>
        <v>588.75756035427503</v>
      </c>
      <c r="G47" s="55">
        <f t="shared" si="1"/>
        <v>236.36363636363635</v>
      </c>
      <c r="H47" s="2">
        <f t="shared" si="2"/>
        <v>117.19594727323823</v>
      </c>
      <c r="L47" s="3"/>
    </row>
    <row r="48" spans="1:12">
      <c r="A48" t="s">
        <v>172</v>
      </c>
      <c r="B48" s="55">
        <v>165</v>
      </c>
      <c r="C48" s="33">
        <v>46</v>
      </c>
      <c r="D48">
        <v>1.38</v>
      </c>
      <c r="E48" s="30">
        <v>777.4</v>
      </c>
      <c r="F48">
        <f t="shared" si="0"/>
        <v>717.06114275327184</v>
      </c>
      <c r="G48" s="55">
        <f t="shared" si="1"/>
        <v>119.56521739130436</v>
      </c>
      <c r="H48" s="2">
        <f t="shared" si="2"/>
        <v>64.150735909877341</v>
      </c>
      <c r="L48" s="3"/>
    </row>
    <row r="49" spans="1:13">
      <c r="A49" t="s">
        <v>186</v>
      </c>
      <c r="B49" s="55">
        <v>58</v>
      </c>
      <c r="C49" s="33">
        <v>16</v>
      </c>
      <c r="D49">
        <v>0.82</v>
      </c>
      <c r="E49" s="30">
        <v>491.4</v>
      </c>
      <c r="F49">
        <f t="shared" si="0"/>
        <v>453.25938454972703</v>
      </c>
      <c r="G49" s="55">
        <f t="shared" si="1"/>
        <v>70.731707317073173</v>
      </c>
      <c r="H49" s="2">
        <f t="shared" si="2"/>
        <v>35.299875844588591</v>
      </c>
      <c r="L49" s="3"/>
    </row>
    <row r="50" spans="1:13">
      <c r="B50" s="55"/>
      <c r="C50" s="32"/>
      <c r="G50" s="55"/>
    </row>
    <row r="51" spans="1:13">
      <c r="A51" t="s">
        <v>197</v>
      </c>
      <c r="B51" s="13">
        <f>SUM(B3:B49)</f>
        <v>12528</v>
      </c>
      <c r="C51" s="13">
        <f>SUM(C3:C49)</f>
        <v>4361</v>
      </c>
      <c r="D51" s="13">
        <f>SUM(D3:D49)</f>
        <v>126.73999999999994</v>
      </c>
      <c r="E51" s="13">
        <f>SUM(E3:E49)</f>
        <v>75918.199999999983</v>
      </c>
      <c r="F51" s="13">
        <f>SUM(F3:F49)</f>
        <v>70025.715523246021</v>
      </c>
      <c r="G51" s="74">
        <f>B51/D51</f>
        <v>98.848035347956497</v>
      </c>
      <c r="H51" s="75">
        <f>C51/(F51/1000)</f>
        <v>62.277121589029747</v>
      </c>
    </row>
    <row r="52" spans="1:13">
      <c r="G52" s="31"/>
      <c r="M52" s="54"/>
    </row>
    <row r="53" spans="1:13">
      <c r="A53" t="s">
        <v>198</v>
      </c>
      <c r="G53" s="2">
        <f>MIN(G3:G49)</f>
        <v>15.789473684210527</v>
      </c>
      <c r="H53" s="2">
        <f>MIN(H3:H49)</f>
        <v>13.809538819285759</v>
      </c>
    </row>
    <row r="54" spans="1:13">
      <c r="A54" t="s">
        <v>199</v>
      </c>
      <c r="G54" s="2">
        <f>MAX(G3:G49)</f>
        <v>243.79699248120301</v>
      </c>
      <c r="H54" s="2">
        <f>MAX(H3:H49)</f>
        <v>138.55028618066817</v>
      </c>
    </row>
    <row r="55" spans="1:13">
      <c r="A55" t="s">
        <v>25</v>
      </c>
      <c r="G55" s="2">
        <f>MEDIAN(G3:G49)</f>
        <v>97.101449275362327</v>
      </c>
      <c r="H55" s="2">
        <f>MEDIAN(H3:H49)</f>
        <v>63.81200137566227</v>
      </c>
    </row>
    <row r="58" spans="1:13">
      <c r="A58" t="s">
        <v>233</v>
      </c>
      <c r="E58" t="s">
        <v>145</v>
      </c>
    </row>
    <row r="59" spans="1:13">
      <c r="A59" t="s">
        <v>234</v>
      </c>
      <c r="C59">
        <v>2017</v>
      </c>
      <c r="D59" s="5" t="s">
        <v>146</v>
      </c>
      <c r="E59" s="5"/>
    </row>
    <row r="60" spans="1:13" ht="105">
      <c r="B60" s="1" t="s">
        <v>242</v>
      </c>
      <c r="C60">
        <v>2015</v>
      </c>
      <c r="D60" s="5" t="s">
        <v>235</v>
      </c>
    </row>
    <row r="61" spans="1:13">
      <c r="A61" t="s">
        <v>249</v>
      </c>
    </row>
    <row r="62" spans="1:13">
      <c r="A62" t="s">
        <v>243</v>
      </c>
    </row>
    <row r="63" spans="1:13">
      <c r="A63" t="s">
        <v>236</v>
      </c>
      <c r="D63">
        <v>5892.5</v>
      </c>
    </row>
    <row r="64" spans="1:13">
      <c r="A64" t="s">
        <v>237</v>
      </c>
      <c r="D64" s="54">
        <v>70025.900000000009</v>
      </c>
      <c r="G64" s="54"/>
    </row>
    <row r="65" spans="1:4">
      <c r="A65" t="s">
        <v>238</v>
      </c>
      <c r="D65">
        <v>75918.400000000009</v>
      </c>
    </row>
    <row r="66" spans="1:4">
      <c r="A66" t="s">
        <v>244</v>
      </c>
      <c r="D66">
        <v>127110.19999999998</v>
      </c>
    </row>
    <row r="67" spans="1:4">
      <c r="A67" t="s">
        <v>239</v>
      </c>
      <c r="D67">
        <v>0.92238376994246452</v>
      </c>
    </row>
    <row r="68" spans="1:4">
      <c r="A68" t="s">
        <v>240</v>
      </c>
      <c r="D68">
        <v>0.99708756653675279</v>
      </c>
    </row>
    <row r="69" spans="1:4">
      <c r="A69" t="s">
        <v>241</v>
      </c>
    </row>
  </sheetData>
  <sortState ref="A4:I50">
    <sortCondition ref="A4:A50"/>
  </sortState>
  <hyperlinks>
    <hyperlink ref="D59" r:id="rId1"/>
    <hyperlink ref="D60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C4" sqref="C4"/>
    </sheetView>
  </sheetViews>
  <sheetFormatPr defaultRowHeight="15"/>
  <cols>
    <col min="5" max="5" width="16.28515625" customWidth="1"/>
    <col min="7" max="7" width="10" customWidth="1"/>
    <col min="8" max="8" width="9.28515625" bestFit="1" customWidth="1"/>
  </cols>
  <sheetData>
    <row r="1" spans="1:23" ht="15.75">
      <c r="A1" s="34" t="s">
        <v>261</v>
      </c>
      <c r="B1" s="46" t="s">
        <v>144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3" ht="126">
      <c r="A2" s="35" t="s">
        <v>26</v>
      </c>
      <c r="B2" s="36" t="s">
        <v>200</v>
      </c>
      <c r="C2" s="48" t="s">
        <v>201</v>
      </c>
      <c r="D2" s="48" t="s">
        <v>202</v>
      </c>
      <c r="E2" s="48" t="s">
        <v>203</v>
      </c>
      <c r="F2" s="48" t="s">
        <v>204</v>
      </c>
      <c r="G2" s="48" t="s">
        <v>259</v>
      </c>
      <c r="H2" s="48" t="s">
        <v>260</v>
      </c>
      <c r="I2" s="48" t="s">
        <v>256</v>
      </c>
      <c r="J2" s="48" t="s">
        <v>257</v>
      </c>
      <c r="K2" s="48" t="s">
        <v>258</v>
      </c>
      <c r="L2" s="48" t="s">
        <v>267</v>
      </c>
      <c r="M2" s="48" t="s">
        <v>268</v>
      </c>
      <c r="N2" s="48"/>
      <c r="O2" s="48"/>
      <c r="P2" s="48"/>
      <c r="Q2" s="48"/>
      <c r="R2" s="46"/>
      <c r="S2" s="46"/>
      <c r="T2" s="46"/>
      <c r="U2" s="46"/>
    </row>
    <row r="3" spans="1:23" ht="15.75">
      <c r="A3" s="37">
        <v>2003</v>
      </c>
      <c r="B3" s="38">
        <v>5109</v>
      </c>
      <c r="C3" s="46"/>
      <c r="D3" s="46"/>
      <c r="E3" s="46">
        <v>127718000</v>
      </c>
      <c r="F3" s="46">
        <f>E3/1000000</f>
        <v>127.718</v>
      </c>
      <c r="G3" s="46"/>
      <c r="H3" s="46"/>
      <c r="I3" s="46">
        <f>B3/F3</f>
        <v>40.002192329976978</v>
      </c>
      <c r="J3" s="46"/>
      <c r="K3" s="46"/>
      <c r="L3" s="46">
        <v>329096</v>
      </c>
      <c r="M3" s="46">
        <f>B3/L3*100</f>
        <v>1.5524345479738435</v>
      </c>
      <c r="N3" s="46"/>
      <c r="O3" s="46"/>
      <c r="P3" s="46"/>
      <c r="Q3" s="46"/>
      <c r="R3" s="46"/>
      <c r="S3" s="46"/>
      <c r="T3" s="46"/>
      <c r="U3" s="46"/>
      <c r="W3" t="e">
        <f>Q3/T3</f>
        <v>#DIV/0!</v>
      </c>
    </row>
    <row r="4" spans="1:23" ht="15.75">
      <c r="A4" s="37">
        <v>2004</v>
      </c>
      <c r="B4" s="38">
        <v>5242</v>
      </c>
      <c r="C4" s="46"/>
      <c r="D4" s="46"/>
      <c r="E4" s="46">
        <v>127761000</v>
      </c>
      <c r="F4" s="46">
        <f t="shared" ref="F4:F18" si="0">E4/1000000</f>
        <v>127.761</v>
      </c>
      <c r="G4" s="46"/>
      <c r="H4" s="46"/>
      <c r="I4" s="46">
        <f t="shared" ref="I4:I19" si="1">B4/F4</f>
        <v>41.029735208710015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3" ht="15.75">
      <c r="A5" s="37">
        <v>2005</v>
      </c>
      <c r="B5" s="38">
        <v>5623</v>
      </c>
      <c r="C5" s="46"/>
      <c r="D5" s="46"/>
      <c r="E5" s="46">
        <v>127773000</v>
      </c>
      <c r="F5" s="46">
        <f t="shared" si="0"/>
        <v>127.773</v>
      </c>
      <c r="G5" s="46"/>
      <c r="H5" s="46"/>
      <c r="I5" s="46">
        <f t="shared" si="1"/>
        <v>44.007732463039922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3" ht="15.75">
      <c r="A6" s="39">
        <v>2006</v>
      </c>
      <c r="B6" s="40">
        <v>6007.9999999999927</v>
      </c>
      <c r="C6" s="46"/>
      <c r="D6" s="46"/>
      <c r="E6" s="46">
        <v>127854000</v>
      </c>
      <c r="F6" s="46">
        <f t="shared" si="0"/>
        <v>127.854</v>
      </c>
      <c r="G6" s="46"/>
      <c r="H6" s="46"/>
      <c r="I6" s="46">
        <f t="shared" si="1"/>
        <v>46.991099222550666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3" ht="15.75">
      <c r="A7" s="39">
        <v>2007</v>
      </c>
      <c r="B7" s="41">
        <v>6786</v>
      </c>
      <c r="C7" s="46"/>
      <c r="D7" s="46"/>
      <c r="E7" s="46">
        <v>128001000</v>
      </c>
      <c r="F7" s="46">
        <f t="shared" si="0"/>
        <v>128.001</v>
      </c>
      <c r="G7" s="46"/>
      <c r="H7" s="46"/>
      <c r="I7" s="46">
        <f t="shared" si="1"/>
        <v>53.01521081866548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3" ht="15.75">
      <c r="A8" s="39">
        <v>2008</v>
      </c>
      <c r="B8" s="41">
        <v>8057</v>
      </c>
      <c r="C8" s="46"/>
      <c r="D8" s="46"/>
      <c r="E8" s="46">
        <v>128063000</v>
      </c>
      <c r="F8" s="46">
        <f t="shared" si="0"/>
        <v>128.06299999999999</v>
      </c>
      <c r="G8" s="46"/>
      <c r="H8" s="46"/>
      <c r="I8" s="46">
        <f t="shared" si="1"/>
        <v>62.914346844912274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3" ht="15.75">
      <c r="A9" s="39">
        <v>2009</v>
      </c>
      <c r="B9" s="41">
        <v>8193</v>
      </c>
      <c r="C9" s="46"/>
      <c r="D9" s="46"/>
      <c r="E9" s="46">
        <v>128047000</v>
      </c>
      <c r="F9" s="46">
        <f t="shared" si="0"/>
        <v>128.047</v>
      </c>
      <c r="G9" s="46"/>
      <c r="H9" s="46"/>
      <c r="I9" s="46">
        <f t="shared" si="1"/>
        <v>63.984318258139588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3" ht="15.75">
      <c r="A10" s="39">
        <v>2010</v>
      </c>
      <c r="B10" s="41">
        <v>8930</v>
      </c>
      <c r="C10" s="46"/>
      <c r="D10" s="46"/>
      <c r="E10" s="46">
        <v>128070000</v>
      </c>
      <c r="F10" s="46">
        <f t="shared" si="0"/>
        <v>128.07</v>
      </c>
      <c r="G10" s="46"/>
      <c r="H10" s="46"/>
      <c r="I10" s="46">
        <f t="shared" si="1"/>
        <v>69.727492777387369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3" ht="15.75">
      <c r="A11" s="39">
        <v>2011</v>
      </c>
      <c r="B11" s="41">
        <v>9254</v>
      </c>
      <c r="C11" s="46"/>
      <c r="D11" s="46"/>
      <c r="E11" s="46">
        <v>127833000</v>
      </c>
      <c r="F11" s="46">
        <f t="shared" si="0"/>
        <v>127.833</v>
      </c>
      <c r="G11" s="46"/>
      <c r="H11" s="46"/>
      <c r="I11" s="46">
        <f t="shared" si="1"/>
        <v>72.391323054297402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3" ht="15.75">
      <c r="A12" s="39">
        <v>2012</v>
      </c>
      <c r="B12" s="41">
        <v>9695</v>
      </c>
      <c r="C12" s="46"/>
      <c r="D12" s="46"/>
      <c r="E12" s="46">
        <v>127629000</v>
      </c>
      <c r="F12" s="46">
        <f t="shared" si="0"/>
        <v>127.629</v>
      </c>
      <c r="G12" s="46"/>
      <c r="H12" s="46"/>
      <c r="I12" s="46">
        <f t="shared" si="1"/>
        <v>75.962359651803268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3" ht="15.75">
      <c r="A13" s="39">
        <v>2013</v>
      </c>
      <c r="B13" s="41">
        <v>10229</v>
      </c>
      <c r="C13" s="46"/>
      <c r="D13" s="46"/>
      <c r="E13" s="46">
        <v>127445000</v>
      </c>
      <c r="F13" s="46">
        <f t="shared" si="0"/>
        <v>127.44499999999999</v>
      </c>
      <c r="G13" s="46"/>
      <c r="H13" s="46"/>
      <c r="I13" s="46">
        <f t="shared" si="1"/>
        <v>80.262073835772298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3" ht="15.75">
      <c r="A14" s="42">
        <v>2014</v>
      </c>
      <c r="B14" s="43">
        <v>10673</v>
      </c>
      <c r="C14" s="46"/>
      <c r="D14" s="46"/>
      <c r="E14" s="46">
        <v>127276000</v>
      </c>
      <c r="F14" s="46">
        <f t="shared" si="0"/>
        <v>127.276</v>
      </c>
      <c r="G14" s="46"/>
      <c r="H14" s="46"/>
      <c r="I14" s="46">
        <f t="shared" si="1"/>
        <v>83.857129388101455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3" ht="15.75">
      <c r="A15" s="39">
        <v>2015</v>
      </c>
      <c r="B15" s="41">
        <v>10298</v>
      </c>
      <c r="C15" s="46"/>
      <c r="D15" s="46"/>
      <c r="E15" s="46">
        <v>127141000</v>
      </c>
      <c r="F15" s="46">
        <f t="shared" si="0"/>
        <v>127.14100000000001</v>
      </c>
      <c r="G15" s="46"/>
      <c r="H15" s="46"/>
      <c r="I15" s="46">
        <f t="shared" si="1"/>
        <v>80.996688715677863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3" ht="15.75">
      <c r="A16" s="44">
        <v>2016</v>
      </c>
      <c r="B16" s="38">
        <v>10933</v>
      </c>
      <c r="C16" s="46"/>
      <c r="D16" s="46"/>
      <c r="E16" s="46">
        <v>126994511</v>
      </c>
      <c r="F16" s="46">
        <f t="shared" si="0"/>
        <v>126.994511</v>
      </c>
      <c r="G16" s="46"/>
      <c r="H16" s="46"/>
      <c r="I16" s="46">
        <f t="shared" si="1"/>
        <v>86.090335038181294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6" ht="15.75">
      <c r="A17" s="44">
        <v>2017</v>
      </c>
      <c r="B17" s="45">
        <v>12528</v>
      </c>
      <c r="C17" s="57">
        <v>4361</v>
      </c>
      <c r="D17" s="57">
        <v>8077</v>
      </c>
      <c r="E17" s="46">
        <v>126785797</v>
      </c>
      <c r="F17" s="46">
        <f t="shared" si="0"/>
        <v>126.785797</v>
      </c>
      <c r="G17" s="46">
        <f>F17*0.559</f>
        <v>70.873260523000013</v>
      </c>
      <c r="H17" s="46">
        <v>35.152000000000001</v>
      </c>
      <c r="I17" s="46">
        <f t="shared" si="1"/>
        <v>98.812329901589848</v>
      </c>
      <c r="J17" s="46">
        <f>C17/G17</f>
        <v>61.532374379541274</v>
      </c>
      <c r="K17" s="46">
        <f>D17/H17</f>
        <v>229.77355484751934</v>
      </c>
      <c r="L17" s="46"/>
      <c r="M17" s="46" t="s">
        <v>205</v>
      </c>
      <c r="N17" s="46"/>
      <c r="O17" s="46"/>
      <c r="P17" s="46"/>
      <c r="Q17" s="46"/>
      <c r="S17" s="46"/>
      <c r="T17" s="46"/>
      <c r="U17" s="46"/>
    </row>
    <row r="18" spans="1:26" ht="15.75">
      <c r="A18" s="44">
        <v>2018</v>
      </c>
      <c r="B18" s="44">
        <v>11362</v>
      </c>
      <c r="C18" s="57">
        <v>3783</v>
      </c>
      <c r="D18" s="57">
        <v>7502</v>
      </c>
      <c r="E18" s="46">
        <v>126529100</v>
      </c>
      <c r="F18" s="46">
        <f t="shared" si="0"/>
        <v>126.5291</v>
      </c>
      <c r="G18" s="46">
        <f>F18*0.559</f>
        <v>70.729766900000001</v>
      </c>
      <c r="H18" s="46">
        <v>35.578000000000003</v>
      </c>
      <c r="I18" s="46">
        <f t="shared" si="1"/>
        <v>89.797524838159759</v>
      </c>
      <c r="J18" s="46">
        <f>C18/G18</f>
        <v>53.485260390417032</v>
      </c>
      <c r="K18" s="46">
        <f t="shared" ref="K18:K19" si="2">D18/H18</f>
        <v>210.86064421833717</v>
      </c>
      <c r="L18" s="46"/>
      <c r="M18" s="46" t="s">
        <v>205</v>
      </c>
      <c r="N18" s="46"/>
      <c r="O18" s="46"/>
      <c r="P18" s="46"/>
      <c r="Q18" s="46"/>
      <c r="S18" s="46"/>
      <c r="T18" s="46"/>
      <c r="U18" s="46"/>
    </row>
    <row r="19" spans="1:26" ht="15.75">
      <c r="A19" s="44">
        <v>2019</v>
      </c>
      <c r="B19" s="38">
        <v>10875</v>
      </c>
      <c r="C19" s="46">
        <v>3660</v>
      </c>
      <c r="D19" s="46">
        <v>7139</v>
      </c>
      <c r="E19" s="46"/>
      <c r="F19" s="46">
        <v>126.86</v>
      </c>
      <c r="G19" s="46">
        <f>F19*0.559</f>
        <v>70.914740000000009</v>
      </c>
      <c r="H19" s="46">
        <v>35.884999999999998</v>
      </c>
      <c r="I19" s="46">
        <f t="shared" si="1"/>
        <v>85.724420621157179</v>
      </c>
      <c r="J19" s="46">
        <f>C19/G19</f>
        <v>51.611272917308867</v>
      </c>
      <c r="K19" s="46">
        <f t="shared" si="2"/>
        <v>198.94106172495472</v>
      </c>
      <c r="L19" s="46"/>
      <c r="M19" s="46" t="s">
        <v>206</v>
      </c>
      <c r="N19" s="46"/>
      <c r="O19" s="46"/>
      <c r="P19" s="46"/>
      <c r="Q19" s="46"/>
      <c r="S19" s="46"/>
      <c r="T19" s="46"/>
      <c r="U19" s="46"/>
    </row>
    <row r="20" spans="1:26" ht="15.75">
      <c r="A20" s="44">
        <v>2020</v>
      </c>
      <c r="B20" s="38"/>
      <c r="C20" s="46"/>
      <c r="D20" s="46"/>
      <c r="E20" s="46"/>
      <c r="F20" s="46">
        <v>126.554</v>
      </c>
      <c r="G20" s="46">
        <v>70.72</v>
      </c>
      <c r="H20" s="46"/>
      <c r="I20" s="46"/>
      <c r="J20" s="46"/>
      <c r="K20" s="46"/>
      <c r="L20" s="46"/>
      <c r="M20" s="46" t="s">
        <v>207</v>
      </c>
      <c r="N20" s="46"/>
      <c r="O20" s="46"/>
      <c r="P20" s="46"/>
      <c r="Q20" s="46"/>
      <c r="S20" s="46"/>
      <c r="T20" s="46"/>
      <c r="U20" s="46"/>
    </row>
    <row r="21" spans="1:26" ht="15.75">
      <c r="A21" s="44" t="s">
        <v>250</v>
      </c>
      <c r="B21" s="38"/>
      <c r="C21" s="46"/>
      <c r="D21" s="46"/>
      <c r="E21" s="46" t="s">
        <v>145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>
      <c r="A22" s="46" t="s">
        <v>208</v>
      </c>
      <c r="B22" s="46"/>
      <c r="C22" s="46"/>
      <c r="D22" s="46"/>
      <c r="E22" s="58" t="s">
        <v>209</v>
      </c>
      <c r="F22" s="46"/>
      <c r="G22" s="46"/>
      <c r="H22" s="46"/>
      <c r="I22" s="46"/>
      <c r="J22" s="46"/>
      <c r="K22" s="46"/>
      <c r="L22" s="46"/>
      <c r="M22" s="46" t="s">
        <v>254</v>
      </c>
      <c r="N22" s="46"/>
      <c r="P22" s="46"/>
      <c r="Q22" s="58" t="s">
        <v>210</v>
      </c>
      <c r="S22" s="46"/>
      <c r="T22" s="46"/>
      <c r="U22" s="46"/>
      <c r="V22" s="46"/>
      <c r="W22" s="46"/>
      <c r="X22" s="46"/>
      <c r="Y22" s="46"/>
      <c r="Z22" s="46"/>
    </row>
    <row r="23" spans="1:26" ht="15.75">
      <c r="A23" s="46" t="s">
        <v>211</v>
      </c>
      <c r="B23" s="46"/>
      <c r="C23" s="37"/>
      <c r="D23" s="37"/>
      <c r="E23" s="37"/>
      <c r="F23" s="37"/>
      <c r="G23" s="37"/>
      <c r="H23" s="3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>
      <c r="A24" s="46" t="s">
        <v>255</v>
      </c>
      <c r="B24" s="46"/>
      <c r="C24" s="37"/>
      <c r="D24" s="37"/>
      <c r="E24" s="37"/>
      <c r="F24" s="37"/>
      <c r="G24" s="37"/>
      <c r="H24" s="3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7.5">
      <c r="A25" s="48" t="s">
        <v>212</v>
      </c>
      <c r="B25" s="48"/>
      <c r="C25" s="49" t="s">
        <v>251</v>
      </c>
      <c r="D25" s="49" t="s">
        <v>252</v>
      </c>
      <c r="E25" s="49" t="s">
        <v>213</v>
      </c>
      <c r="F25" s="48" t="s">
        <v>214</v>
      </c>
      <c r="G25" s="49" t="s">
        <v>215</v>
      </c>
      <c r="H25" s="50" t="s">
        <v>253</v>
      </c>
      <c r="I25" s="48" t="s">
        <v>216</v>
      </c>
      <c r="J25" s="48" t="s">
        <v>217</v>
      </c>
      <c r="K25" s="48" t="s">
        <v>218</v>
      </c>
      <c r="L25" s="48" t="s">
        <v>219</v>
      </c>
      <c r="N25" s="48" t="s">
        <v>216</v>
      </c>
      <c r="O25" s="48" t="s">
        <v>217</v>
      </c>
      <c r="P25" s="48" t="s">
        <v>218</v>
      </c>
      <c r="Q25" s="48" t="s">
        <v>219</v>
      </c>
      <c r="S25" s="46"/>
      <c r="T25" s="46"/>
      <c r="U25" s="46"/>
      <c r="V25" s="46"/>
      <c r="W25" s="46"/>
      <c r="X25" s="46"/>
      <c r="Y25" s="46"/>
      <c r="Z25" s="46"/>
    </row>
    <row r="26" spans="1:26" ht="15.75">
      <c r="A26" s="46" t="s">
        <v>220</v>
      </c>
      <c r="B26" s="46">
        <v>2017</v>
      </c>
      <c r="C26" s="51">
        <v>90</v>
      </c>
      <c r="D26" s="51">
        <v>2387</v>
      </c>
      <c r="E26" s="52">
        <f t="shared" ref="E26:E34" si="3">C26/D26*100</f>
        <v>3.7704231252618348</v>
      </c>
      <c r="F26" s="46"/>
      <c r="G26" s="52"/>
      <c r="H26" s="46"/>
      <c r="I26" s="46">
        <v>2018</v>
      </c>
      <c r="J26" s="51">
        <v>74</v>
      </c>
      <c r="K26" s="51">
        <v>2377</v>
      </c>
      <c r="L26" s="46">
        <f t="shared" ref="L26:L34" si="4">J26/K26*100</f>
        <v>3.1131678586453515</v>
      </c>
      <c r="N26" s="46">
        <v>2019</v>
      </c>
      <c r="O26" s="59">
        <v>76</v>
      </c>
      <c r="P26" s="51">
        <v>2488</v>
      </c>
      <c r="Q26" s="46">
        <f>O26/P26*100</f>
        <v>3.054662379421222</v>
      </c>
      <c r="S26" s="46"/>
      <c r="T26" s="46"/>
      <c r="U26" s="46"/>
      <c r="V26" s="46"/>
      <c r="W26" s="46"/>
      <c r="X26" s="46"/>
      <c r="Y26" s="46"/>
      <c r="Z26" s="46"/>
    </row>
    <row r="27" spans="1:26" ht="15.75">
      <c r="A27" s="46" t="s">
        <v>221</v>
      </c>
      <c r="B27" s="46">
        <v>2017</v>
      </c>
      <c r="C27" s="51">
        <v>806</v>
      </c>
      <c r="D27" s="51">
        <v>19382</v>
      </c>
      <c r="E27" s="52">
        <f t="shared" si="3"/>
        <v>4.158497575069652</v>
      </c>
      <c r="F27" s="46"/>
      <c r="G27" s="52"/>
      <c r="H27" s="46"/>
      <c r="I27" s="46">
        <v>2018</v>
      </c>
      <c r="J27" s="51">
        <v>669</v>
      </c>
      <c r="K27" s="51">
        <v>18498</v>
      </c>
      <c r="L27" s="46">
        <f t="shared" si="4"/>
        <v>3.6166072007784629</v>
      </c>
      <c r="N27" s="46">
        <v>2019</v>
      </c>
      <c r="O27" s="59">
        <v>647</v>
      </c>
      <c r="P27" s="51">
        <v>17539</v>
      </c>
      <c r="Q27" s="46">
        <f t="shared" ref="Q27:Q34" si="5">O27/P27*100</f>
        <v>3.6889218313472831</v>
      </c>
      <c r="S27" s="46"/>
      <c r="T27" s="46"/>
      <c r="U27" s="46"/>
      <c r="V27" s="46"/>
      <c r="W27" s="46"/>
      <c r="X27" s="46"/>
      <c r="Y27" s="46"/>
      <c r="Z27" s="46"/>
    </row>
    <row r="28" spans="1:26" ht="15.75">
      <c r="A28" s="46" t="s">
        <v>222</v>
      </c>
      <c r="B28" s="46">
        <v>2017</v>
      </c>
      <c r="C28" s="51">
        <v>3555</v>
      </c>
      <c r="D28" s="51">
        <v>97212</v>
      </c>
      <c r="E28" s="52">
        <f t="shared" si="3"/>
        <v>3.6569559313664977</v>
      </c>
      <c r="F28" s="46"/>
      <c r="G28" s="52"/>
      <c r="H28" s="46"/>
      <c r="I28" s="46">
        <v>2018</v>
      </c>
      <c r="J28" s="51">
        <v>3114</v>
      </c>
      <c r="K28" s="51">
        <v>92691</v>
      </c>
      <c r="L28" s="46">
        <f t="shared" si="4"/>
        <v>3.3595494708224103</v>
      </c>
      <c r="N28" s="46">
        <v>2019</v>
      </c>
      <c r="O28" s="59">
        <v>3013</v>
      </c>
      <c r="P28" s="51">
        <v>87832</v>
      </c>
      <c r="Q28" s="46">
        <f t="shared" si="5"/>
        <v>3.4304126058839604</v>
      </c>
      <c r="S28" s="46"/>
      <c r="T28" s="46"/>
      <c r="U28" s="46"/>
      <c r="V28" s="46"/>
      <c r="W28" s="46"/>
      <c r="X28" s="46"/>
      <c r="Y28" s="46"/>
      <c r="Z28" s="46"/>
    </row>
    <row r="29" spans="1:26" ht="15.75">
      <c r="A29" s="46" t="s">
        <v>223</v>
      </c>
      <c r="B29" s="46">
        <v>2017</v>
      </c>
      <c r="C29" s="51">
        <v>2924</v>
      </c>
      <c r="D29" s="51">
        <v>72539</v>
      </c>
      <c r="E29" s="52">
        <f t="shared" si="3"/>
        <v>4.0309350831966251</v>
      </c>
      <c r="F29" s="46"/>
      <c r="G29" s="52"/>
      <c r="H29" s="46"/>
      <c r="I29" s="46">
        <v>2018</v>
      </c>
      <c r="J29" s="51">
        <v>2671</v>
      </c>
      <c r="K29" s="51">
        <v>71633</v>
      </c>
      <c r="L29" s="46">
        <f t="shared" si="4"/>
        <v>3.7287283793782198</v>
      </c>
      <c r="N29" s="46">
        <v>2019</v>
      </c>
      <c r="O29" s="59">
        <v>2543</v>
      </c>
      <c r="P29" s="51">
        <v>68915</v>
      </c>
      <c r="Q29" s="46">
        <f t="shared" si="5"/>
        <v>3.6900529637959805</v>
      </c>
      <c r="S29" s="46"/>
      <c r="T29" s="46"/>
      <c r="U29" s="46"/>
      <c r="V29" s="46"/>
      <c r="W29" s="46"/>
      <c r="X29" s="46"/>
      <c r="Y29" s="46"/>
      <c r="Z29" s="46"/>
    </row>
    <row r="30" spans="1:26" ht="15.75">
      <c r="A30" s="46" t="s">
        <v>224</v>
      </c>
      <c r="B30" s="46">
        <v>2017</v>
      </c>
      <c r="C30" s="51">
        <v>5153</v>
      </c>
      <c r="D30" s="51">
        <v>92406</v>
      </c>
      <c r="E30" s="52">
        <f t="shared" si="3"/>
        <v>5.5764777178971059</v>
      </c>
      <c r="F30" s="46"/>
      <c r="G30" s="52"/>
      <c r="H30" s="46"/>
      <c r="I30" s="46">
        <v>2018</v>
      </c>
      <c r="J30" s="51">
        <v>4831</v>
      </c>
      <c r="K30" s="51">
        <v>95319</v>
      </c>
      <c r="L30" s="46">
        <f t="shared" si="4"/>
        <v>5.0682445262749294</v>
      </c>
      <c r="N30" s="46">
        <v>2019</v>
      </c>
      <c r="O30" s="59">
        <v>4596</v>
      </c>
      <c r="P30" s="51">
        <v>95318</v>
      </c>
      <c r="Q30" s="46">
        <f t="shared" si="5"/>
        <v>4.8217545479342832</v>
      </c>
      <c r="S30" s="46"/>
      <c r="T30" s="46"/>
      <c r="U30" s="46"/>
      <c r="V30" s="46"/>
      <c r="W30" s="46"/>
      <c r="X30" s="46"/>
      <c r="Y30" s="46"/>
      <c r="Z30" s="46"/>
    </row>
    <row r="31" spans="1:26" ht="15.75">
      <c r="A31" s="46" t="s">
        <v>225</v>
      </c>
      <c r="B31" s="46">
        <v>2017</v>
      </c>
      <c r="C31" s="51">
        <v>0</v>
      </c>
      <c r="D31" s="51">
        <v>246</v>
      </c>
      <c r="E31" s="52">
        <f t="shared" si="3"/>
        <v>0</v>
      </c>
      <c r="F31" s="46"/>
      <c r="G31" s="52"/>
      <c r="H31" s="46"/>
      <c r="I31" s="46">
        <v>2018</v>
      </c>
      <c r="J31" s="60">
        <v>3</v>
      </c>
      <c r="K31" s="51">
        <v>297</v>
      </c>
      <c r="L31" s="46">
        <f t="shared" si="4"/>
        <v>1.0101010101010102</v>
      </c>
      <c r="N31" s="46">
        <v>2019</v>
      </c>
      <c r="O31" s="59">
        <v>0</v>
      </c>
      <c r="P31" s="51">
        <v>4</v>
      </c>
      <c r="Q31" s="46">
        <f t="shared" si="5"/>
        <v>0</v>
      </c>
      <c r="S31" s="46"/>
      <c r="T31" s="46"/>
      <c r="U31" s="46"/>
      <c r="V31" s="46"/>
      <c r="W31" s="46"/>
      <c r="X31" s="46"/>
      <c r="Y31" s="46"/>
      <c r="Z31" s="46"/>
    </row>
    <row r="32" spans="1:26" ht="15.75">
      <c r="A32" s="46" t="s">
        <v>197</v>
      </c>
      <c r="B32" s="46">
        <v>2017</v>
      </c>
      <c r="C32" s="51">
        <v>12528</v>
      </c>
      <c r="D32" s="51">
        <v>284172</v>
      </c>
      <c r="E32" s="52">
        <f t="shared" si="3"/>
        <v>4.4085976098982309</v>
      </c>
      <c r="F32" s="46">
        <v>126.8</v>
      </c>
      <c r="G32" s="52">
        <f>D32/F32</f>
        <v>2241.1041009463725</v>
      </c>
      <c r="H32" s="46">
        <f>G32/10000</f>
        <v>0.22411041009463725</v>
      </c>
      <c r="I32" s="46">
        <v>2018</v>
      </c>
      <c r="J32" s="59">
        <f>SUM(J26:J31)</f>
        <v>11362</v>
      </c>
      <c r="K32" s="51">
        <v>280815</v>
      </c>
      <c r="L32" s="46">
        <f t="shared" si="4"/>
        <v>4.046080159535637</v>
      </c>
      <c r="N32" s="46">
        <v>2019</v>
      </c>
      <c r="O32" s="59">
        <v>10875</v>
      </c>
      <c r="P32" s="51">
        <v>272096</v>
      </c>
      <c r="Q32" s="46">
        <f t="shared" si="5"/>
        <v>3.9967511466541219</v>
      </c>
      <c r="S32" s="46"/>
      <c r="T32" s="46"/>
      <c r="U32" s="46"/>
      <c r="V32" s="46"/>
      <c r="W32" s="46"/>
      <c r="X32" s="46"/>
      <c r="Y32" s="46"/>
      <c r="Z32" s="46"/>
    </row>
    <row r="33" spans="1:26" ht="15.75">
      <c r="A33" s="46" t="s">
        <v>226</v>
      </c>
      <c r="B33" s="46">
        <v>2017</v>
      </c>
      <c r="C33" s="53">
        <f>SUM(C27:C28)</f>
        <v>4361</v>
      </c>
      <c r="D33" s="53">
        <f>SUM(D27:D28)</f>
        <v>116594</v>
      </c>
      <c r="E33" s="52">
        <f t="shared" si="3"/>
        <v>3.7403296910647206</v>
      </c>
      <c r="F33" s="46">
        <v>70.87</v>
      </c>
      <c r="G33" s="52">
        <f>D33/F33</f>
        <v>1645.181317906025</v>
      </c>
      <c r="H33" s="46">
        <f t="shared" ref="H33:H34" si="6">G33/10000</f>
        <v>0.16451813179060251</v>
      </c>
      <c r="I33" s="46">
        <v>2018</v>
      </c>
      <c r="J33" s="59">
        <f>SUM(J27:J28)</f>
        <v>3783</v>
      </c>
      <c r="K33" s="59">
        <f>SUM(K27:K28)</f>
        <v>111189</v>
      </c>
      <c r="L33" s="46">
        <f t="shared" si="4"/>
        <v>3.402314977200982</v>
      </c>
      <c r="N33" s="46">
        <v>2019</v>
      </c>
      <c r="O33" s="53">
        <f>SUM(O27:O28)</f>
        <v>3660</v>
      </c>
      <c r="P33" s="53">
        <f>SUM(P27:P28)</f>
        <v>105371</v>
      </c>
      <c r="Q33" s="46">
        <f t="shared" si="5"/>
        <v>3.473441459225024</v>
      </c>
      <c r="S33" s="46"/>
      <c r="T33" s="46"/>
      <c r="U33" s="46"/>
      <c r="V33" s="46"/>
      <c r="W33" s="46"/>
      <c r="X33" s="46"/>
      <c r="Y33" s="46"/>
      <c r="Z33" s="46"/>
    </row>
    <row r="34" spans="1:26" ht="15.75">
      <c r="A34" s="46" t="s">
        <v>227</v>
      </c>
      <c r="B34" s="46">
        <v>2017</v>
      </c>
      <c r="C34" s="53">
        <f>C29+C30</f>
        <v>8077</v>
      </c>
      <c r="D34" s="53">
        <f>D29+D30</f>
        <v>164945</v>
      </c>
      <c r="E34" s="52">
        <f t="shared" si="3"/>
        <v>4.8967837764103184</v>
      </c>
      <c r="F34" s="46">
        <v>35.15</v>
      </c>
      <c r="G34" s="52">
        <f>D34/F34</f>
        <v>4692.603129445235</v>
      </c>
      <c r="H34" s="46">
        <f t="shared" si="6"/>
        <v>0.46926031294452353</v>
      </c>
      <c r="I34" s="46">
        <v>2018</v>
      </c>
      <c r="J34" s="53">
        <f>J29+J30</f>
        <v>7502</v>
      </c>
      <c r="K34" s="53">
        <f>K29+K30</f>
        <v>166952</v>
      </c>
      <c r="L34" s="46">
        <f t="shared" si="4"/>
        <v>4.49350711581772</v>
      </c>
      <c r="N34" s="46">
        <v>2019</v>
      </c>
      <c r="O34" s="53">
        <f>O29+O30</f>
        <v>7139</v>
      </c>
      <c r="P34" s="53">
        <f>P29+P30</f>
        <v>164233</v>
      </c>
      <c r="Q34" s="46">
        <f t="shared" si="5"/>
        <v>4.3468730401320075</v>
      </c>
      <c r="S34" s="46"/>
      <c r="T34" s="46"/>
      <c r="U34" s="46"/>
      <c r="V34" s="46"/>
      <c r="W34" s="46"/>
      <c r="X34" s="46"/>
      <c r="Y34" s="46"/>
      <c r="Z34" s="46"/>
    </row>
    <row r="35" spans="1:26" ht="15.75">
      <c r="A35" s="46"/>
      <c r="B35" s="46"/>
      <c r="C35" s="53"/>
      <c r="D35" s="53"/>
      <c r="E35" s="53"/>
      <c r="F35" s="53"/>
      <c r="G35" s="46"/>
      <c r="H35" s="53"/>
      <c r="I35" s="46"/>
      <c r="J35" s="46"/>
      <c r="K35" s="5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>
      <c r="A36" s="46" t="s">
        <v>228</v>
      </c>
      <c r="B36" s="46"/>
      <c r="C36" s="37"/>
      <c r="D36" s="37"/>
      <c r="E36" s="37"/>
      <c r="F36" s="37"/>
      <c r="G36" s="37"/>
      <c r="H36" s="3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>
      <c r="A37" s="46" t="s">
        <v>229</v>
      </c>
      <c r="B37" s="46"/>
      <c r="C37" s="37"/>
      <c r="D37" s="37"/>
      <c r="E37" s="37">
        <f>70.72/126.5</f>
        <v>0.55905138339920946</v>
      </c>
      <c r="F37" s="37"/>
      <c r="G37" s="37"/>
      <c r="H37" s="37"/>
      <c r="I37" s="59"/>
      <c r="J37" s="46"/>
      <c r="K37" s="46"/>
      <c r="L37" s="46"/>
      <c r="M37" s="51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>
      <c r="A38" s="46"/>
      <c r="B38" s="46"/>
      <c r="C38" s="37"/>
      <c r="D38" s="37"/>
      <c r="E38" s="37"/>
      <c r="F38" s="37"/>
      <c r="G38" s="37"/>
      <c r="H38" s="37"/>
      <c r="I38" s="46"/>
      <c r="J38" s="46"/>
      <c r="K38" s="46"/>
      <c r="L38" s="46"/>
      <c r="M38" s="51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>
      <c r="A39" s="46" t="s">
        <v>230</v>
      </c>
      <c r="B39" s="46"/>
      <c r="C39" s="37"/>
      <c r="D39" s="37"/>
      <c r="E39" s="37"/>
      <c r="F39" s="37"/>
      <c r="G39" s="37"/>
      <c r="H39" s="37"/>
      <c r="I39" s="46"/>
      <c r="J39" s="46"/>
      <c r="K39" s="46"/>
      <c r="L39" s="46"/>
      <c r="M39" s="51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>
      <c r="A40" s="46">
        <v>76.47</v>
      </c>
      <c r="B40" s="46">
        <v>70.72</v>
      </c>
      <c r="C40" s="37">
        <f>A40/B40</f>
        <v>1.0813065610859729</v>
      </c>
      <c r="D40" s="37"/>
      <c r="E40" s="37"/>
      <c r="F40" s="37"/>
      <c r="G40" s="37"/>
      <c r="H40" s="37"/>
      <c r="I40" s="46"/>
      <c r="J40" s="46"/>
      <c r="K40" s="46"/>
      <c r="L40" s="46"/>
      <c r="M40" s="51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>
      <c r="A41" s="46" t="s">
        <v>231</v>
      </c>
      <c r="B41" s="46"/>
      <c r="C41" s="37"/>
      <c r="D41" s="37"/>
      <c r="E41" s="37"/>
      <c r="F41" s="37"/>
      <c r="G41" s="37"/>
      <c r="H41" s="37"/>
      <c r="I41" s="46"/>
      <c r="J41" s="46"/>
      <c r="K41" s="46"/>
      <c r="L41" s="46"/>
      <c r="M41" s="51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>
      <c r="I42" s="46"/>
      <c r="J42" s="46"/>
      <c r="K42" s="46"/>
      <c r="L42" s="46"/>
      <c r="M42" s="51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>
      <c r="I43" s="46"/>
      <c r="J43" s="46"/>
      <c r="K43" s="46"/>
      <c r="L43" s="46"/>
      <c r="M43" s="51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C44" s="47"/>
      <c r="D44" s="47"/>
      <c r="E44" s="47"/>
      <c r="F44" s="47"/>
      <c r="G44" s="47"/>
      <c r="H44" s="47"/>
      <c r="M44" s="31"/>
    </row>
    <row r="45" spans="1:26">
      <c r="C45" s="47"/>
      <c r="D45" s="47"/>
      <c r="E45" s="47"/>
      <c r="F45" s="47"/>
      <c r="G45" s="47"/>
      <c r="H45" s="47"/>
      <c r="M45" s="31"/>
    </row>
  </sheetData>
  <hyperlinks>
    <hyperlink ref="E22" r:id="rId1"/>
    <hyperlink ref="Q22" r:id="rId2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3" sqref="S3"/>
    </sheetView>
  </sheetViews>
  <sheetFormatPr defaultRowHeight="15"/>
  <cols>
    <col min="2" max="12" width="8.85546875" customWidth="1"/>
    <col min="13" max="13" width="8.85546875" style="7" customWidth="1"/>
    <col min="14" max="14" width="12" style="7" customWidth="1"/>
    <col min="18" max="20" width="12" style="7" customWidth="1"/>
    <col min="21" max="21" width="12" bestFit="1" customWidth="1"/>
  </cols>
  <sheetData>
    <row r="1" spans="1:23">
      <c r="A1" t="s">
        <v>320</v>
      </c>
      <c r="B1" t="s">
        <v>321</v>
      </c>
    </row>
    <row r="2" spans="1:23" ht="195">
      <c r="A2" s="1" t="s">
        <v>282</v>
      </c>
      <c r="B2" s="1" t="s">
        <v>283</v>
      </c>
      <c r="C2" s="1" t="s">
        <v>284</v>
      </c>
      <c r="D2" s="1" t="s">
        <v>285</v>
      </c>
      <c r="E2" s="1" t="s">
        <v>286</v>
      </c>
      <c r="F2" s="1" t="s">
        <v>287</v>
      </c>
      <c r="G2" s="1" t="s">
        <v>288</v>
      </c>
      <c r="H2" s="1" t="s">
        <v>289</v>
      </c>
      <c r="I2" s="1" t="s">
        <v>324</v>
      </c>
      <c r="J2" s="1" t="s">
        <v>290</v>
      </c>
      <c r="K2" s="1" t="s">
        <v>291</v>
      </c>
      <c r="L2" s="1" t="s">
        <v>292</v>
      </c>
      <c r="M2" s="66" t="s">
        <v>293</v>
      </c>
      <c r="N2" s="66" t="s">
        <v>294</v>
      </c>
      <c r="O2" s="66" t="s">
        <v>295</v>
      </c>
      <c r="P2" s="66" t="s">
        <v>296</v>
      </c>
      <c r="Q2" s="66" t="s">
        <v>297</v>
      </c>
      <c r="R2" s="66" t="s">
        <v>298</v>
      </c>
      <c r="S2" s="66" t="s">
        <v>327</v>
      </c>
      <c r="T2" s="66" t="s">
        <v>299</v>
      </c>
      <c r="U2" s="66" t="s">
        <v>300</v>
      </c>
      <c r="W2" s="66"/>
    </row>
    <row r="3" spans="1:23">
      <c r="A3" t="s">
        <v>308</v>
      </c>
      <c r="E3" t="s">
        <v>309</v>
      </c>
      <c r="F3" t="s">
        <v>303</v>
      </c>
      <c r="G3">
        <v>24.6</v>
      </c>
      <c r="H3" s="5"/>
      <c r="I3" s="5"/>
      <c r="J3" s="5"/>
      <c r="K3" s="5"/>
      <c r="L3" s="5"/>
      <c r="M3" s="67"/>
      <c r="N3" s="67"/>
      <c r="O3" s="67">
        <v>1479</v>
      </c>
      <c r="P3" s="69">
        <f>O3/(G3)</f>
        <v>60.121951219512191</v>
      </c>
      <c r="Q3" s="71">
        <f>P3/365</f>
        <v>0.16471767457400599</v>
      </c>
      <c r="R3" s="67">
        <f>Q3/$Q$3</f>
        <v>1</v>
      </c>
      <c r="S3" s="70">
        <v>0.92200000000000004</v>
      </c>
      <c r="T3" s="70">
        <f>Q3/S3</f>
        <v>0.17865257545987634</v>
      </c>
      <c r="U3" s="27">
        <v>0.92200000000000004</v>
      </c>
    </row>
    <row r="4" spans="1:23">
      <c r="A4" t="s">
        <v>304</v>
      </c>
      <c r="E4" t="s">
        <v>22</v>
      </c>
      <c r="F4" t="s">
        <v>305</v>
      </c>
      <c r="G4">
        <v>3.05</v>
      </c>
      <c r="I4" s="5"/>
      <c r="J4" s="5"/>
      <c r="K4" s="5"/>
      <c r="L4" s="5"/>
      <c r="M4" s="67"/>
      <c r="N4" s="67"/>
      <c r="O4" s="67">
        <v>34</v>
      </c>
      <c r="P4" s="69">
        <f>O4/G4</f>
        <v>11.147540983606557</v>
      </c>
      <c r="Q4" s="72">
        <f>P4/365</f>
        <v>3.0541208174264541E-2</v>
      </c>
      <c r="R4" s="70">
        <f>Q4/$Q$3</f>
        <v>0.18541548897682308</v>
      </c>
      <c r="S4" s="72">
        <v>3.0499999999999999E-2</v>
      </c>
      <c r="T4" s="67">
        <v>1</v>
      </c>
      <c r="U4" s="27">
        <f>1000*O4/241830</f>
        <v>0.14059463259314395</v>
      </c>
      <c r="V4" s="27"/>
    </row>
    <row r="5" spans="1:23">
      <c r="A5" t="s">
        <v>301</v>
      </c>
      <c r="B5" s="27">
        <f>C5/(D5*24)*1000</f>
        <v>0.34983667944370583</v>
      </c>
      <c r="C5" s="2">
        <v>250950.71296</v>
      </c>
      <c r="D5" s="2">
        <v>29889032</v>
      </c>
      <c r="E5" t="s">
        <v>302</v>
      </c>
      <c r="F5" t="s">
        <v>303</v>
      </c>
      <c r="G5">
        <v>325.8</v>
      </c>
      <c r="H5" s="69">
        <f>C5/24</f>
        <v>10456.279706666666</v>
      </c>
      <c r="I5" s="70">
        <f>4.06/24</f>
        <v>0.16916666666666666</v>
      </c>
      <c r="J5" s="69">
        <f>H5/I5</f>
        <v>61810.520433497535</v>
      </c>
      <c r="K5" s="69">
        <f>J5/365</f>
        <v>169.34389159862337</v>
      </c>
      <c r="L5" s="70">
        <f>K5/G5</f>
        <v>0.51977867280117673</v>
      </c>
      <c r="M5" s="67"/>
      <c r="N5" s="70">
        <f>L5*0.714</f>
        <v>0.37112197238004019</v>
      </c>
      <c r="O5" s="67"/>
      <c r="P5" s="69">
        <f>Q5*365</f>
        <v>135.45951991871468</v>
      </c>
      <c r="Q5" s="71">
        <f>N5</f>
        <v>0.37112197238004019</v>
      </c>
      <c r="R5" s="70">
        <f>Q5/$Q$3</f>
        <v>2.2530792359705081</v>
      </c>
      <c r="S5" s="67">
        <v>0.35</v>
      </c>
      <c r="T5" s="70">
        <f>Q5/B5</f>
        <v>1.0608435140940089</v>
      </c>
      <c r="U5" s="27">
        <f>1000*J5*0.714/D5</f>
        <v>1.4765520539279169</v>
      </c>
      <c r="V5" s="27"/>
    </row>
    <row r="6" spans="1:23">
      <c r="A6" t="s">
        <v>306</v>
      </c>
      <c r="E6" s="68">
        <v>42916</v>
      </c>
      <c r="F6" t="s">
        <v>303</v>
      </c>
      <c r="G6">
        <v>126.74</v>
      </c>
      <c r="H6" s="5"/>
      <c r="I6" s="5"/>
      <c r="J6" s="5"/>
      <c r="K6" s="5"/>
      <c r="L6" s="5"/>
      <c r="M6" s="67">
        <v>12528</v>
      </c>
      <c r="N6" s="67"/>
      <c r="P6" s="67" t="s">
        <v>3</v>
      </c>
      <c r="Q6" s="73">
        <f>M6/G6</f>
        <v>98.848035347956454</v>
      </c>
      <c r="R6" s="69">
        <f>Q6/$Q$3</f>
        <v>600.10582108810081</v>
      </c>
      <c r="S6" s="67">
        <v>98.8</v>
      </c>
      <c r="T6" s="67">
        <v>1</v>
      </c>
      <c r="U6" s="27">
        <f>1000*M6/284172</f>
        <v>44.085976098982307</v>
      </c>
      <c r="V6" s="2"/>
    </row>
    <row r="7" spans="1:23">
      <c r="A7" t="s">
        <v>307</v>
      </c>
      <c r="E7" s="68">
        <v>42916</v>
      </c>
      <c r="F7" t="s">
        <v>226</v>
      </c>
      <c r="G7">
        <v>70.02</v>
      </c>
      <c r="H7" s="5"/>
      <c r="I7" s="5"/>
      <c r="J7" s="5"/>
      <c r="K7" s="5"/>
      <c r="L7" s="5"/>
      <c r="M7" s="67">
        <v>4361</v>
      </c>
      <c r="N7" s="67"/>
      <c r="P7" s="67"/>
      <c r="Q7" s="73">
        <f>M7/G7</f>
        <v>62.282205084261641</v>
      </c>
      <c r="R7" s="69">
        <f>Q7/$Q$3</f>
        <v>378.11488806733291</v>
      </c>
      <c r="S7" s="67">
        <v>62.3</v>
      </c>
      <c r="T7" s="67">
        <v>1</v>
      </c>
      <c r="U7" s="27">
        <f>1000*M7/116594</f>
        <v>37.403296910647207</v>
      </c>
      <c r="V7" s="2"/>
    </row>
    <row r="8" spans="1:23">
      <c r="H8" s="5"/>
      <c r="I8" s="5"/>
      <c r="J8" s="5"/>
      <c r="K8" s="5"/>
      <c r="L8" s="5"/>
      <c r="M8" s="67"/>
      <c r="N8" s="67"/>
      <c r="O8" s="67"/>
      <c r="P8" s="67"/>
      <c r="Q8" s="67"/>
      <c r="R8" s="67"/>
      <c r="S8" s="67"/>
      <c r="T8" s="67"/>
    </row>
    <row r="9" spans="1:23">
      <c r="A9" t="s">
        <v>310</v>
      </c>
      <c r="N9" s="67"/>
      <c r="P9" s="67"/>
      <c r="R9" s="67"/>
      <c r="S9" s="67"/>
      <c r="T9" s="67"/>
    </row>
    <row r="10" spans="1:23">
      <c r="A10" t="s">
        <v>311</v>
      </c>
      <c r="L10" t="s">
        <v>323</v>
      </c>
      <c r="N10" s="67"/>
      <c r="P10" s="67"/>
      <c r="R10" s="67"/>
      <c r="S10" s="67"/>
      <c r="T10" s="67"/>
    </row>
    <row r="11" spans="1:23">
      <c r="A11" t="s">
        <v>312</v>
      </c>
      <c r="N11" s="67"/>
      <c r="P11" s="67"/>
      <c r="R11" s="67"/>
      <c r="S11" s="67"/>
      <c r="T11" s="67"/>
    </row>
    <row r="12" spans="1:23">
      <c r="A12" t="s">
        <v>313</v>
      </c>
      <c r="N12" s="67"/>
      <c r="P12" s="67"/>
      <c r="R12" s="67"/>
      <c r="S12" s="67"/>
      <c r="T12" s="67"/>
    </row>
    <row r="13" spans="1:23">
      <c r="A13" t="s">
        <v>314</v>
      </c>
      <c r="N13" s="67"/>
      <c r="P13" s="67"/>
      <c r="R13" s="67"/>
      <c r="S13" s="67"/>
      <c r="T13" s="67"/>
    </row>
    <row r="14" spans="1:23">
      <c r="A14" t="s">
        <v>315</v>
      </c>
      <c r="N14" s="67"/>
      <c r="P14" s="67"/>
      <c r="R14" s="67"/>
      <c r="S14" s="67"/>
      <c r="T14" s="67"/>
    </row>
    <row r="15" spans="1:23">
      <c r="A15" t="s">
        <v>316</v>
      </c>
      <c r="N15" s="67"/>
      <c r="P15" s="67"/>
      <c r="R15" s="67"/>
      <c r="S15" s="67"/>
      <c r="T15" s="67"/>
    </row>
    <row r="16" spans="1:23">
      <c r="A16" t="s">
        <v>317</v>
      </c>
      <c r="C16" s="5" t="s">
        <v>235</v>
      </c>
      <c r="N16" s="67"/>
      <c r="P16" s="67"/>
      <c r="R16" s="67"/>
      <c r="S16" s="67"/>
      <c r="T16" s="67"/>
    </row>
    <row r="18" spans="1:4">
      <c r="A18" t="s">
        <v>318</v>
      </c>
      <c r="D18" t="s">
        <v>319</v>
      </c>
    </row>
  </sheetData>
  <hyperlinks>
    <hyperlink ref="C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Table of 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'Table S1'!_ftn1</vt:lpstr>
      <vt:lpstr>'Table S1'!_ftn2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Savage</dc:creator>
  <cp:lastModifiedBy>Giles Newton-Howes</cp:lastModifiedBy>
  <cp:lastPrinted>2020-04-14T00:57:58Z</cp:lastPrinted>
  <dcterms:created xsi:type="dcterms:W3CDTF">2020-03-21T22:58:11Z</dcterms:created>
  <dcterms:modified xsi:type="dcterms:W3CDTF">2020-10-16T03:58:20Z</dcterms:modified>
</cp:coreProperties>
</file>