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9040" windowHeight="15600"/>
  </bookViews>
  <sheets>
    <sheet name="ScoringProgram" sheetId="1" r:id="rId1"/>
    <sheet name="ScoreCriteria" sheetId="2" r:id="rId2"/>
    <sheet name="RegressionData" sheetId="3" r:id="rId3"/>
    <sheet name="DiscrepancyPercentiles" sheetId="5" r:id="rId4"/>
    <sheet name="Biomarker_Lookup" sheetId="6" r:id="rId5"/>
    <sheet name="CDRSOB_Lookup" sheetId="7" r:id="rId6"/>
  </sheets>
  <calcPr calcId="144525"/>
</workbook>
</file>

<file path=xl/calcChain.xml><?xml version="1.0" encoding="utf-8"?>
<calcChain xmlns="http://schemas.openxmlformats.org/spreadsheetml/2006/main">
  <c r="H7" i="1" l="1"/>
  <c r="E9" i="1" l="1"/>
  <c r="E13" i="1" l="1"/>
  <c r="E16" i="1"/>
  <c r="B12" i="1"/>
  <c r="B14" i="1"/>
  <c r="B11" i="1"/>
  <c r="G11" i="1" l="1"/>
  <c r="H11" i="1" s="1"/>
  <c r="G14" i="1"/>
  <c r="H14" i="1" s="1"/>
  <c r="O19" i="6"/>
  <c r="O16" i="6"/>
  <c r="O13" i="6"/>
  <c r="O10" i="6"/>
  <c r="O7" i="6"/>
  <c r="G19" i="6"/>
  <c r="G16" i="6"/>
  <c r="G13" i="6"/>
  <c r="G10" i="6"/>
  <c r="G7" i="6"/>
  <c r="M6" i="2"/>
  <c r="B19" i="1"/>
  <c r="G19" i="1" s="1"/>
  <c r="B18" i="1"/>
  <c r="G18" i="1" s="1"/>
  <c r="B16" i="1"/>
  <c r="G16" i="1" s="1"/>
  <c r="B15" i="1"/>
  <c r="B10" i="1"/>
  <c r="B8" i="1"/>
  <c r="B7" i="1"/>
  <c r="G8" i="1" l="1"/>
  <c r="H8" i="1" s="1"/>
  <c r="G15" i="1"/>
  <c r="H15" i="1" s="1"/>
  <c r="G10" i="1"/>
  <c r="H10" i="1" s="1"/>
  <c r="H16" i="1"/>
  <c r="G12" i="1"/>
  <c r="H12" i="1" s="1"/>
  <c r="H19" i="1"/>
  <c r="H18" i="1"/>
  <c r="M9" i="2"/>
  <c r="M8" i="2"/>
  <c r="M7" i="2"/>
  <c r="G7" i="1" l="1"/>
  <c r="C2" i="2" l="1"/>
  <c r="C5" i="2"/>
  <c r="C4" i="2"/>
  <c r="H5" i="2"/>
  <c r="H2" i="2"/>
  <c r="H3" i="2"/>
  <c r="H4" i="2"/>
  <c r="H9" i="2"/>
  <c r="H8" i="2"/>
  <c r="H6" i="2"/>
  <c r="H7" i="2"/>
  <c r="M5" i="2"/>
  <c r="O8" i="2" s="1"/>
  <c r="M4" i="2"/>
  <c r="O7" i="2" s="1"/>
  <c r="M3" i="2"/>
  <c r="M2" i="2"/>
  <c r="C3" i="2"/>
  <c r="J7" i="2" l="1"/>
  <c r="O5" i="2"/>
  <c r="O4" i="2"/>
  <c r="J4" i="2"/>
  <c r="J5" i="2"/>
  <c r="C6" i="2"/>
  <c r="E2" i="2" s="1"/>
  <c r="C7" i="2"/>
  <c r="E5" i="2" s="1"/>
  <c r="C8" i="2"/>
  <c r="E7" i="2" s="1"/>
  <c r="C9" i="2"/>
  <c r="E8" i="2" s="1"/>
  <c r="J3" i="2"/>
  <c r="J2" i="2"/>
  <c r="J8" i="2"/>
  <c r="O3" i="2"/>
  <c r="O2" i="2"/>
  <c r="J6" i="2" l="1"/>
  <c r="E3" i="2"/>
  <c r="E6" i="2" s="1"/>
  <c r="O6" i="2"/>
  <c r="O10" i="2" s="1"/>
  <c r="B25" i="1" s="1"/>
  <c r="E4" i="2"/>
  <c r="J10" i="2"/>
  <c r="B24" i="1" s="1"/>
  <c r="E10" i="2" l="1"/>
  <c r="B23" i="1" l="1"/>
  <c r="D52" i="1" s="1"/>
  <c r="C52" i="1" l="1"/>
  <c r="B52" i="1"/>
  <c r="D44" i="1"/>
  <c r="C44" i="1"/>
  <c r="B44" i="1"/>
  <c r="B26" i="1"/>
  <c r="D25" i="1" l="1"/>
  <c r="E36" i="1"/>
  <c r="B36" i="1"/>
  <c r="F36" i="1"/>
  <c r="C36" i="1"/>
  <c r="D36" i="1"/>
  <c r="D34" i="1"/>
  <c r="D24" i="1"/>
  <c r="B35" i="1"/>
  <c r="E35" i="1"/>
  <c r="C34" i="1"/>
  <c r="D26" i="1"/>
  <c r="B34" i="1"/>
  <c r="C40" i="1"/>
  <c r="D23" i="1"/>
  <c r="D27" i="1"/>
  <c r="D35" i="1"/>
  <c r="D48" i="1"/>
  <c r="C48" i="1"/>
  <c r="B48" i="1"/>
  <c r="B40" i="1"/>
  <c r="D40" i="1"/>
  <c r="C35" i="1"/>
  <c r="F35" i="1"/>
  <c r="F34" i="1"/>
  <c r="E34" i="1"/>
</calcChain>
</file>

<file path=xl/sharedStrings.xml><?xml version="1.0" encoding="utf-8"?>
<sst xmlns="http://schemas.openxmlformats.org/spreadsheetml/2006/main" count="867" uniqueCount="303">
  <si>
    <t>Age</t>
  </si>
  <si>
    <t>Gender</t>
  </si>
  <si>
    <t>Years of Education</t>
  </si>
  <si>
    <t>Logical Memory I</t>
  </si>
  <si>
    <t>Logical Memory II</t>
  </si>
  <si>
    <t>AVLT Total Learning</t>
  </si>
  <si>
    <t>AVLT Delayed Recall</t>
  </si>
  <si>
    <t>Trails A</t>
  </si>
  <si>
    <t>Trails B</t>
  </si>
  <si>
    <t>Trails B/A Proportion</t>
  </si>
  <si>
    <t>Animal Fluency</t>
  </si>
  <si>
    <t>Clock Drawing</t>
  </si>
  <si>
    <t>BNT (30-item)</t>
  </si>
  <si>
    <t>OBSERVED RAW SCORES</t>
  </si>
  <si>
    <t>PREDICTED RAW SCORES</t>
  </si>
  <si>
    <t>Logical Memory %Ret</t>
  </si>
  <si>
    <t>AVLT %Ret</t>
  </si>
  <si>
    <t>Memory</t>
  </si>
  <si>
    <t>M.1</t>
  </si>
  <si>
    <t>M.3</t>
  </si>
  <si>
    <t>M.4</t>
  </si>
  <si>
    <t>M.5</t>
  </si>
  <si>
    <t>M.6</t>
  </si>
  <si>
    <t>Language</t>
  </si>
  <si>
    <t>L.1</t>
  </si>
  <si>
    <t>L.3</t>
  </si>
  <si>
    <t>L.4</t>
  </si>
  <si>
    <t>L.5</t>
  </si>
  <si>
    <t>L.6</t>
  </si>
  <si>
    <t>Executive Function</t>
  </si>
  <si>
    <t>E.1</t>
  </si>
  <si>
    <t>E.3</t>
  </si>
  <si>
    <t>E.4</t>
  </si>
  <si>
    <t>E.5</t>
  </si>
  <si>
    <t>E.6</t>
  </si>
  <si>
    <t>AVLT</t>
  </si>
  <si>
    <t>Test Name</t>
  </si>
  <si>
    <t>Regression Variable</t>
  </si>
  <si>
    <t>Logical Memory</t>
  </si>
  <si>
    <t>Boston Naming Test</t>
  </si>
  <si>
    <t>Immediate</t>
  </si>
  <si>
    <t>Delay</t>
  </si>
  <si>
    <t>Total Learning</t>
  </si>
  <si>
    <t>Constant</t>
  </si>
  <si>
    <t>ANART Errors</t>
  </si>
  <si>
    <t>VARIABLE#6</t>
  </si>
  <si>
    <t>VARIABLE#5</t>
  </si>
  <si>
    <t>R2</t>
  </si>
  <si>
    <t>"LOW"</t>
  </si>
  <si>
    <t>"AVERAGE"</t>
  </si>
  <si>
    <t>"HIGH"</t>
  </si>
  <si>
    <t>Clock</t>
  </si>
  <si>
    <t>LM Immediate</t>
  </si>
  <si>
    <t>LM Delay</t>
  </si>
  <si>
    <t>AVLT Delay</t>
  </si>
  <si>
    <t>TEST</t>
  </si>
  <si>
    <t>%ile</t>
  </si>
  <si>
    <t>1st</t>
  </si>
  <si>
    <t>2nd</t>
  </si>
  <si>
    <t>5th</t>
  </si>
  <si>
    <t>7th</t>
  </si>
  <si>
    <t>10th</t>
  </si>
  <si>
    <t>16th</t>
  </si>
  <si>
    <t>25th</t>
  </si>
  <si>
    <t>50th</t>
  </si>
  <si>
    <t>PREDICTED Score Range</t>
  </si>
  <si>
    <t>PREDICTED Score Group</t>
  </si>
  <si>
    <t>Less than</t>
  </si>
  <si>
    <t>Greater than</t>
  </si>
  <si>
    <t>&lt;=2nd</t>
  </si>
  <si>
    <t>3rd-7th</t>
  </si>
  <si>
    <t>8th-16th</t>
  </si>
  <si>
    <t>&gt;16th</t>
  </si>
  <si>
    <t>0-2</t>
  </si>
  <si>
    <t>Executive Function Score</t>
  </si>
  <si>
    <t>M.2a</t>
  </si>
  <si>
    <t>M.2b</t>
  </si>
  <si>
    <t>L.2a</t>
  </si>
  <si>
    <t>L.2b</t>
  </si>
  <si>
    <t>E.2a</t>
  </si>
  <si>
    <t>E.2b</t>
  </si>
  <si>
    <t>Domain Scores</t>
  </si>
  <si>
    <t>SE</t>
  </si>
  <si>
    <t>STEP 1 --&gt;</t>
  </si>
  <si>
    <t>STEP 2 (Enter Below)</t>
  </si>
  <si>
    <t>N/A</t>
  </si>
  <si>
    <t>Age*</t>
  </si>
  <si>
    <t>Gender*</t>
  </si>
  <si>
    <t>Years of Education*</t>
  </si>
  <si>
    <t>ANART Error Total*</t>
  </si>
  <si>
    <t>Percentile Range</t>
  </si>
  <si>
    <t>APOE=0</t>
  </si>
  <si>
    <t>APOE=1 or APOE=2</t>
  </si>
  <si>
    <t>Total</t>
  </si>
  <si>
    <t>AV45-Negative</t>
  </si>
  <si>
    <t>AV45-Positive</t>
  </si>
  <si>
    <t>Count</t>
  </si>
  <si>
    <t>AV45 PET-Amyloid</t>
  </si>
  <si>
    <t>% within AV45 PET-Amyloid</t>
  </si>
  <si>
    <t>No Evidence</t>
  </si>
  <si>
    <t>Low Evidence</t>
  </si>
  <si>
    <t>Moderate Evidence</t>
  </si>
  <si>
    <t>Strong Evidence</t>
  </si>
  <si>
    <t>Very Strong Evidence</t>
  </si>
  <si>
    <t>NPV</t>
  </si>
  <si>
    <t>APOEe4 Non-Carrier</t>
  </si>
  <si>
    <t>APOEe4 Carrier</t>
  </si>
  <si>
    <t>AVLT Trial 6</t>
  </si>
  <si>
    <t>Trial 6</t>
  </si>
  <si>
    <t>1-Year</t>
  </si>
  <si>
    <t>2-Year</t>
  </si>
  <si>
    <t>3-Year</t>
  </si>
  <si>
    <t>0.5-4.0</t>
  </si>
  <si>
    <t>4.5-9.0</t>
  </si>
  <si>
    <t>9.5-15.5</t>
  </si>
  <si>
    <t>16.0-18.0</t>
  </si>
  <si>
    <t>1-YEAR</t>
  </si>
  <si>
    <t>N</t>
  </si>
  <si>
    <t>0.6</t>
  </si>
  <si>
    <t>0.0</t>
  </si>
  <si>
    <t>1-3</t>
  </si>
  <si>
    <t>0.3</t>
  </si>
  <si>
    <t>4-6</t>
  </si>
  <si>
    <t>4.1</t>
  </si>
  <si>
    <t>7-9</t>
  </si>
  <si>
    <t>10+</t>
  </si>
  <si>
    <t>2-YEAR</t>
  </si>
  <si>
    <t>44.4</t>
  </si>
  <si>
    <t>0.7</t>
  </si>
  <si>
    <t>0.9</t>
  </si>
  <si>
    <t>3-YEAR</t>
  </si>
  <si>
    <t>2.9</t>
  </si>
  <si>
    <t>0.5</t>
  </si>
  <si>
    <t>0.8</t>
  </si>
  <si>
    <t>4-YEAR</t>
  </si>
  <si>
    <t>1.2</t>
  </si>
  <si>
    <t>2.6</t>
  </si>
  <si>
    <t>5-YEAR</t>
  </si>
  <si>
    <t>41.4</t>
  </si>
  <si>
    <t>7.6</t>
  </si>
  <si>
    <t>42.9</t>
  </si>
  <si>
    <t>-</t>
  </si>
  <si>
    <t>DISCREPANCY Z-SCORE</t>
  </si>
  <si>
    <t>Level of Evidence for Cognitive Decline</t>
  </si>
  <si>
    <t>"Normal"</t>
  </si>
  <si>
    <t>"MCI"</t>
  </si>
  <si>
    <t>"Mild"</t>
  </si>
  <si>
    <t>"Moderate"</t>
  </si>
  <si>
    <t>"Severe"</t>
  </si>
  <si>
    <t>Dementia Range</t>
  </si>
  <si>
    <t>Pre-Dementia Range</t>
  </si>
  <si>
    <t>CDR-Sum of Boxes Score --&gt;</t>
  </si>
  <si>
    <r>
      <t xml:space="preserve">Longitudinal Functional Estimate </t>
    </r>
    <r>
      <rPr>
        <b/>
        <sz val="11"/>
        <color theme="1"/>
        <rFont val="Calibri"/>
        <family val="2"/>
        <scheme val="minor"/>
      </rPr>
      <t>(% of people within individual's "Level of Evidence" group at initial assessment)</t>
    </r>
  </si>
  <si>
    <t>PPV (%)</t>
  </si>
  <si>
    <t>Gender Code</t>
  </si>
  <si>
    <t>Female</t>
  </si>
  <si>
    <t>Male</t>
  </si>
  <si>
    <t>Domain</t>
  </si>
  <si>
    <t>Code</t>
  </si>
  <si>
    <t>Criterion</t>
  </si>
  <si>
    <t>Risk Points</t>
  </si>
  <si>
    <t>Max Possible</t>
  </si>
  <si>
    <t>M.2</t>
  </si>
  <si>
    <t>All other score combinations</t>
  </si>
  <si>
    <t>L.2</t>
  </si>
  <si>
    <t>Executive</t>
  </si>
  <si>
    <t>E.2</t>
  </si>
  <si>
    <t>Total Risk Score</t>
  </si>
  <si>
    <t>X / 15</t>
  </si>
  <si>
    <t>Memory  Score</t>
  </si>
  <si>
    <t>Language Score</t>
  </si>
  <si>
    <t>Trails B/Trails A</t>
  </si>
  <si>
    <t>MEMORY</t>
  </si>
  <si>
    <t>LANGUAGE</t>
  </si>
  <si>
    <t>EXECUTIVE FUNCTION</t>
  </si>
  <si>
    <t>T0-DELTA</t>
  </si>
  <si>
    <t>47.9</t>
  </si>
  <si>
    <t>1.5</t>
  </si>
  <si>
    <t>5.5</t>
  </si>
  <si>
    <t>51.5</t>
  </si>
  <si>
    <t>52.6</t>
  </si>
  <si>
    <t>44.9</t>
  </si>
  <si>
    <t>55.1</t>
  </si>
  <si>
    <t>3.1</t>
  </si>
  <si>
    <t>55.9</t>
  </si>
  <si>
    <t>39.1</t>
  </si>
  <si>
    <t>4.7</t>
  </si>
  <si>
    <t>48.3</t>
  </si>
  <si>
    <t>7.4</t>
  </si>
  <si>
    <t>28.4</t>
  </si>
  <si>
    <t>64.4</t>
  </si>
  <si>
    <t>6.9</t>
  </si>
  <si>
    <t>32.2</t>
  </si>
  <si>
    <t>57.4</t>
  </si>
  <si>
    <t>9.3</t>
  </si>
  <si>
    <t>9.5</t>
  </si>
  <si>
    <t>27.4</t>
  </si>
  <si>
    <t>12.1</t>
  </si>
  <si>
    <t>2.3</t>
  </si>
  <si>
    <t>37.8</t>
  </si>
  <si>
    <t>47.1</t>
  </si>
  <si>
    <t>9.9</t>
  </si>
  <si>
    <t>31.5</t>
  </si>
  <si>
    <t>56.5</t>
  </si>
  <si>
    <t>3.7</t>
  </si>
  <si>
    <t>5.1</t>
  </si>
  <si>
    <t>70.5</t>
  </si>
  <si>
    <t>21.2</t>
  </si>
  <si>
    <t>2.8</t>
  </si>
  <si>
    <t>64.3</t>
  </si>
  <si>
    <t>25.7</t>
  </si>
  <si>
    <t>60.2</t>
  </si>
  <si>
    <t>30.5</t>
  </si>
  <si>
    <t>10.8</t>
  </si>
  <si>
    <t>43.2</t>
  </si>
  <si>
    <t>35.1</t>
  </si>
  <si>
    <t>1.4</t>
  </si>
  <si>
    <t>10.9</t>
  </si>
  <si>
    <t>43.6</t>
  </si>
  <si>
    <t>23.6</t>
  </si>
  <si>
    <t>16.4</t>
  </si>
  <si>
    <t>58.5</t>
  </si>
  <si>
    <t>36.6</t>
  </si>
  <si>
    <t>37.3</t>
  </si>
  <si>
    <t>46.1</t>
  </si>
  <si>
    <t>21.6</t>
  </si>
  <si>
    <t>13.6</t>
  </si>
  <si>
    <t>37.0</t>
  </si>
  <si>
    <t>18.5</t>
  </si>
  <si>
    <t>31.6</t>
  </si>
  <si>
    <t>42.1</t>
  </si>
  <si>
    <t>26.3</t>
  </si>
  <si>
    <t>40.8</t>
  </si>
  <si>
    <t>49.0</t>
  </si>
  <si>
    <t>10.2</t>
  </si>
  <si>
    <t>35.3</t>
  </si>
  <si>
    <t>41.2</t>
  </si>
  <si>
    <t>20.6</t>
  </si>
  <si>
    <t>9.1</t>
  </si>
  <si>
    <t>63.6</t>
  </si>
  <si>
    <t>18.2</t>
  </si>
  <si>
    <t>DELTA Score</t>
  </si>
  <si>
    <t>DELTA - Discrepancy-based Evidence for Loss of Thinking Abilities</t>
  </si>
  <si>
    <t>DELTA Group</t>
  </si>
  <si>
    <t>DELTA_Group</t>
  </si>
  <si>
    <t>% within DELTA_Group</t>
  </si>
  <si>
    <t>DELTA_Grp * AV45_PosNeg Crosstabulation</t>
  </si>
  <si>
    <t/>
  </si>
  <si>
    <t>AV45_PosNeg</t>
  </si>
  <si>
    <t>DELTA_Grp</t>
  </si>
  <si>
    <t>% within DELTA_Grp</t>
  </si>
  <si>
    <t>% within AV45_PosNeg</t>
  </si>
  <si>
    <t>APOE= 1 or 2</t>
  </si>
  <si>
    <t>Total Sample</t>
  </si>
  <si>
    <t>MEMORY_BL * AV45_PosNeg Crosstabulation</t>
  </si>
  <si>
    <t>MEMORY_BL</t>
  </si>
  <si>
    <t>0</t>
  </si>
  <si>
    <t>% within MEMORY_BL</t>
  </si>
  <si>
    <t>2</t>
  </si>
  <si>
    <t>3</t>
  </si>
  <si>
    <t>4</t>
  </si>
  <si>
    <t>5</t>
  </si>
  <si>
    <t>Memory Score=1</t>
  </si>
  <si>
    <t>APOE=1 or 2</t>
  </si>
  <si>
    <t>DELTA_Grp * CSF_AD_Status Crosstabulation</t>
  </si>
  <si>
    <t>CSF_AD_Status</t>
  </si>
  <si>
    <t>No AD (CSF)</t>
  </si>
  <si>
    <t>AD (CSF)</t>
  </si>
  <si>
    <t>% within CSF_AD_Status</t>
  </si>
  <si>
    <t>MEMORY_BL * CSF_AD_Status Crosstabulation</t>
  </si>
  <si>
    <t>CSF Alzheimer's Status (CSF pTau/AB42 ratio)</t>
  </si>
  <si>
    <t>DELTA SCORE</t>
  </si>
  <si>
    <t>MEMORY SCORE</t>
  </si>
  <si>
    <r>
      <t>Likelihood of AV45 PET-A</t>
    </r>
    <r>
      <rPr>
        <b/>
        <sz val="14"/>
        <color theme="1"/>
        <rFont val="Calibri"/>
        <family val="2"/>
      </rPr>
      <t xml:space="preserve">β Positivity (SUVr &gt; 1.11) - Memory Score </t>
    </r>
    <r>
      <rPr>
        <b/>
        <sz val="11"/>
        <color theme="1"/>
        <rFont val="Calibri"/>
        <family val="2"/>
      </rPr>
      <t>(Positive Predictive Value: [# PET-Aβ(+) with Memory Score]/[All with Memory Score])</t>
    </r>
  </si>
  <si>
    <r>
      <t>Likelihood of AV45 PET-A</t>
    </r>
    <r>
      <rPr>
        <b/>
        <sz val="14"/>
        <color theme="1"/>
        <rFont val="Calibri"/>
        <family val="2"/>
      </rPr>
      <t xml:space="preserve">β Positivity (SUVr &gt; 1.11) - DELTA Score </t>
    </r>
    <r>
      <rPr>
        <b/>
        <sz val="11"/>
        <color theme="1"/>
        <rFont val="Calibri"/>
        <family val="2"/>
      </rPr>
      <t>(Positive Predictive Value: [# PET-Aβ(+) in "Level of Evidence" Group]/[All in "Level of Evidence" group])</t>
    </r>
  </si>
  <si>
    <r>
      <t>Likelihood of CSF(+) Alzheimer's Disease (pTau/A</t>
    </r>
    <r>
      <rPr>
        <b/>
        <sz val="14"/>
        <color theme="1"/>
        <rFont val="Calibri"/>
        <family val="2"/>
      </rPr>
      <t>β</t>
    </r>
    <r>
      <rPr>
        <b/>
        <sz val="15.4"/>
        <color theme="1"/>
        <rFont val="Calibri"/>
        <family val="2"/>
      </rPr>
      <t>42 &gt; 0.0251) - DELTA Score</t>
    </r>
    <r>
      <rPr>
        <b/>
        <sz val="14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(Positive Predictive Value: [# CSF(+) within "Level of Evidence" Group]/[All within "Level of Evidence" Group])</t>
    </r>
  </si>
  <si>
    <r>
      <t>Likelihood of CSF(+) Alzheimer's Disease (pTau/A</t>
    </r>
    <r>
      <rPr>
        <b/>
        <sz val="14"/>
        <color theme="1"/>
        <rFont val="Calibri"/>
        <family val="2"/>
      </rPr>
      <t>β</t>
    </r>
    <r>
      <rPr>
        <b/>
        <sz val="15.4"/>
        <color theme="1"/>
        <rFont val="Calibri"/>
        <family val="2"/>
      </rPr>
      <t>42 &gt; 0.0251) - Memory Score</t>
    </r>
    <r>
      <rPr>
        <b/>
        <sz val="14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(Positive Predictive Value: [# CSF(+) with Memory Score]/[All with Memory Score])</t>
    </r>
  </si>
  <si>
    <t>AV45 STATUS (SUVr &gt; 1.11)</t>
  </si>
  <si>
    <t>(APOE "Unknown")</t>
  </si>
  <si>
    <t>APOE "Unknown"</t>
  </si>
  <si>
    <t>APOE "Unknown)</t>
  </si>
  <si>
    <t>*REQUIRED FOR VALID DELTA SCORE</t>
  </si>
  <si>
    <t>REQUIRED FOR VALID DELTA SCORES</t>
  </si>
  <si>
    <t>Unknown APOE*</t>
  </si>
  <si>
    <t>*Interpret cautiously! Reference sample is ~40% APOEe4 carriers (a strong risk factor for biomarker[+]), which is higher than the general population (~25%).  Estimates may be artificially elevated.</t>
  </si>
  <si>
    <r>
      <t xml:space="preserve">Both AVLT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LM Delayed Recall zDiscrep &lt; 2nd%ile + %Savings &lt; 50%</t>
    </r>
  </si>
  <si>
    <r>
      <t xml:space="preserve">a) Either AVLT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LM Delayed Recall zDiscrep &lt; 2nd%ile + %Savings &lt; 50% </t>
    </r>
  </si>
  <si>
    <r>
      <t xml:space="preserve">b) Both AVLT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LM Delayed Recall 2nd%ile &lt; zDiscrep &lt; 7th%ile</t>
    </r>
  </si>
  <si>
    <r>
      <t xml:space="preserve">Both M.2a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M.3 criteria met (only possible for one test to meet one criterion)</t>
    </r>
  </si>
  <si>
    <r>
      <t xml:space="preserve">Both AVLT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LM Delayed Recall 7th%ile &lt; zDiscrep &lt; 16th%ile + %Savings &lt; 50%</t>
    </r>
  </si>
  <si>
    <r>
      <t xml:space="preserve">Both BNT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Animal Fluency zDiscrep &lt; 2nd%ile</t>
    </r>
  </si>
  <si>
    <r>
      <t xml:space="preserve">a) Either BNT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Animal Fluency zDiscrep &lt; 2nd%ile</t>
    </r>
  </si>
  <si>
    <r>
      <t xml:space="preserve">Either BNT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Animal Fluency 2nd%ile &lt; zDiscrep &lt; 7th%ile</t>
    </r>
  </si>
  <si>
    <r>
      <t xml:space="preserve">b) Both BNT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Animal Flunecy 2nd%ile &lt; zDiscrep &lt; 7th%ile</t>
    </r>
  </si>
  <si>
    <r>
      <t xml:space="preserve">Both L.2a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L.3 criteria met (only possible for one test to meet one criterion)</t>
    </r>
  </si>
  <si>
    <r>
      <t xml:space="preserve">Both BNT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Animal Fluency 7th%ile &lt; zDiscrep &lt; 16th%ile</t>
    </r>
  </si>
  <si>
    <r>
      <t xml:space="preserve">Both Clock Drawing = 0-2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(Trails B time / Trails A time) zDiscrep &lt; 2nd%ile</t>
    </r>
  </si>
  <si>
    <r>
      <t xml:space="preserve">a) Either Clock Drawing = 0-2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(Trails B time / Trails A time) zDiscrep &lt; 2nd%ile</t>
    </r>
  </si>
  <si>
    <r>
      <t xml:space="preserve">Either Clock Drawing = 3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(Trails B time / Trails A time) 2nd%ile &lt; zDiscrep &lt; 7th%ile</t>
    </r>
  </si>
  <si>
    <r>
      <t xml:space="preserve">Both E.2a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E.3 criteria met (only possible for one test to meet one criterion)</t>
    </r>
  </si>
  <si>
    <r>
      <t xml:space="preserve">b) Both Clock Drawing = 3 </t>
    </r>
    <r>
      <rPr>
        <i/>
        <sz val="11"/>
        <color theme="1"/>
        <rFont val="Calibri"/>
        <family val="2"/>
        <scheme val="minor"/>
      </rPr>
      <t xml:space="preserve">and </t>
    </r>
    <r>
      <rPr>
        <sz val="11"/>
        <color theme="1"/>
        <rFont val="Calibri"/>
        <family val="2"/>
        <scheme val="minor"/>
      </rPr>
      <t>(Trails B time / Trails A time) 2nd%ile &lt; zDiscrep &lt; 7th%ile</t>
    </r>
  </si>
  <si>
    <r>
      <t xml:space="preserve">Both Clock Drawing = 4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(Trails B time / Trails A time) 7th%ile &lt; zDiscrep &lt; 16th%ile</t>
    </r>
  </si>
  <si>
    <r>
      <t xml:space="preserve">Either AVLT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LM Delayed Recall 2nd%ile &lt; zDiscrep &lt; 7th%ile + %Savings &lt; 50%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</si>
</sst>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00"/>
    <numFmt numFmtId="166" formatCode="0.0"/>
    <numFmt numFmtId="167" formatCode="###0"/>
    <numFmt numFmtId="168" formatCode="###0.0%"/>
    <numFmt numFmtId="169" formatCode="####.0%"/>
    <numFmt numFmtId="170" formatCode="###0.0"/>
    <numFmt numFmtId="171" formatCode="####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sz val="10"/>
      <color theme="1"/>
      <name val="Calibri"/>
      <family val="2"/>
      <scheme val="minor"/>
    </font>
    <font>
      <sz val="9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5.4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Arial"/>
      <family val="2"/>
    </font>
    <font>
      <i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C7F9DB"/>
        <bgColor indexed="64"/>
      </patternFill>
    </fill>
    <fill>
      <patternFill patternType="solid">
        <fgColor rgb="FFAFCCFB"/>
        <bgColor indexed="64"/>
      </patternFill>
    </fill>
    <fill>
      <patternFill patternType="solid">
        <fgColor rgb="FFFBDDBD"/>
        <bgColor indexed="64"/>
      </patternFill>
    </fill>
    <fill>
      <patternFill patternType="solid">
        <fgColor rgb="FFF193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</cellStyleXfs>
  <cellXfs count="306">
    <xf numFmtId="0" fontId="0" fillId="0" borderId="0" xfId="0"/>
    <xf numFmtId="0" fontId="0" fillId="0" borderId="0" xfId="0" applyAlignment="1">
      <alignment horizontal="right"/>
    </xf>
    <xf numFmtId="0" fontId="0" fillId="6" borderId="1" xfId="0" applyFill="1" applyBorder="1"/>
    <xf numFmtId="1" fontId="0" fillId="0" borderId="0" xfId="0" applyNumberFormat="1"/>
    <xf numFmtId="0" fontId="0" fillId="5" borderId="1" xfId="0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1" fontId="0" fillId="9" borderId="1" xfId="0" applyNumberFormat="1" applyFill="1" applyBorder="1" applyAlignment="1" applyProtection="1">
      <alignment horizontal="center"/>
      <protection locked="0"/>
    </xf>
    <xf numFmtId="1" fontId="0" fillId="9" borderId="4" xfId="0" applyNumberFormat="1" applyFill="1" applyBorder="1" applyAlignment="1" applyProtection="1">
      <alignment horizontal="center"/>
      <protection locked="0"/>
    </xf>
    <xf numFmtId="2" fontId="0" fillId="9" borderId="1" xfId="0" applyNumberForma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5" fillId="0" borderId="0" xfId="0" applyFont="1" applyProtection="1"/>
    <xf numFmtId="0" fontId="0" fillId="0" borderId="0" xfId="0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6" fillId="7" borderId="1" xfId="0" applyNumberFormat="1" applyFont="1" applyFill="1" applyBorder="1" applyAlignment="1" applyProtection="1">
      <alignment horizontal="center"/>
    </xf>
    <xf numFmtId="0" fontId="6" fillId="8" borderId="1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right"/>
    </xf>
    <xf numFmtId="0" fontId="2" fillId="5" borderId="2" xfId="0" applyFont="1" applyFill="1" applyBorder="1" applyProtection="1"/>
    <xf numFmtId="0" fontId="0" fillId="0" borderId="0" xfId="0"/>
    <xf numFmtId="0" fontId="6" fillId="10" borderId="1" xfId="0" applyNumberFormat="1" applyFont="1" applyFill="1" applyBorder="1" applyAlignment="1" applyProtection="1">
      <alignment horizontal="center"/>
    </xf>
    <xf numFmtId="0" fontId="0" fillId="13" borderId="1" xfId="0" applyFill="1" applyBorder="1"/>
    <xf numFmtId="0" fontId="6" fillId="4" borderId="1" xfId="0" applyFont="1" applyFill="1" applyBorder="1" applyProtection="1"/>
    <xf numFmtId="1" fontId="2" fillId="4" borderId="1" xfId="0" applyNumberFormat="1" applyFont="1" applyFill="1" applyBorder="1" applyAlignment="1" applyProtection="1">
      <alignment horizontal="center"/>
    </xf>
    <xf numFmtId="0" fontId="6" fillId="13" borderId="1" xfId="0" applyFont="1" applyFill="1" applyBorder="1" applyProtection="1"/>
    <xf numFmtId="0" fontId="2" fillId="13" borderId="1" xfId="0" applyFont="1" applyFill="1" applyBorder="1" applyAlignment="1" applyProtection="1">
      <alignment horizontal="center"/>
    </xf>
    <xf numFmtId="0" fontId="6" fillId="14" borderId="1" xfId="0" applyFont="1" applyFill="1" applyBorder="1" applyProtection="1"/>
    <xf numFmtId="0" fontId="2" fillId="14" borderId="1" xfId="0" applyFont="1" applyFill="1" applyBorder="1" applyAlignment="1" applyProtection="1">
      <alignment horizontal="center"/>
    </xf>
    <xf numFmtId="0" fontId="0" fillId="14" borderId="1" xfId="0" applyFill="1" applyBorder="1"/>
    <xf numFmtId="1" fontId="0" fillId="15" borderId="1" xfId="0" applyNumberFormat="1" applyFill="1" applyBorder="1" applyAlignment="1" applyProtection="1">
      <alignment horizontal="center"/>
      <protection locked="0"/>
    </xf>
    <xf numFmtId="0" fontId="2" fillId="15" borderId="1" xfId="0" applyFont="1" applyFill="1" applyBorder="1" applyAlignment="1" applyProtection="1">
      <alignment horizontal="center"/>
    </xf>
    <xf numFmtId="0" fontId="5" fillId="15" borderId="1" xfId="0" applyFont="1" applyFill="1" applyBorder="1" applyAlignment="1" applyProtection="1">
      <alignment horizontal="center" vertical="center"/>
    </xf>
    <xf numFmtId="0" fontId="6" fillId="12" borderId="1" xfId="0" applyFont="1" applyFill="1" applyBorder="1" applyProtection="1"/>
    <xf numFmtId="1" fontId="6" fillId="12" borderId="1" xfId="0" applyNumberFormat="1" applyFont="1" applyFill="1" applyBorder="1" applyAlignment="1" applyProtection="1">
      <alignment horizontal="center"/>
    </xf>
    <xf numFmtId="0" fontId="0" fillId="6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2" fillId="12" borderId="1" xfId="0" applyFont="1" applyFill="1" applyBorder="1" applyAlignment="1">
      <alignment horizontal="right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0" fillId="6" borderId="9" xfId="0" applyFill="1" applyBorder="1"/>
    <xf numFmtId="1" fontId="0" fillId="6" borderId="1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13" borderId="8" xfId="0" applyFill="1" applyBorder="1"/>
    <xf numFmtId="0" fontId="0" fillId="13" borderId="9" xfId="0" applyFill="1" applyBorder="1" applyAlignment="1">
      <alignment horizontal="center" vertical="center"/>
    </xf>
    <xf numFmtId="0" fontId="0" fillId="14" borderId="8" xfId="0" applyFill="1" applyBorder="1"/>
    <xf numFmtId="0" fontId="0" fillId="14" borderId="9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/>
    </xf>
    <xf numFmtId="0" fontId="0" fillId="14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2" fillId="6" borderId="1" xfId="0" applyFont="1" applyFill="1" applyBorder="1" applyAlignment="1">
      <alignment horizontal="right" vertical="center"/>
    </xf>
    <xf numFmtId="1" fontId="2" fillId="6" borderId="1" xfId="0" applyNumberFormat="1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right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right" vertical="center"/>
    </xf>
    <xf numFmtId="0" fontId="2" fillId="14" borderId="1" xfId="0" applyFont="1" applyFill="1" applyBorder="1" applyAlignment="1">
      <alignment horizontal="center" vertical="center"/>
    </xf>
    <xf numFmtId="0" fontId="0" fillId="13" borderId="8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4" fillId="0" borderId="11" xfId="1" applyFont="1" applyFill="1" applyBorder="1" applyAlignment="1">
      <alignment horizontal="center" vertical="top"/>
    </xf>
    <xf numFmtId="2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top"/>
    </xf>
    <xf numFmtId="2" fontId="4" fillId="0" borderId="0" xfId="1" applyNumberFormat="1" applyFont="1" applyFill="1" applyBorder="1" applyAlignment="1">
      <alignment horizontal="center" vertical="center"/>
    </xf>
    <xf numFmtId="2" fontId="4" fillId="0" borderId="10" xfId="1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0" fontId="6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5" borderId="3" xfId="0" applyFont="1" applyFill="1" applyBorder="1" applyProtection="1"/>
    <xf numFmtId="165" fontId="0" fillId="0" borderId="0" xfId="0" applyNumberFormat="1" applyProtection="1"/>
    <xf numFmtId="165" fontId="2" fillId="0" borderId="0" xfId="0" applyNumberFormat="1" applyFont="1" applyProtection="1"/>
    <xf numFmtId="0" fontId="2" fillId="0" borderId="0" xfId="0" applyFont="1" applyProtection="1"/>
    <xf numFmtId="165" fontId="0" fillId="0" borderId="0" xfId="0" applyNumberFormat="1" applyAlignment="1" applyProtection="1">
      <alignment horizontal="center"/>
    </xf>
    <xf numFmtId="0" fontId="0" fillId="9" borderId="3" xfId="0" applyFill="1" applyBorder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Border="1" applyProtection="1"/>
    <xf numFmtId="0" fontId="0" fillId="11" borderId="0" xfId="0" applyFill="1" applyProtection="1"/>
    <xf numFmtId="166" fontId="0" fillId="9" borderId="1" xfId="0" applyNumberFormat="1" applyFill="1" applyBorder="1" applyAlignment="1" applyProtection="1">
      <alignment horizontal="center"/>
    </xf>
    <xf numFmtId="0" fontId="0" fillId="0" borderId="0" xfId="0" applyBorder="1"/>
    <xf numFmtId="0" fontId="14" fillId="0" borderId="0" xfId="2" applyBorder="1"/>
    <xf numFmtId="0" fontId="15" fillId="0" borderId="0" xfId="2" applyFont="1" applyBorder="1" applyAlignment="1">
      <alignment horizontal="center" wrapText="1"/>
    </xf>
    <xf numFmtId="0" fontId="15" fillId="0" borderId="0" xfId="2" applyFont="1" applyBorder="1" applyAlignment="1">
      <alignment horizontal="left" vertical="top"/>
    </xf>
    <xf numFmtId="167" fontId="15" fillId="0" borderId="0" xfId="2" applyNumberFormat="1" applyFont="1" applyBorder="1" applyAlignment="1">
      <alignment horizontal="right" vertical="center"/>
    </xf>
    <xf numFmtId="170" fontId="15" fillId="0" borderId="0" xfId="2" applyNumberFormat="1" applyFont="1" applyBorder="1" applyAlignment="1">
      <alignment horizontal="right" vertical="center"/>
    </xf>
    <xf numFmtId="171" fontId="15" fillId="0" borderId="0" xfId="2" applyNumberFormat="1" applyFont="1" applyBorder="1" applyAlignment="1">
      <alignment horizontal="right" vertical="center"/>
    </xf>
    <xf numFmtId="0" fontId="15" fillId="0" borderId="0" xfId="2" applyFont="1" applyBorder="1" applyAlignment="1">
      <alignment horizontal="left" vertical="top" wrapText="1"/>
    </xf>
    <xf numFmtId="0" fontId="15" fillId="0" borderId="0" xfId="2" applyFont="1" applyBorder="1" applyAlignment="1">
      <alignment horizontal="left" vertical="center" wrapText="1"/>
    </xf>
    <xf numFmtId="0" fontId="15" fillId="0" borderId="0" xfId="2" applyFont="1" applyBorder="1" applyAlignment="1">
      <alignment vertical="top" wrapText="1"/>
    </xf>
    <xf numFmtId="0" fontId="16" fillId="0" borderId="0" xfId="2" applyFont="1" applyBorder="1" applyAlignment="1">
      <alignment vertical="center" wrapText="1"/>
    </xf>
    <xf numFmtId="0" fontId="15" fillId="0" borderId="0" xfId="2" applyFont="1" applyBorder="1" applyAlignment="1">
      <alignment wrapText="1"/>
    </xf>
    <xf numFmtId="0" fontId="17" fillId="0" borderId="0" xfId="0" applyFont="1" applyProtection="1"/>
    <xf numFmtId="165" fontId="0" fillId="11" borderId="0" xfId="0" applyNumberFormat="1" applyFill="1" applyProtection="1"/>
    <xf numFmtId="0" fontId="3" fillId="0" borderId="0" xfId="6"/>
    <xf numFmtId="0" fontId="0" fillId="11" borderId="0" xfId="0" applyFill="1" applyAlignment="1" applyProtection="1">
      <alignment horizontal="center"/>
    </xf>
    <xf numFmtId="0" fontId="5" fillId="17" borderId="1" xfId="0" applyFont="1" applyFill="1" applyBorder="1" applyProtection="1"/>
    <xf numFmtId="0" fontId="0" fillId="17" borderId="1" xfId="0" applyFill="1" applyBorder="1" applyProtection="1"/>
    <xf numFmtId="165" fontId="0" fillId="17" borderId="1" xfId="0" applyNumberFormat="1" applyFill="1" applyBorder="1" applyProtection="1"/>
    <xf numFmtId="0" fontId="0" fillId="17" borderId="1" xfId="0" applyFill="1" applyBorder="1" applyAlignment="1" applyProtection="1">
      <alignment horizontal="center"/>
    </xf>
    <xf numFmtId="0" fontId="2" fillId="17" borderId="1" xfId="0" applyFont="1" applyFill="1" applyBorder="1" applyAlignment="1" applyProtection="1">
      <alignment horizontal="center"/>
    </xf>
    <xf numFmtId="0" fontId="9" fillId="17" borderId="1" xfId="0" applyFont="1" applyFill="1" applyBorder="1" applyAlignment="1" applyProtection="1">
      <alignment horizontal="right"/>
    </xf>
    <xf numFmtId="166" fontId="9" fillId="17" borderId="1" xfId="0" applyNumberFormat="1" applyFont="1" applyFill="1" applyBorder="1" applyAlignment="1" applyProtection="1">
      <alignment horizontal="center"/>
    </xf>
    <xf numFmtId="0" fontId="9" fillId="17" borderId="1" xfId="0" applyFont="1" applyFill="1" applyBorder="1" applyAlignment="1" applyProtection="1">
      <alignment horizontal="center"/>
    </xf>
    <xf numFmtId="0" fontId="2" fillId="17" borderId="1" xfId="0" applyFont="1" applyFill="1" applyBorder="1" applyAlignment="1" applyProtection="1">
      <alignment horizontal="right"/>
    </xf>
    <xf numFmtId="2" fontId="0" fillId="17" borderId="1" xfId="0" applyNumberFormat="1" applyFill="1" applyBorder="1" applyAlignment="1" applyProtection="1">
      <alignment horizontal="center"/>
    </xf>
    <xf numFmtId="0" fontId="5" fillId="18" borderId="1" xfId="0" applyFont="1" applyFill="1" applyBorder="1" applyProtection="1"/>
    <xf numFmtId="0" fontId="0" fillId="18" borderId="1" xfId="0" applyFill="1" applyBorder="1" applyProtection="1"/>
    <xf numFmtId="165" fontId="0" fillId="18" borderId="1" xfId="0" applyNumberFormat="1" applyFill="1" applyBorder="1" applyProtection="1"/>
    <xf numFmtId="0" fontId="0" fillId="18" borderId="1" xfId="0" applyFill="1" applyBorder="1" applyAlignment="1" applyProtection="1">
      <alignment horizontal="center"/>
    </xf>
    <xf numFmtId="0" fontId="13" fillId="18" borderId="1" xfId="0" applyFont="1" applyFill="1" applyBorder="1" applyAlignment="1" applyProtection="1">
      <alignment horizontal="center"/>
    </xf>
    <xf numFmtId="0" fontId="2" fillId="18" borderId="1" xfId="0" applyFont="1" applyFill="1" applyBorder="1" applyAlignment="1" applyProtection="1">
      <alignment horizontal="right"/>
    </xf>
    <xf numFmtId="166" fontId="0" fillId="18" borderId="1" xfId="0" applyNumberFormat="1" applyFill="1" applyBorder="1" applyAlignment="1" applyProtection="1">
      <alignment horizontal="center"/>
    </xf>
    <xf numFmtId="0" fontId="5" fillId="19" borderId="1" xfId="0" applyFont="1" applyFill="1" applyBorder="1" applyProtection="1"/>
    <xf numFmtId="0" fontId="0" fillId="19" borderId="1" xfId="0" applyFill="1" applyBorder="1" applyProtection="1"/>
    <xf numFmtId="165" fontId="0" fillId="19" borderId="1" xfId="0" applyNumberFormat="1" applyFill="1" applyBorder="1" applyProtection="1"/>
    <xf numFmtId="0" fontId="0" fillId="19" borderId="1" xfId="0" applyFill="1" applyBorder="1" applyAlignment="1" applyProtection="1">
      <alignment horizontal="center"/>
    </xf>
    <xf numFmtId="0" fontId="13" fillId="19" borderId="1" xfId="0" applyFont="1" applyFill="1" applyBorder="1" applyAlignment="1" applyProtection="1">
      <alignment horizontal="center"/>
    </xf>
    <xf numFmtId="0" fontId="2" fillId="19" borderId="1" xfId="0" applyFont="1" applyFill="1" applyBorder="1" applyAlignment="1" applyProtection="1">
      <alignment horizontal="right"/>
    </xf>
    <xf numFmtId="166" fontId="0" fillId="19" borderId="1" xfId="0" applyNumberFormat="1" applyFill="1" applyBorder="1" applyAlignment="1" applyProtection="1">
      <alignment horizontal="center"/>
    </xf>
    <xf numFmtId="0" fontId="5" fillId="20" borderId="1" xfId="0" applyFont="1" applyFill="1" applyBorder="1" applyProtection="1"/>
    <xf numFmtId="0" fontId="0" fillId="20" borderId="1" xfId="0" applyFill="1" applyBorder="1" applyProtection="1"/>
    <xf numFmtId="165" fontId="0" fillId="20" borderId="1" xfId="0" applyNumberFormat="1" applyFill="1" applyBorder="1" applyProtection="1"/>
    <xf numFmtId="0" fontId="0" fillId="20" borderId="1" xfId="0" applyFill="1" applyBorder="1" applyAlignment="1" applyProtection="1">
      <alignment horizontal="center"/>
    </xf>
    <xf numFmtId="0" fontId="13" fillId="20" borderId="1" xfId="0" applyFont="1" applyFill="1" applyBorder="1" applyAlignment="1" applyProtection="1">
      <alignment horizontal="center"/>
    </xf>
    <xf numFmtId="0" fontId="2" fillId="20" borderId="1" xfId="0" applyFont="1" applyFill="1" applyBorder="1" applyAlignment="1" applyProtection="1">
      <alignment horizontal="right"/>
    </xf>
    <xf numFmtId="166" fontId="0" fillId="20" borderId="1" xfId="0" applyNumberFormat="1" applyFill="1" applyBorder="1" applyAlignment="1" applyProtection="1">
      <alignment horizontal="center"/>
    </xf>
    <xf numFmtId="0" fontId="5" fillId="21" borderId="1" xfId="0" applyFont="1" applyFill="1" applyBorder="1" applyProtection="1"/>
    <xf numFmtId="0" fontId="0" fillId="21" borderId="1" xfId="0" applyFill="1" applyBorder="1" applyProtection="1"/>
    <xf numFmtId="165" fontId="0" fillId="21" borderId="1" xfId="0" applyNumberFormat="1" applyFill="1" applyBorder="1" applyProtection="1"/>
    <xf numFmtId="0" fontId="0" fillId="21" borderId="1" xfId="0" applyFill="1" applyBorder="1" applyAlignment="1" applyProtection="1">
      <alignment horizontal="center"/>
    </xf>
    <xf numFmtId="0" fontId="13" fillId="21" borderId="1" xfId="0" applyFont="1" applyFill="1" applyBorder="1" applyAlignment="1" applyProtection="1">
      <alignment horizontal="center"/>
    </xf>
    <xf numFmtId="0" fontId="2" fillId="21" borderId="1" xfId="0" applyFont="1" applyFill="1" applyBorder="1" applyAlignment="1" applyProtection="1">
      <alignment horizontal="right"/>
    </xf>
    <xf numFmtId="166" fontId="0" fillId="21" borderId="1" xfId="0" applyNumberFormat="1" applyFill="1" applyBorder="1" applyAlignment="1" applyProtection="1">
      <alignment horizontal="center"/>
    </xf>
    <xf numFmtId="0" fontId="0" fillId="17" borderId="1" xfId="0" applyFill="1" applyBorder="1"/>
    <xf numFmtId="49" fontId="0" fillId="17" borderId="1" xfId="0" applyNumberFormat="1" applyFill="1" applyBorder="1"/>
    <xf numFmtId="0" fontId="0" fillId="18" borderId="0" xfId="0" applyFill="1"/>
    <xf numFmtId="0" fontId="0" fillId="18" borderId="1" xfId="0" applyFill="1" applyBorder="1"/>
    <xf numFmtId="167" fontId="15" fillId="18" borderId="1" xfId="3" applyNumberFormat="1" applyFont="1" applyFill="1" applyBorder="1" applyAlignment="1">
      <alignment horizontal="right" vertical="center"/>
    </xf>
    <xf numFmtId="168" fontId="15" fillId="18" borderId="1" xfId="3" applyNumberFormat="1" applyFont="1" applyFill="1" applyBorder="1" applyAlignment="1">
      <alignment horizontal="right" vertical="center"/>
    </xf>
    <xf numFmtId="169" fontId="15" fillId="18" borderId="1" xfId="3" applyNumberFormat="1" applyFont="1" applyFill="1" applyBorder="1" applyAlignment="1">
      <alignment horizontal="right" vertical="center"/>
    </xf>
    <xf numFmtId="0" fontId="15" fillId="18" borderId="1" xfId="3" applyFont="1" applyFill="1" applyBorder="1" applyAlignment="1">
      <alignment horizontal="center" wrapText="1"/>
    </xf>
    <xf numFmtId="0" fontId="15" fillId="18" borderId="1" xfId="3" applyFont="1" applyFill="1" applyBorder="1" applyAlignment="1">
      <alignment horizontal="left" vertical="top" wrapText="1"/>
    </xf>
    <xf numFmtId="0" fontId="0" fillId="19" borderId="1" xfId="0" applyFill="1" applyBorder="1"/>
    <xf numFmtId="0" fontId="3" fillId="19" borderId="1" xfId="4" applyFill="1" applyBorder="1"/>
    <xf numFmtId="0" fontId="18" fillId="19" borderId="1" xfId="4" applyFont="1" applyFill="1" applyBorder="1" applyAlignment="1">
      <alignment horizontal="center" wrapText="1"/>
    </xf>
    <xf numFmtId="0" fontId="18" fillId="19" borderId="1" xfId="4" applyFont="1" applyFill="1" applyBorder="1" applyAlignment="1">
      <alignment horizontal="left" vertical="top" wrapText="1"/>
    </xf>
    <xf numFmtId="167" fontId="18" fillId="19" borderId="1" xfId="4" applyNumberFormat="1" applyFont="1" applyFill="1" applyBorder="1" applyAlignment="1">
      <alignment horizontal="right" vertical="center"/>
    </xf>
    <xf numFmtId="168" fontId="18" fillId="19" borderId="1" xfId="4" applyNumberFormat="1" applyFont="1" applyFill="1" applyBorder="1" applyAlignment="1">
      <alignment horizontal="right" vertical="center"/>
    </xf>
    <xf numFmtId="169" fontId="18" fillId="19" borderId="1" xfId="4" applyNumberFormat="1" applyFont="1" applyFill="1" applyBorder="1" applyAlignment="1">
      <alignment horizontal="right" vertical="center"/>
    </xf>
    <xf numFmtId="0" fontId="0" fillId="19" borderId="2" xfId="0" applyFill="1" applyBorder="1"/>
    <xf numFmtId="0" fontId="0" fillId="19" borderId="3" xfId="0" applyFill="1" applyBorder="1"/>
    <xf numFmtId="0" fontId="0" fillId="19" borderId="7" xfId="0" applyFill="1" applyBorder="1"/>
    <xf numFmtId="0" fontId="6" fillId="2" borderId="0" xfId="0" applyFont="1" applyFill="1" applyBorder="1"/>
    <xf numFmtId="0" fontId="0" fillId="20" borderId="1" xfId="0" applyFill="1" applyBorder="1"/>
    <xf numFmtId="0" fontId="3" fillId="20" borderId="1" xfId="5" applyFill="1" applyBorder="1"/>
    <xf numFmtId="0" fontId="3" fillId="20" borderId="1" xfId="6" applyFill="1" applyBorder="1"/>
    <xf numFmtId="0" fontId="18" fillId="20" borderId="1" xfId="5" applyFont="1" applyFill="1" applyBorder="1" applyAlignment="1">
      <alignment horizontal="center" wrapText="1"/>
    </xf>
    <xf numFmtId="0" fontId="18" fillId="20" borderId="1" xfId="6" applyFont="1" applyFill="1" applyBorder="1" applyAlignment="1">
      <alignment horizontal="center" wrapText="1"/>
    </xf>
    <xf numFmtId="0" fontId="18" fillId="20" borderId="1" xfId="5" applyFont="1" applyFill="1" applyBorder="1" applyAlignment="1">
      <alignment horizontal="left" vertical="top" wrapText="1"/>
    </xf>
    <xf numFmtId="167" fontId="18" fillId="20" borderId="1" xfId="5" applyNumberFormat="1" applyFont="1" applyFill="1" applyBorder="1" applyAlignment="1">
      <alignment horizontal="right" vertical="center"/>
    </xf>
    <xf numFmtId="0" fontId="18" fillId="20" borderId="1" xfId="6" applyFont="1" applyFill="1" applyBorder="1" applyAlignment="1">
      <alignment horizontal="left" vertical="top" wrapText="1"/>
    </xf>
    <xf numFmtId="167" fontId="18" fillId="20" borderId="1" xfId="6" applyNumberFormat="1" applyFont="1" applyFill="1" applyBorder="1" applyAlignment="1">
      <alignment horizontal="right" vertical="center"/>
    </xf>
    <xf numFmtId="168" fontId="18" fillId="20" borderId="1" xfId="5" applyNumberFormat="1" applyFont="1" applyFill="1" applyBorder="1" applyAlignment="1">
      <alignment horizontal="right" vertical="center"/>
    </xf>
    <xf numFmtId="168" fontId="18" fillId="20" borderId="1" xfId="6" applyNumberFormat="1" applyFont="1" applyFill="1" applyBorder="1" applyAlignment="1">
      <alignment horizontal="right" vertical="center"/>
    </xf>
    <xf numFmtId="169" fontId="18" fillId="20" borderId="1" xfId="5" applyNumberFormat="1" applyFont="1" applyFill="1" applyBorder="1" applyAlignment="1">
      <alignment horizontal="right" vertical="center"/>
    </xf>
    <xf numFmtId="169" fontId="18" fillId="20" borderId="1" xfId="6" applyNumberFormat="1" applyFont="1" applyFill="1" applyBorder="1" applyAlignment="1">
      <alignment horizontal="right" vertical="center"/>
    </xf>
    <xf numFmtId="0" fontId="3" fillId="21" borderId="1" xfId="5" applyFill="1" applyBorder="1"/>
    <xf numFmtId="0" fontId="0" fillId="21" borderId="1" xfId="0" applyFill="1" applyBorder="1"/>
    <xf numFmtId="0" fontId="3" fillId="21" borderId="1" xfId="6" applyFill="1" applyBorder="1"/>
    <xf numFmtId="0" fontId="18" fillId="21" borderId="1" xfId="5" applyFont="1" applyFill="1" applyBorder="1" applyAlignment="1">
      <alignment horizontal="center" wrapText="1"/>
    </xf>
    <xf numFmtId="0" fontId="18" fillId="21" borderId="1" xfId="6" applyFont="1" applyFill="1" applyBorder="1" applyAlignment="1">
      <alignment horizontal="center" wrapText="1"/>
    </xf>
    <xf numFmtId="0" fontId="18" fillId="21" borderId="1" xfId="5" applyFont="1" applyFill="1" applyBorder="1" applyAlignment="1">
      <alignment horizontal="left" vertical="top" wrapText="1"/>
    </xf>
    <xf numFmtId="167" fontId="18" fillId="21" borderId="1" xfId="5" applyNumberFormat="1" applyFont="1" applyFill="1" applyBorder="1" applyAlignment="1">
      <alignment horizontal="right" vertical="center"/>
    </xf>
    <xf numFmtId="0" fontId="18" fillId="21" borderId="1" xfId="6" applyFont="1" applyFill="1" applyBorder="1" applyAlignment="1">
      <alignment horizontal="left" vertical="top" wrapText="1"/>
    </xf>
    <xf numFmtId="167" fontId="18" fillId="21" borderId="1" xfId="6" applyNumberFormat="1" applyFont="1" applyFill="1" applyBorder="1" applyAlignment="1">
      <alignment horizontal="right" vertical="center"/>
    </xf>
    <xf numFmtId="168" fontId="18" fillId="21" borderId="1" xfId="5" applyNumberFormat="1" applyFont="1" applyFill="1" applyBorder="1" applyAlignment="1">
      <alignment horizontal="right" vertical="center"/>
    </xf>
    <xf numFmtId="168" fontId="18" fillId="21" borderId="1" xfId="6" applyNumberFormat="1" applyFont="1" applyFill="1" applyBorder="1" applyAlignment="1">
      <alignment horizontal="right" vertical="center"/>
    </xf>
    <xf numFmtId="169" fontId="18" fillId="21" borderId="1" xfId="5" applyNumberFormat="1" applyFont="1" applyFill="1" applyBorder="1" applyAlignment="1">
      <alignment horizontal="right" vertical="center"/>
    </xf>
    <xf numFmtId="169" fontId="18" fillId="21" borderId="1" xfId="6" applyNumberFormat="1" applyFont="1" applyFill="1" applyBorder="1" applyAlignment="1">
      <alignment horizontal="right" vertical="center"/>
    </xf>
    <xf numFmtId="0" fontId="5" fillId="18" borderId="1" xfId="0" applyFont="1" applyFill="1" applyBorder="1"/>
    <xf numFmtId="0" fontId="23" fillId="18" borderId="1" xfId="0" applyFont="1" applyFill="1" applyBorder="1"/>
    <xf numFmtId="0" fontId="22" fillId="19" borderId="1" xfId="0" applyFont="1" applyFill="1" applyBorder="1"/>
    <xf numFmtId="0" fontId="5" fillId="19" borderId="1" xfId="0" applyFont="1" applyFill="1" applyBorder="1"/>
    <xf numFmtId="0" fontId="19" fillId="19" borderId="1" xfId="0" applyFont="1" applyFill="1" applyBorder="1"/>
    <xf numFmtId="0" fontId="22" fillId="20" borderId="1" xfId="0" applyFont="1" applyFill="1" applyBorder="1"/>
    <xf numFmtId="0" fontId="21" fillId="22" borderId="1" xfId="0" applyFont="1" applyFill="1" applyBorder="1"/>
    <xf numFmtId="0" fontId="0" fillId="22" borderId="1" xfId="0" applyFill="1" applyBorder="1"/>
    <xf numFmtId="0" fontId="5" fillId="20" borderId="1" xfId="0" applyFont="1" applyFill="1" applyBorder="1"/>
    <xf numFmtId="0" fontId="24" fillId="21" borderId="1" xfId="5" applyFont="1" applyFill="1" applyBorder="1"/>
    <xf numFmtId="0" fontId="5" fillId="21" borderId="1" xfId="0" applyFont="1" applyFill="1" applyBorder="1"/>
    <xf numFmtId="0" fontId="2" fillId="9" borderId="2" xfId="0" applyFont="1" applyFill="1" applyBorder="1" applyAlignment="1" applyProtection="1">
      <alignment horizontal="left"/>
    </xf>
    <xf numFmtId="0" fontId="10" fillId="17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2" xfId="0" applyFill="1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13" borderId="2" xfId="0" applyFill="1" applyBorder="1" applyAlignment="1"/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0" fillId="6" borderId="2" xfId="0" applyFill="1" applyBorder="1" applyAlignment="1"/>
    <xf numFmtId="0" fontId="2" fillId="6" borderId="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" fontId="2" fillId="13" borderId="2" xfId="0" applyNumberFormat="1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8" fillId="21" borderId="1" xfId="5" applyFont="1" applyFill="1" applyBorder="1" applyAlignment="1">
      <alignment horizontal="left" vertical="top" wrapText="1"/>
    </xf>
    <xf numFmtId="0" fontId="18" fillId="21" borderId="1" xfId="6" applyFont="1" applyFill="1" applyBorder="1" applyAlignment="1">
      <alignment horizontal="left" vertical="top" wrapText="1"/>
    </xf>
    <xf numFmtId="0" fontId="18" fillId="21" borderId="1" xfId="6" applyFont="1" applyFill="1" applyBorder="1" applyAlignment="1">
      <alignment horizontal="left" vertical="top"/>
    </xf>
    <xf numFmtId="0" fontId="18" fillId="21" borderId="1" xfId="5" applyFont="1" applyFill="1" applyBorder="1" applyAlignment="1">
      <alignment horizontal="left" vertical="top"/>
    </xf>
    <xf numFmtId="0" fontId="18" fillId="21" borderId="1" xfId="6" applyFont="1" applyFill="1" applyBorder="1" applyAlignment="1">
      <alignment horizontal="left" wrapText="1"/>
    </xf>
    <xf numFmtId="0" fontId="18" fillId="21" borderId="1" xfId="6" applyFont="1" applyFill="1" applyBorder="1" applyAlignment="1">
      <alignment horizontal="center" wrapText="1"/>
    </xf>
    <xf numFmtId="0" fontId="18" fillId="21" borderId="1" xfId="5" applyFont="1" applyFill="1" applyBorder="1" applyAlignment="1">
      <alignment horizontal="left" wrapText="1"/>
    </xf>
    <xf numFmtId="0" fontId="18" fillId="21" borderId="1" xfId="5" applyFont="1" applyFill="1" applyBorder="1" applyAlignment="1">
      <alignment horizontal="center" wrapText="1"/>
    </xf>
    <xf numFmtId="0" fontId="18" fillId="20" borderId="1" xfId="5" applyFont="1" applyFill="1" applyBorder="1" applyAlignment="1">
      <alignment horizontal="left" vertical="top" wrapText="1"/>
    </xf>
    <xf numFmtId="0" fontId="18" fillId="20" borderId="1" xfId="6" applyFont="1" applyFill="1" applyBorder="1" applyAlignment="1">
      <alignment horizontal="left" vertical="top" wrapText="1"/>
    </xf>
    <xf numFmtId="0" fontId="16" fillId="21" borderId="1" xfId="5" applyFont="1" applyFill="1" applyBorder="1" applyAlignment="1">
      <alignment horizontal="center" vertical="center" wrapText="1"/>
    </xf>
    <xf numFmtId="0" fontId="16" fillId="21" borderId="1" xfId="6" applyFont="1" applyFill="1" applyBorder="1" applyAlignment="1">
      <alignment horizontal="center" vertical="center" wrapText="1"/>
    </xf>
    <xf numFmtId="0" fontId="18" fillId="20" borderId="1" xfId="6" applyFont="1" applyFill="1" applyBorder="1" applyAlignment="1">
      <alignment horizontal="center" wrapText="1"/>
    </xf>
    <xf numFmtId="0" fontId="16" fillId="20" borderId="1" xfId="5" applyFont="1" applyFill="1" applyBorder="1" applyAlignment="1">
      <alignment horizontal="center" vertical="center" wrapText="1"/>
    </xf>
    <xf numFmtId="0" fontId="16" fillId="20" borderId="1" xfId="6" applyFont="1" applyFill="1" applyBorder="1" applyAlignment="1">
      <alignment horizontal="center" vertical="center" wrapText="1"/>
    </xf>
    <xf numFmtId="0" fontId="18" fillId="20" borderId="1" xfId="5" applyFont="1" applyFill="1" applyBorder="1" applyAlignment="1">
      <alignment horizontal="left" wrapText="1"/>
    </xf>
    <xf numFmtId="0" fontId="18" fillId="20" borderId="1" xfId="5" applyFont="1" applyFill="1" applyBorder="1" applyAlignment="1">
      <alignment horizontal="center" wrapText="1"/>
    </xf>
    <xf numFmtId="0" fontId="18" fillId="20" borderId="1" xfId="6" applyFont="1" applyFill="1" applyBorder="1" applyAlignment="1">
      <alignment horizontal="left" wrapText="1"/>
    </xf>
    <xf numFmtId="0" fontId="18" fillId="19" borderId="14" xfId="4" applyFont="1" applyFill="1" applyBorder="1" applyAlignment="1">
      <alignment horizontal="left" vertical="top" wrapText="1"/>
    </xf>
    <xf numFmtId="0" fontId="18" fillId="19" borderId="15" xfId="4" applyFont="1" applyFill="1" applyBorder="1" applyAlignment="1">
      <alignment horizontal="left" vertical="top" wrapText="1"/>
    </xf>
    <xf numFmtId="0" fontId="18" fillId="19" borderId="16" xfId="4" applyFont="1" applyFill="1" applyBorder="1" applyAlignment="1">
      <alignment horizontal="left" vertical="top" wrapText="1"/>
    </xf>
    <xf numFmtId="0" fontId="18" fillId="19" borderId="17" xfId="4" applyFont="1" applyFill="1" applyBorder="1" applyAlignment="1">
      <alignment horizontal="left" vertical="top" wrapText="1"/>
    </xf>
    <xf numFmtId="0" fontId="18" fillId="19" borderId="18" xfId="4" applyFont="1" applyFill="1" applyBorder="1" applyAlignment="1">
      <alignment horizontal="left" vertical="top" wrapText="1"/>
    </xf>
    <xf numFmtId="0" fontId="18" fillId="19" borderId="19" xfId="4" applyFont="1" applyFill="1" applyBorder="1" applyAlignment="1">
      <alignment horizontal="left" vertical="top" wrapText="1"/>
    </xf>
    <xf numFmtId="0" fontId="18" fillId="19" borderId="4" xfId="4" applyFont="1" applyFill="1" applyBorder="1" applyAlignment="1">
      <alignment horizontal="left" vertical="top"/>
    </xf>
    <xf numFmtId="0" fontId="18" fillId="19" borderId="6" xfId="4" applyFont="1" applyFill="1" applyBorder="1" applyAlignment="1">
      <alignment horizontal="left" vertical="top" wrapText="1"/>
    </xf>
    <xf numFmtId="0" fontId="18" fillId="19" borderId="7" xfId="4" applyFont="1" applyFill="1" applyBorder="1" applyAlignment="1">
      <alignment horizontal="left" vertical="top" wrapText="1"/>
    </xf>
    <xf numFmtId="0" fontId="18" fillId="19" borderId="4" xfId="4" applyFont="1" applyFill="1" applyBorder="1" applyAlignment="1">
      <alignment horizontal="left" vertical="top" wrapText="1"/>
    </xf>
    <xf numFmtId="0" fontId="15" fillId="18" borderId="1" xfId="3" applyFont="1" applyFill="1" applyBorder="1" applyAlignment="1">
      <alignment horizontal="left" vertical="top" wrapText="1"/>
    </xf>
    <xf numFmtId="0" fontId="16" fillId="19" borderId="2" xfId="4" applyFont="1" applyFill="1" applyBorder="1" applyAlignment="1">
      <alignment horizontal="center" vertical="center" wrapText="1"/>
    </xf>
    <xf numFmtId="0" fontId="16" fillId="19" borderId="5" xfId="4" applyFont="1" applyFill="1" applyBorder="1" applyAlignment="1">
      <alignment horizontal="center" vertical="center" wrapText="1"/>
    </xf>
    <xf numFmtId="0" fontId="16" fillId="19" borderId="3" xfId="4" applyFont="1" applyFill="1" applyBorder="1" applyAlignment="1">
      <alignment horizontal="center" vertical="center" wrapText="1"/>
    </xf>
    <xf numFmtId="0" fontId="18" fillId="19" borderId="14" xfId="4" applyFont="1" applyFill="1" applyBorder="1" applyAlignment="1">
      <alignment horizontal="left" wrapText="1"/>
    </xf>
    <xf numFmtId="0" fontId="18" fillId="19" borderId="20" xfId="4" applyFont="1" applyFill="1" applyBorder="1" applyAlignment="1">
      <alignment horizontal="left" wrapText="1"/>
    </xf>
    <xf numFmtId="0" fontId="18" fillId="19" borderId="15" xfId="4" applyFont="1" applyFill="1" applyBorder="1" applyAlignment="1">
      <alignment horizontal="left" wrapText="1"/>
    </xf>
    <xf numFmtId="0" fontId="18" fillId="19" borderId="18" xfId="4" applyFont="1" applyFill="1" applyBorder="1" applyAlignment="1">
      <alignment horizontal="left" wrapText="1"/>
    </xf>
    <xf numFmtId="0" fontId="18" fillId="19" borderId="21" xfId="4" applyFont="1" applyFill="1" applyBorder="1" applyAlignment="1">
      <alignment horizontal="left" wrapText="1"/>
    </xf>
    <xf numFmtId="0" fontId="18" fillId="19" borderId="19" xfId="4" applyFont="1" applyFill="1" applyBorder="1" applyAlignment="1">
      <alignment horizontal="left" wrapText="1"/>
    </xf>
    <xf numFmtId="0" fontId="18" fillId="19" borderId="2" xfId="4" applyFont="1" applyFill="1" applyBorder="1" applyAlignment="1">
      <alignment horizontal="center" wrapText="1"/>
    </xf>
    <xf numFmtId="0" fontId="18" fillId="19" borderId="3" xfId="4" applyFont="1" applyFill="1" applyBorder="1" applyAlignment="1">
      <alignment horizontal="center" wrapText="1"/>
    </xf>
    <xf numFmtId="0" fontId="18" fillId="19" borderId="4" xfId="4" applyFont="1" applyFill="1" applyBorder="1" applyAlignment="1">
      <alignment horizontal="center" wrapText="1"/>
    </xf>
    <xf numFmtId="0" fontId="18" fillId="19" borderId="7" xfId="4" applyFont="1" applyFill="1" applyBorder="1" applyAlignment="1">
      <alignment horizontal="center" wrapText="1"/>
    </xf>
    <xf numFmtId="0" fontId="16" fillId="18" borderId="1" xfId="3" applyFont="1" applyFill="1" applyBorder="1" applyAlignment="1">
      <alignment horizontal="center" vertical="center" wrapText="1"/>
    </xf>
    <xf numFmtId="0" fontId="15" fillId="18" borderId="1" xfId="3" applyFont="1" applyFill="1" applyBorder="1" applyAlignment="1">
      <alignment horizontal="left" wrapText="1"/>
    </xf>
    <xf numFmtId="0" fontId="15" fillId="18" borderId="1" xfId="3" applyFont="1" applyFill="1" applyBorder="1" applyAlignment="1">
      <alignment horizontal="center" wrapText="1"/>
    </xf>
  </cellXfs>
  <cellStyles count="7">
    <cellStyle name="Normal" xfId="0" builtinId="0"/>
    <cellStyle name="Normal_AV45_DELTA Crosstabs" xfId="3"/>
    <cellStyle name="Normal_AV45_Memory_Crosstabs" xfId="4"/>
    <cellStyle name="Normal_CDRSOB_Lookup" xfId="2"/>
    <cellStyle name="Normal_CSF-AD_DELTA&amp;Memory_Crosstabs" xfId="6"/>
    <cellStyle name="Normal_CSF-AD_DELTA_Crosstabs" xfId="5"/>
    <cellStyle name="Normal_Discrepancy Descriptives" xfId="1"/>
  </cellStyles>
  <dxfs count="0"/>
  <tableStyles count="0" defaultTableStyle="TableStyleMedium2" defaultPivotStyle="PivotStyleLight16"/>
  <colors>
    <mruColors>
      <color rgb="FFF19393"/>
      <color rgb="FFC7F9DB"/>
      <color rgb="FFFBDDBD"/>
      <color rgb="FFAFCCFB"/>
      <color rgb="FFFFFFA3"/>
      <color rgb="FFFCE4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J53"/>
  <sheetViews>
    <sheetView tabSelected="1" zoomScale="87" zoomScaleNormal="87" workbookViewId="0">
      <selection activeCell="E7" sqref="E7"/>
    </sheetView>
  </sheetViews>
  <sheetFormatPr defaultRowHeight="15" x14ac:dyDescent="0.25"/>
  <cols>
    <col min="1" max="1" width="26.7109375" style="11" bestFit="1" customWidth="1"/>
    <col min="2" max="2" width="22.85546875" style="11" bestFit="1" customWidth="1"/>
    <col min="3" max="3" width="24.42578125" style="11" customWidth="1"/>
    <col min="4" max="4" width="23.7109375" style="11" customWidth="1"/>
    <col min="5" max="5" width="25.140625" style="11" bestFit="1" customWidth="1"/>
    <col min="6" max="6" width="16" style="11" customWidth="1"/>
    <col min="7" max="7" width="22.28515625" style="105" customWidth="1"/>
    <col min="8" max="8" width="16.140625" style="103" bestFit="1" customWidth="1"/>
    <col min="9" max="9" width="9.7109375" style="11" customWidth="1"/>
    <col min="10" max="16384" width="9.140625" style="11"/>
  </cols>
  <sheetData>
    <row r="1" spans="1:8" ht="15.75" x14ac:dyDescent="0.25">
      <c r="B1" s="101" t="s">
        <v>86</v>
      </c>
      <c r="C1" s="101" t="s">
        <v>87</v>
      </c>
      <c r="D1" s="101" t="s">
        <v>88</v>
      </c>
      <c r="E1" s="101" t="s">
        <v>89</v>
      </c>
      <c r="F1" s="101" t="s">
        <v>46</v>
      </c>
      <c r="G1" s="102" t="s">
        <v>45</v>
      </c>
    </row>
    <row r="2" spans="1:8" ht="18.75" x14ac:dyDescent="0.3">
      <c r="A2" s="18" t="s">
        <v>83</v>
      </c>
      <c r="B2" s="4"/>
      <c r="C2" s="4"/>
      <c r="D2" s="4"/>
      <c r="E2" s="4"/>
      <c r="F2" s="4">
        <v>0</v>
      </c>
      <c r="G2" s="5">
        <v>0</v>
      </c>
    </row>
    <row r="3" spans="1:8" x14ac:dyDescent="0.25">
      <c r="A3" s="19" t="s">
        <v>281</v>
      </c>
      <c r="B3" s="104"/>
    </row>
    <row r="5" spans="1:8" ht="18.75" x14ac:dyDescent="0.25">
      <c r="E5" s="32" t="s">
        <v>84</v>
      </c>
    </row>
    <row r="6" spans="1:8" x14ac:dyDescent="0.25">
      <c r="B6" s="13" t="s">
        <v>14</v>
      </c>
      <c r="E6" s="31" t="s">
        <v>13</v>
      </c>
      <c r="G6" s="106" t="s">
        <v>142</v>
      </c>
      <c r="H6" s="13" t="s">
        <v>90</v>
      </c>
    </row>
    <row r="7" spans="1:8" x14ac:dyDescent="0.25">
      <c r="A7" s="107" t="s">
        <v>3</v>
      </c>
      <c r="B7" s="9" t="str">
        <f>IF(COUNT(B2:E2)=4,RegressionData!B5+(B2*RegressionData!C5)+(C2*RegressionData!D5)+(D2*RegressionData!E5)+(E2*RegressionData!F5)+(ScoringProgram!F2*RegressionData!G5)+(RegressionData!H5),"")</f>
        <v/>
      </c>
      <c r="D7" s="107" t="s">
        <v>3</v>
      </c>
      <c r="E7" s="30"/>
      <c r="G7" s="108" t="str">
        <f>IF(COUNT(E7,B7,RegressionData!I5)=3,(E7-B7)/RegressionData!I5,"")</f>
        <v/>
      </c>
      <c r="H7" s="103" t="str">
        <f>IF(AND(ScoringProgram!B7&lt;DiscrepancyPercentiles!B4,ScoringProgram!G7&lt;=DiscrepancyPercentiles!B7),"&lt;2",IF(AND(ScoringProgram!B7&lt;DiscrepancyPercentiles!B4,ScoringProgram!G7&gt;DiscrepancyPercentiles!B7,ScoringProgram!G7&lt;=DiscrepancyPercentiles!B8),"2-5",IF(AND(ScoringProgram!B7&lt;DiscrepancyPercentiles!B4,ScoringProgram!G7&gt;DiscrepancyPercentiles!B8,ScoringProgram!G7&lt;=DiscrepancyPercentiles!B10),"5-10",IF(AND(ScoringProgram!B7&lt;DiscrepancyPercentiles!B4,ScoringProgram!G7&gt;DiscrepancyPercentiles!B10,ScoringProgram!G7&lt;=DiscrepancyPercentiles!B12),"10-25",IF(AND(ScoringProgram!B7&lt;DiscrepancyPercentiles!B4,ScoringProgram!G7&gt;DiscrepancyPercentiles!B12),"&gt;25",IF(AND(ScoringProgram!B7&gt;=DiscrepancyPercentiles!C3,ScoringProgram!B7&lt;=DiscrepancyPercentiles!C4,ScoringProgram!G7&lt;=DiscrepancyPercentiles!C7),"&lt;2",IF(AND(ScoringProgram!B7&gt;=DiscrepancyPercentiles!C3,ScoringProgram!B7&lt;=DiscrepancyPercentiles!C4,ScoringProgram!G7&gt;DiscrepancyPercentiles!C7,ScoringProgram!G7&lt;=DiscrepancyPercentiles!C8),"2-5",IF(AND(ScoringProgram!B7&gt;=DiscrepancyPercentiles!C3,ScoringProgram!B7&lt;=DiscrepancyPercentiles!C4,ScoringProgram!G7&gt;DiscrepancyPercentiles!C8,ScoringProgram!G7&lt;=DiscrepancyPercentiles!C10),"5-10",IF(AND(ScoringProgram!B7&gt;=DiscrepancyPercentiles!C3,ScoringProgram!B7&lt;=DiscrepancyPercentiles!C4,ScoringProgram!G7&gt;DiscrepancyPercentiles!C10,ScoringProgram!G7&lt;=DiscrepancyPercentiles!C12),"10-25",IF(AND(ScoringProgram!B7&gt;=DiscrepancyPercentiles!C3,ScoringProgram!B7&lt;=DiscrepancyPercentiles!C4,ScoringProgram!G7&gt;DiscrepancyPercentiles!C12),"&gt;25",IF(AND(ScoringProgram!B7&gt;DiscrepancyPercentiles!D4,ScoringProgram!G7&lt;=DiscrepancyPercentiles!D7),"&lt;2",IF(AND(ScoringProgram!B7&gt;DiscrepancyPercentiles!D4,ScoringProgram!G7&gt;DiscrepancyPercentiles!D7,ScoringProgram!G7&lt;=DiscrepancyPercentiles!D8),"2-5",IF(AND(ScoringProgram!B7&gt;DiscrepancyPercentiles!D4,ScoringProgram!G7&gt;DiscrepancyPercentiles!D8,ScoringProgram!G7&lt;=DiscrepancyPercentiles!D10),"5-10",IF(AND(ScoringProgram!B7&gt;DiscrepancyPercentiles!D4,ScoringProgram!G7&gt;DiscrepancyPercentiles!D10,ScoringProgram!G7&lt;=DiscrepancyPercentiles!D12),"10-25",IF(AND(ScoringProgram!B7&gt;DiscrepancyPercentiles!D4,ScoringProgram!G7&gt;DiscrepancyPercentiles!D12),"&gt;25","")))))))))))))))</f>
        <v>&gt;25</v>
      </c>
    </row>
    <row r="8" spans="1:8" x14ac:dyDescent="0.25">
      <c r="A8" s="107" t="s">
        <v>4</v>
      </c>
      <c r="B8" s="9" t="str">
        <f>IF(COUNT(B2:E2)=4,RegressionData!B6+(B2*RegressionData!C6)+(C2*RegressionData!D6)+(D2*RegressionData!E6)+(E2*RegressionData!F6)+(ScoringProgram!F2*RegressionData!G6)+(ScoringProgram!G2*RegressionData!H6),"")</f>
        <v/>
      </c>
      <c r="D8" s="107" t="s">
        <v>4</v>
      </c>
      <c r="E8" s="6"/>
      <c r="G8" s="108" t="str">
        <f>IF(COUNT(B8,E8)=2,(E8-B8)/RegressionData!I6,"")</f>
        <v/>
      </c>
      <c r="H8" s="103" t="str">
        <f>IF(AND(B8&lt;DiscrepancyPercentiles!E4,ScoringProgram!G8&lt;=DiscrepancyPercentiles!E7),"&lt;2",IF(AND(ScoringProgram!B8&lt;DiscrepancyPercentiles!E4,ScoringProgram!G8&gt;DiscrepancyPercentiles!E7,ScoringProgram!G8&lt;=DiscrepancyPercentiles!E8),"2-5",IF(AND(ScoringProgram!B8&lt;DiscrepancyPercentiles!E4,ScoringProgram!G8&gt;DiscrepancyPercentiles!E8,ScoringProgram!G8&lt;=DiscrepancyPercentiles!E10),"5-10",IF(AND(ScoringProgram!B8&lt;DiscrepancyPercentiles!E4,ScoringProgram!G8&gt;DiscrepancyPercentiles!E10,ScoringProgram!G8&lt;=DiscrepancyPercentiles!E12),"10-25",IF(AND(ScoringProgram!B8&lt;DiscrepancyPercentiles!E4,ScoringProgram!G8&gt;DiscrepancyPercentiles!E12),"&gt;25",IF(AND(ScoringProgram!B8&gt;=DiscrepancyPercentiles!F3,ScoringProgram!B8&lt;=DiscrepancyPercentiles!F4,ScoringProgram!G8&lt;=DiscrepancyPercentiles!F7),"&lt;2",IF(AND(ScoringProgram!B8&gt;=DiscrepancyPercentiles!F3,ScoringProgram!B8&lt;=DiscrepancyPercentiles!F4,ScoringProgram!G8&gt;DiscrepancyPercentiles!F7,ScoringProgram!G8&lt;=DiscrepancyPercentiles!F8),"2-5",IF(AND(ScoringProgram!B8&gt;=DiscrepancyPercentiles!F3,ScoringProgram!B8&lt;=DiscrepancyPercentiles!F4,ScoringProgram!G8&gt;DiscrepancyPercentiles!F8,ScoringProgram!G8&lt;=DiscrepancyPercentiles!F10),"5-10",IF(AND(ScoringProgram!B8&gt;=DiscrepancyPercentiles!F3,ScoringProgram!B8&lt;=DiscrepancyPercentiles!F4,ScoringProgram!G8&gt;DiscrepancyPercentiles!F10,ScoringProgram!G8&lt;=DiscrepancyPercentiles!F12),"10-25",IF(AND(ScoringProgram!B8&gt;=DiscrepancyPercentiles!F3,ScoringProgram!B8&lt;=DiscrepancyPercentiles!F4,ScoringProgram!G8&gt;DiscrepancyPercentiles!F12),"&gt;25",IF(AND(ScoringProgram!B8&gt;DiscrepancyPercentiles!G4,ScoringProgram!G8&lt;=DiscrepancyPercentiles!G7),"&lt;2",IF(AND(ScoringProgram!B8&gt;DiscrepancyPercentiles!G4,ScoringProgram!G8&gt;DiscrepancyPercentiles!G7,ScoringProgram!G8&lt;=DiscrepancyPercentiles!G8),"2-5",IF(AND(ScoringProgram!B8&gt;DiscrepancyPercentiles!G4,ScoringProgram!G8&gt;DiscrepancyPercentiles!G8,ScoringProgram!G8&lt;=DiscrepancyPercentiles!G10),"5-10",IF(AND(ScoringProgram!B8&gt;DiscrepancyPercentiles!G4,ScoringProgram!G8&gt;DiscrepancyPercentiles!G10,ScoringProgram!G8&lt;=DiscrepancyPercentiles!G12),"10-25",IF(AND(ScoringProgram!B8&gt;DiscrepancyPercentiles!G4,ScoringProgram!G8&gt;DiscrepancyPercentiles!G12),"&gt;25","")))))))))))))))</f>
        <v>&gt;25</v>
      </c>
    </row>
    <row r="9" spans="1:8" x14ac:dyDescent="0.25">
      <c r="A9" s="107" t="s">
        <v>15</v>
      </c>
      <c r="B9" s="9" t="s">
        <v>85</v>
      </c>
      <c r="D9" s="107" t="s">
        <v>15</v>
      </c>
      <c r="E9" s="113" t="str">
        <f>IF(COUNT(E7:E8)=2,(E8/E7)*100,"")</f>
        <v/>
      </c>
      <c r="G9" s="108" t="s">
        <v>85</v>
      </c>
      <c r="H9" s="103" t="s">
        <v>85</v>
      </c>
    </row>
    <row r="10" spans="1:8" x14ac:dyDescent="0.25">
      <c r="A10" s="107" t="s">
        <v>5</v>
      </c>
      <c r="B10" s="9" t="str">
        <f>IF(COUNT(B2:E2)=4,RegressionData!B8+(B2*RegressionData!C8)+(C2*RegressionData!D8)+(D2*RegressionData!E8)+(E2*RegressionData!F8)+(ScoringProgram!F2*RegressionData!G8)+(ScoringProgram!G2*RegressionData!H8),"")</f>
        <v/>
      </c>
      <c r="D10" s="107" t="s">
        <v>5</v>
      </c>
      <c r="E10" s="30"/>
      <c r="G10" s="108" t="str">
        <f>IF(COUNT(E10)=1,(E10-B10)/RegressionData!I8,"")</f>
        <v/>
      </c>
      <c r="H10" s="103" t="str">
        <f>IF(AND(B10&lt;DiscrepancyPercentiles!H4,ScoringProgram!G10&lt;=DiscrepancyPercentiles!H7),"&lt;2",IF(AND(ScoringProgram!B10&lt;DiscrepancyPercentiles!H4,ScoringProgram!G10&gt;DiscrepancyPercentiles!H7,ScoringProgram!G10&lt;=DiscrepancyPercentiles!H8),"2-5",IF(AND(ScoringProgram!B10&lt;DiscrepancyPercentiles!H4,ScoringProgram!G10&gt;DiscrepancyPercentiles!H8,ScoringProgram!G10&lt;=DiscrepancyPercentiles!H10),"5-10",IF(AND(ScoringProgram!B10&lt;DiscrepancyPercentiles!H4,ScoringProgram!G10&gt;DiscrepancyPercentiles!H10,ScoringProgram!G10&lt;=DiscrepancyPercentiles!H12),"10-25",IF(AND(ScoringProgram!B10&lt;DiscrepancyPercentiles!H4,ScoringProgram!G10&gt;DiscrepancyPercentiles!H12),"&gt;25",IF(AND(ScoringProgram!B10&gt;=DiscrepancyPercentiles!I3,ScoringProgram!B10&lt;=DiscrepancyPercentiles!I4,ScoringProgram!G10&lt;=DiscrepancyPercentiles!I7),"&lt;2",IF(AND(ScoringProgram!B10&gt;=DiscrepancyPercentiles!I3,ScoringProgram!B10&lt;=DiscrepancyPercentiles!I4,ScoringProgram!G10&gt;DiscrepancyPercentiles!I7,ScoringProgram!G10&lt;=DiscrepancyPercentiles!I8),"2-5",IF(AND(ScoringProgram!B10&gt;=DiscrepancyPercentiles!I3,ScoringProgram!B10&lt;=DiscrepancyPercentiles!I4,ScoringProgram!G10&gt;DiscrepancyPercentiles!I8,ScoringProgram!G10&lt;=DiscrepancyPercentiles!I10),"5-10",IF(AND(ScoringProgram!B10&gt;=DiscrepancyPercentiles!I3,ScoringProgram!B10&lt;=DiscrepancyPercentiles!I4,ScoringProgram!G10&gt;DiscrepancyPercentiles!I10,ScoringProgram!G10&lt;=DiscrepancyPercentiles!I12),"10-25",IF(AND(ScoringProgram!B10&gt;=DiscrepancyPercentiles!I3,ScoringProgram!B10&lt;=DiscrepancyPercentiles!I4,ScoringProgram!G10&gt;DiscrepancyPercentiles!I12),"&gt;25",IF(AND(ScoringProgram!B10&gt;DiscrepancyPercentiles!J4,ScoringProgram!G10&lt;=DiscrepancyPercentiles!J7),"&lt;2",IF(AND(ScoringProgram!B10&gt;DiscrepancyPercentiles!J4,ScoringProgram!G10&gt;DiscrepancyPercentiles!J7,ScoringProgram!G10&lt;=DiscrepancyPercentiles!J8),"2-5",IF(AND(ScoringProgram!B10&gt;DiscrepancyPercentiles!J4,ScoringProgram!G10&gt;DiscrepancyPercentiles!J8,ScoringProgram!G10&lt;=DiscrepancyPercentiles!J10),"5-10",IF(AND(ScoringProgram!B10&gt;DiscrepancyPercentiles!J4,ScoringProgram!G10&gt;DiscrepancyPercentiles!J10,ScoringProgram!G10&lt;=DiscrepancyPercentiles!J12),"10-25",IF(AND(ScoringProgram!B10&gt;DiscrepancyPercentiles!J4,ScoringProgram!G10&gt;DiscrepancyPercentiles!J12),"&gt;25","")))))))))))))))</f>
        <v>&gt;25</v>
      </c>
    </row>
    <row r="11" spans="1:8" x14ac:dyDescent="0.25">
      <c r="A11" s="107" t="s">
        <v>107</v>
      </c>
      <c r="B11" s="9" t="str">
        <f>IF(COUNT(B2:E2)=4,RegressionData!B9+ScoringProgram!B2*RegressionData!C9+ScoringProgram!C2*RegressionData!D9+ScoringProgram!D2*RegressionData!E9+ScoringProgram!E2*RegressionData!F9+ScoringProgram!F2*RegressionData!G9+ScoringProgram!G2*RegressionData!H9,"")</f>
        <v/>
      </c>
      <c r="D11" s="107" t="s">
        <v>107</v>
      </c>
      <c r="E11" s="30"/>
      <c r="G11" s="108" t="str">
        <f>IF(COUNT(E11)=1,(E11-B11)/RegressionData!I9,"")</f>
        <v/>
      </c>
      <c r="H11" s="103" t="str">
        <f>IF(AND(B11&lt;DiscrepancyPercentiles!K4,ScoringProgram!G11&lt;=DiscrepancyPercentiles!K7),"&lt;2",IF(AND(ScoringProgram!B11&lt;DiscrepancyPercentiles!K4,ScoringProgram!G11&gt;DiscrepancyPercentiles!K7,ScoringProgram!G11&lt;=DiscrepancyPercentiles!K8),"2-5",IF(AND(ScoringProgram!B11&lt;DiscrepancyPercentiles!K4,ScoringProgram!G11&gt;DiscrepancyPercentiles!K8,ScoringProgram!G11&lt;=DiscrepancyPercentiles!K10),"5-10",IF(AND(ScoringProgram!B11&lt;DiscrepancyPercentiles!K4,ScoringProgram!G11&gt;DiscrepancyPercentiles!K10,ScoringProgram!G11&lt;=DiscrepancyPercentiles!K12),"10-25",IF(AND(ScoringProgram!B11&lt;DiscrepancyPercentiles!K4,ScoringProgram!G11&gt;DiscrepancyPercentiles!K12),"&gt;25",IF(AND(ScoringProgram!B11&gt;=DiscrepancyPercentiles!L3,ScoringProgram!B11&lt;=DiscrepancyPercentiles!L4,ScoringProgram!G11&lt;=DiscrepancyPercentiles!L7),"&lt;2",IF(AND(ScoringProgram!B11&gt;=DiscrepancyPercentiles!L3,ScoringProgram!B11&lt;=DiscrepancyPercentiles!L4,ScoringProgram!G11&gt;DiscrepancyPercentiles!L7,ScoringProgram!G11&lt;=DiscrepancyPercentiles!L8),"2-5",IF(AND(ScoringProgram!B11&gt;=DiscrepancyPercentiles!L3,ScoringProgram!B11&lt;=DiscrepancyPercentiles!L4,ScoringProgram!G11&gt;DiscrepancyPercentiles!L8,ScoringProgram!G11&lt;=DiscrepancyPercentiles!L10),"5-10",IF(AND(ScoringProgram!B11&gt;=DiscrepancyPercentiles!L3,ScoringProgram!B11&lt;=DiscrepancyPercentiles!L4,ScoringProgram!G11&gt;DiscrepancyPercentiles!L10,ScoringProgram!G11&lt;=DiscrepancyPercentiles!L12),"10-25",IF(AND(ScoringProgram!B11&gt;=DiscrepancyPercentiles!L3,ScoringProgram!B11&lt;=DiscrepancyPercentiles!L4,ScoringProgram!G11&gt;DiscrepancyPercentiles!L12),"&gt;25",IF(AND(ScoringProgram!B11&gt;DiscrepancyPercentiles!M4,ScoringProgram!G11&lt;=DiscrepancyPercentiles!M7),"&lt;2",IF(AND(ScoringProgram!B11&gt;DiscrepancyPercentiles!M4,ScoringProgram!G11&gt;DiscrepancyPercentiles!M7,ScoringProgram!G11&lt;=DiscrepancyPercentiles!M8),"2-5",IF(AND(ScoringProgram!B11&gt;DiscrepancyPercentiles!M4,ScoringProgram!G11&gt;DiscrepancyPercentiles!M8,ScoringProgram!G11&lt;=DiscrepancyPercentiles!M10),"5-10",IF(AND(ScoringProgram!B11&gt;DiscrepancyPercentiles!M4,ScoringProgram!G11&gt;DiscrepancyPercentiles!M10,ScoringProgram!G11&lt;=DiscrepancyPercentiles!M12),"10-25",IF(AND(ScoringProgram!B11&gt;DiscrepancyPercentiles!M4,ScoringProgram!G11&gt;DiscrepancyPercentiles!M12),"&gt;25","")))))))))))))))</f>
        <v>&gt;25</v>
      </c>
    </row>
    <row r="12" spans="1:8" x14ac:dyDescent="0.25">
      <c r="A12" s="107" t="s">
        <v>6</v>
      </c>
      <c r="B12" s="9" t="str">
        <f>IF(COUNT(B2:E2)=4,RegressionData!B10+(ScoringProgram!B2*RegressionData!C10)+(ScoringProgram!C2*RegressionData!D10)+(ScoringProgram!D2*RegressionData!E10)+(ScoringProgram!E2*RegressionData!F10)+(ScoringProgram!F2*RegressionData!G10)+(ScoringProgram!G2*RegressionData!H10),"")</f>
        <v/>
      </c>
      <c r="D12" s="107" t="s">
        <v>6</v>
      </c>
      <c r="E12" s="6"/>
      <c r="G12" s="108" t="str">
        <f>IF(COUNT(E12)=1,(E12-B12)/RegressionData!I10,"")</f>
        <v/>
      </c>
      <c r="H12" s="103" t="str">
        <f>IF(AND(B12&lt;DiscrepancyPercentiles!N4,ScoringProgram!G12&lt;=DiscrepancyPercentiles!N7),"&lt;2",IF(AND(ScoringProgram!B12&lt;DiscrepancyPercentiles!N4,ScoringProgram!G12&gt;DiscrepancyPercentiles!N7,ScoringProgram!G12&lt;=DiscrepancyPercentiles!N8),"2-5",IF(AND(ScoringProgram!B12&lt;DiscrepancyPercentiles!N4,ScoringProgram!G12&gt;DiscrepancyPercentiles!N8,ScoringProgram!G12&lt;=DiscrepancyPercentiles!N10),"5-10",IF(AND(ScoringProgram!B12&lt;DiscrepancyPercentiles!N4,ScoringProgram!G12&gt;DiscrepancyPercentiles!N10,ScoringProgram!G12&lt;=DiscrepancyPercentiles!N12),"10-25",IF(AND(ScoringProgram!B12&lt;DiscrepancyPercentiles!N4,ScoringProgram!G12&gt;DiscrepancyPercentiles!N12),"&gt;25",IF(AND(ScoringProgram!B12&gt;=DiscrepancyPercentiles!O3,ScoringProgram!B12&lt;=DiscrepancyPercentiles!O4,ScoringProgram!G12&lt;=DiscrepancyPercentiles!O7),"&lt;2",IF(AND(ScoringProgram!B12&gt;=DiscrepancyPercentiles!O3,ScoringProgram!B12&lt;=DiscrepancyPercentiles!O4,ScoringProgram!G12&gt;DiscrepancyPercentiles!O7,ScoringProgram!G12&lt;=DiscrepancyPercentiles!O8),"2-5",IF(AND(ScoringProgram!B12&gt;=DiscrepancyPercentiles!O3,ScoringProgram!B12&lt;=DiscrepancyPercentiles!O4,ScoringProgram!G12&gt;DiscrepancyPercentiles!O8,ScoringProgram!G12&lt;=DiscrepancyPercentiles!O10),"5-10",IF(AND(ScoringProgram!B12&gt;=DiscrepancyPercentiles!O3,ScoringProgram!B12&lt;=DiscrepancyPercentiles!O4,ScoringProgram!G12&gt;DiscrepancyPercentiles!O10,ScoringProgram!G12&lt;=DiscrepancyPercentiles!O12),"10-25",IF(AND(ScoringProgram!B12&gt;=DiscrepancyPercentiles!O3,ScoringProgram!B12&lt;=DiscrepancyPercentiles!O4,ScoringProgram!G12&gt;DiscrepancyPercentiles!O12),"&gt;25",IF(AND(ScoringProgram!B12&gt;DiscrepancyPercentiles!P4,ScoringProgram!G12&lt;=DiscrepancyPercentiles!P7),"&lt;2",IF(AND(ScoringProgram!B12&gt;DiscrepancyPercentiles!P4,ScoringProgram!G12&gt;DiscrepancyPercentiles!P7,ScoringProgram!G12&lt;=DiscrepancyPercentiles!P8),"2-5",IF(AND(ScoringProgram!B12&gt;DiscrepancyPercentiles!P4,ScoringProgram!G12&gt;DiscrepancyPercentiles!P8,ScoringProgram!G12&lt;=DiscrepancyPercentiles!P10),"5-10",IF(AND(ScoringProgram!B12&gt;DiscrepancyPercentiles!P4,ScoringProgram!G12&gt;DiscrepancyPercentiles!P10,ScoringProgram!G12&lt;=DiscrepancyPercentiles!P12),"10-25",IF(AND(ScoringProgram!B12&gt;DiscrepancyPercentiles!P4,ScoringProgram!G12&gt;DiscrepancyPercentiles!P12),"&gt;25","")))))))))))))))</f>
        <v>&gt;25</v>
      </c>
    </row>
    <row r="13" spans="1:8" x14ac:dyDescent="0.25">
      <c r="A13" s="107" t="s">
        <v>16</v>
      </c>
      <c r="B13" s="9" t="s">
        <v>85</v>
      </c>
      <c r="D13" s="107" t="s">
        <v>16</v>
      </c>
      <c r="E13" s="113" t="str">
        <f>IF(COUNT(E11:E12)=2,(E12/E11)*100,"")</f>
        <v/>
      </c>
      <c r="G13" s="108" t="s">
        <v>85</v>
      </c>
      <c r="H13" s="103" t="s">
        <v>85</v>
      </c>
    </row>
    <row r="14" spans="1:8" x14ac:dyDescent="0.25">
      <c r="A14" s="107" t="s">
        <v>7</v>
      </c>
      <c r="B14" s="9" t="str">
        <f>IF(COUNT(B2:E2)=4,RegressionData!B11+ScoringProgram!B2*RegressionData!C11+ScoringProgram!C2*RegressionData!D11+ScoringProgram!D2*RegressionData!E11+ScoringProgram!E2*RegressionData!F11+ScoringProgram!F2*RegressionData!G11+ScoringProgram!G2*RegressionData!H11,"")</f>
        <v/>
      </c>
      <c r="D14" s="107" t="s">
        <v>7</v>
      </c>
      <c r="E14" s="30"/>
      <c r="G14" s="108" t="str">
        <f>IF(COUNT(E14)=1,(B14-E14)/RegressionData!I11,"")</f>
        <v/>
      </c>
      <c r="H14" s="103" t="str">
        <f>IF(AND(B14&lt;DiscrepancyPercentiles!Q4,ScoringProgram!G14&lt;=DiscrepancyPercentiles!Q7),"&lt;2",IF(AND(ScoringProgram!B14&lt;DiscrepancyPercentiles!Q4,ScoringProgram!G14&gt;DiscrepancyPercentiles!Q7,ScoringProgram!G14&lt;=DiscrepancyPercentiles!Q8),"2-5",IF(AND(ScoringProgram!B14&lt;DiscrepancyPercentiles!Q4,ScoringProgram!G14&gt;DiscrepancyPercentiles!Q8,ScoringProgram!G14&lt;=DiscrepancyPercentiles!Q10),"5-10",IF(AND(ScoringProgram!B14&lt;DiscrepancyPercentiles!Q4,ScoringProgram!G14&gt;DiscrepancyPercentiles!Q10,ScoringProgram!G14&lt;=DiscrepancyPercentiles!Q12),"10-25",IF(AND(ScoringProgram!B14&lt;DiscrepancyPercentiles!Q4,ScoringProgram!G14&gt;DiscrepancyPercentiles!Q12),"&gt;25",IF(AND(ScoringProgram!B14&gt;=DiscrepancyPercentiles!R3,ScoringProgram!B14&lt;=DiscrepancyPercentiles!R4,ScoringProgram!G14&lt;=DiscrepancyPercentiles!R7),"&lt;2",IF(AND(ScoringProgram!B14&gt;=DiscrepancyPercentiles!R3,ScoringProgram!B14&lt;=DiscrepancyPercentiles!R4,ScoringProgram!G14&gt;DiscrepancyPercentiles!R7,ScoringProgram!G14&lt;=DiscrepancyPercentiles!R8),"2-5",IF(AND(ScoringProgram!B14&gt;=DiscrepancyPercentiles!R3,ScoringProgram!B14&lt;=DiscrepancyPercentiles!R4,ScoringProgram!G14&gt;DiscrepancyPercentiles!R8,ScoringProgram!G14&lt;=DiscrepancyPercentiles!R10),"5-10",IF(AND(ScoringProgram!B14&gt;=DiscrepancyPercentiles!R3,ScoringProgram!B14&lt;=DiscrepancyPercentiles!R4,ScoringProgram!G14&gt;DiscrepancyPercentiles!R10,ScoringProgram!G14&lt;=DiscrepancyPercentiles!R12),"10-25",IF(AND(ScoringProgram!B14&gt;=DiscrepancyPercentiles!R3,ScoringProgram!B14&lt;=DiscrepancyPercentiles!R4,ScoringProgram!G14&gt;DiscrepancyPercentiles!R12),"&gt;25",IF(AND(ScoringProgram!B14&gt;DiscrepancyPercentiles!S4,ScoringProgram!G14&lt;=DiscrepancyPercentiles!S7),"&lt;2",IF(AND(ScoringProgram!B14&lt;DiscrepancyPercentiles!S4,ScoringProgram!G14&gt;DiscrepancyPercentiles!S7,ScoringProgram!G14&lt;=DiscrepancyPercentiles!S8),"2-5",IF(AND(ScoringProgram!B14&gt;DiscrepancyPercentiles!S4,ScoringProgram!G14&gt;DiscrepancyPercentiles!S8,ScoringProgram!G14&lt;=DiscrepancyPercentiles!S10),"5-10",IF(AND(ScoringProgram!B14&gt;DiscrepancyPercentiles!S4,ScoringProgram!G14&gt;DiscrepancyPercentiles!S10,ScoringProgram!G14&lt;=DiscrepancyPercentiles!S12),"10-25",IF(AND(ScoringProgram!B14&gt;DiscrepancyPercentiles!S4,ScoringProgram!G14&gt;DiscrepancyPercentiles!S12),"&gt;25","")))))))))))))))</f>
        <v>&gt;25</v>
      </c>
    </row>
    <row r="15" spans="1:8" x14ac:dyDescent="0.25">
      <c r="A15" s="107" t="s">
        <v>8</v>
      </c>
      <c r="B15" s="9" t="str">
        <f>IF(COUNT(B2:E2)=4,RegressionData!B12+(B2*RegressionData!C12)+(C2*RegressionData!D12)+(D2*RegressionData!E12)+(E2*RegressionData!F12)+(ScoringProgram!F2*RegressionData!G12)+(ScoringProgram!G2*RegressionData!H12),"")</f>
        <v/>
      </c>
      <c r="D15" s="107" t="s">
        <v>8</v>
      </c>
      <c r="E15" s="30"/>
      <c r="G15" s="108" t="str">
        <f>IF(COUNT(E15)=1,(B15-E15)/RegressionData!I12,"")</f>
        <v/>
      </c>
      <c r="H15" s="103" t="str">
        <f>IF(AND(B15&lt;DiscrepancyPercentiles!T4,ScoringProgram!G15&lt;=DiscrepancyPercentiles!T7),"&lt;2",IF(AND(ScoringProgram!B15&lt;DiscrepancyPercentiles!T4,ScoringProgram!G15&gt;DiscrepancyPercentiles!T7,ScoringProgram!G15&lt;=DiscrepancyPercentiles!T8),"2-5",IF(AND(ScoringProgram!B15&lt;DiscrepancyPercentiles!T4,ScoringProgram!G15&gt;DiscrepancyPercentiles!T8,ScoringProgram!G15&lt;=DiscrepancyPercentiles!T10),"5-10",IF(AND(ScoringProgram!B15&lt;DiscrepancyPercentiles!T4,ScoringProgram!G15&gt;DiscrepancyPercentiles!T10,ScoringProgram!G15&lt;=DiscrepancyPercentiles!T12),"10-25",IF(AND(ScoringProgram!B15&lt;DiscrepancyPercentiles!T4,ScoringProgram!G15&gt;DiscrepancyPercentiles!T12),"&gt;25",IF(AND(ScoringProgram!B15&gt;=DiscrepancyPercentiles!U3,ScoringProgram!B15&lt;=DiscrepancyPercentiles!U4,ScoringProgram!G15&lt;=DiscrepancyPercentiles!U7),"&lt;2",IF(AND(ScoringProgram!B15&gt;=DiscrepancyPercentiles!U3,ScoringProgram!B15&lt;=DiscrepancyPercentiles!U4,ScoringProgram!G15&gt;DiscrepancyPercentiles!U7,ScoringProgram!G15&lt;=DiscrepancyPercentiles!U8),"2-5",IF(AND(ScoringProgram!B15&gt;=DiscrepancyPercentiles!U3,ScoringProgram!B15&lt;=DiscrepancyPercentiles!U4,ScoringProgram!G15&gt;DiscrepancyPercentiles!U8,ScoringProgram!G15&lt;=DiscrepancyPercentiles!U10),"5-10",IF(AND(ScoringProgram!B15&gt;=DiscrepancyPercentiles!U3,ScoringProgram!B15&lt;=DiscrepancyPercentiles!U4,ScoringProgram!G15&gt;DiscrepancyPercentiles!U10,ScoringProgram!G15&lt;=DiscrepancyPercentiles!U12),"10-25",IF(AND(ScoringProgram!B15&gt;=DiscrepancyPercentiles!U3,ScoringProgram!B15&lt;=DiscrepancyPercentiles!U4,ScoringProgram!G15&gt;DiscrepancyPercentiles!U12),"&gt;25",IF(AND(ScoringProgram!B15&gt;DiscrepancyPercentiles!V4,ScoringProgram!G15&lt;=DiscrepancyPercentiles!V7),"&lt;2",IF(AND(ScoringProgram!B15&lt;DiscrepancyPercentiles!V4,ScoringProgram!G15&gt;DiscrepancyPercentiles!V7,ScoringProgram!G15&lt;=DiscrepancyPercentiles!V8),"2-5",IF(AND(ScoringProgram!B15&gt;DiscrepancyPercentiles!V4,ScoringProgram!G15&gt;DiscrepancyPercentiles!V8,ScoringProgram!G15&lt;=DiscrepancyPercentiles!V10),"5-10",IF(AND(ScoringProgram!B15&gt;DiscrepancyPercentiles!V4,ScoringProgram!G15&gt;DiscrepancyPercentiles!V10,ScoringProgram!G15&lt;=DiscrepancyPercentiles!V12),"10-25",IF(AND(ScoringProgram!B15&gt;DiscrepancyPercentiles!V4,ScoringProgram!G15&gt;DiscrepancyPercentiles!V12),"&gt;25","")))))))))))))))</f>
        <v>&gt;25</v>
      </c>
    </row>
    <row r="16" spans="1:8" x14ac:dyDescent="0.25">
      <c r="A16" s="107" t="s">
        <v>9</v>
      </c>
      <c r="B16" s="9" t="str">
        <f>IF(COUNT(B2:E2)=4,RegressionData!B13+(B2*RegressionData!C13)+(C2*RegressionData!D13)+(D2*RegressionData!E13)+(E2*RegressionData!F13)+(ScoringProgram!F2*RegressionData!G13)+(ScoringProgram!G2*RegressionData!H13),"")</f>
        <v/>
      </c>
      <c r="D16" s="107" t="s">
        <v>9</v>
      </c>
      <c r="E16" s="8" t="str">
        <f>IF(COUNT(E14:E15)=2,E15/E14,"")</f>
        <v/>
      </c>
      <c r="G16" s="108" t="str">
        <f>IF(COUNT(E16)=1,(B16-E16)/RegressionData!I13,"")</f>
        <v/>
      </c>
      <c r="H16" s="103" t="str">
        <f>IF(AND(B16&lt;DiscrepancyPercentiles!W4,ScoringProgram!G16&lt;=DiscrepancyPercentiles!W7),"&lt;2",IF(AND(ScoringProgram!B16&lt;DiscrepancyPercentiles!W4,ScoringProgram!G16&gt;DiscrepancyPercentiles!W7,ScoringProgram!G16&lt;=DiscrepancyPercentiles!W8),"2-5",IF(AND(ScoringProgram!B16&lt;DiscrepancyPercentiles!W4,ScoringProgram!G16&gt;DiscrepancyPercentiles!W8,ScoringProgram!G16&lt;=DiscrepancyPercentiles!W10),"5-10",IF(AND(ScoringProgram!B16&lt;DiscrepancyPercentiles!W4,ScoringProgram!G16&gt;DiscrepancyPercentiles!W10,ScoringProgram!G16&lt;=DiscrepancyPercentiles!W12),"10-25",IF(AND(ScoringProgram!B16&lt;DiscrepancyPercentiles!W4,ScoringProgram!G16&gt;DiscrepancyPercentiles!W12),"&gt;25",IF(AND(ScoringProgram!B16&gt;=DiscrepancyPercentiles!X3,ScoringProgram!B16&lt;=DiscrepancyPercentiles!X4,ScoringProgram!G16&lt;=DiscrepancyPercentiles!X7),"&lt;2",IF(AND(ScoringProgram!B16&gt;=DiscrepancyPercentiles!X3,ScoringProgram!B16&lt;=DiscrepancyPercentiles!X4,ScoringProgram!G16&gt;DiscrepancyPercentiles!X7,ScoringProgram!G16&lt;=DiscrepancyPercentiles!X8),"2-5",IF(AND(ScoringProgram!B16&gt;=DiscrepancyPercentiles!X3,ScoringProgram!B16&lt;=DiscrepancyPercentiles!X4,ScoringProgram!G16&gt;DiscrepancyPercentiles!X8,ScoringProgram!G16&lt;=DiscrepancyPercentiles!X10),"5-10",IF(AND(ScoringProgram!B16&gt;=DiscrepancyPercentiles!X3,ScoringProgram!B16&lt;=DiscrepancyPercentiles!X4,ScoringProgram!G16&gt;DiscrepancyPercentiles!X10,ScoringProgram!G16&lt;=DiscrepancyPercentiles!X12),"10-25",IF(AND(ScoringProgram!B16&gt;=DiscrepancyPercentiles!X3,ScoringProgram!B16&lt;=DiscrepancyPercentiles!X4,ScoringProgram!G16&gt;DiscrepancyPercentiles!X12),"&gt;25",IF(AND(ScoringProgram!B16&gt;DiscrepancyPercentiles!Y4,ScoringProgram!G16&lt;=DiscrepancyPercentiles!Y7),"&lt;2",IF(AND(ScoringProgram!B16&lt;DiscrepancyPercentiles!Y4,ScoringProgram!G16&gt;DiscrepancyPercentiles!Y7,ScoringProgram!G16&lt;=DiscrepancyPercentiles!Y8),"2-5",IF(AND(ScoringProgram!B16&gt;DiscrepancyPercentiles!Y4,ScoringProgram!G16&gt;DiscrepancyPercentiles!Y8,ScoringProgram!G16&lt;=DiscrepancyPercentiles!Y10),"5-10",IF(AND(ScoringProgram!B16&gt;DiscrepancyPercentiles!Y4,ScoringProgram!G16&gt;DiscrepancyPercentiles!Y10,ScoringProgram!G16&lt;=DiscrepancyPercentiles!Y12),"10-25",IF(AND(ScoringProgram!B16&gt;DiscrepancyPercentiles!Y4,ScoringProgram!G16&gt;DiscrepancyPercentiles!Y12),"&gt;25","")))))))))))))))</f>
        <v>&gt;25</v>
      </c>
    </row>
    <row r="17" spans="1:10" x14ac:dyDescent="0.25">
      <c r="A17" s="107" t="s">
        <v>11</v>
      </c>
      <c r="B17" s="9" t="s">
        <v>85</v>
      </c>
      <c r="D17" s="107" t="s">
        <v>11</v>
      </c>
      <c r="E17" s="6"/>
      <c r="G17" s="108" t="s">
        <v>85</v>
      </c>
      <c r="H17" s="103" t="s">
        <v>85</v>
      </c>
    </row>
    <row r="18" spans="1:10" x14ac:dyDescent="0.25">
      <c r="A18" s="107" t="s">
        <v>10</v>
      </c>
      <c r="B18" s="9" t="str">
        <f>IF(COUNT(B2:E2)=4,RegressionData!B14+(B2*RegressionData!C14)+(C2*RegressionData!D14)+(D2*RegressionData!E14)+(E2*RegressionData!F14)+(ScoringProgram!F2*RegressionData!G14)+(ScoringProgram!G2*RegressionData!H14),"")</f>
        <v/>
      </c>
      <c r="D18" s="107" t="s">
        <v>10</v>
      </c>
      <c r="E18" s="6"/>
      <c r="G18" s="108" t="str">
        <f>IF(COUNT(E18)=1,(E18-B18)/RegressionData!I14,"")</f>
        <v/>
      </c>
      <c r="H18" s="103" t="str">
        <f>IF(AND(B18&lt;DiscrepancyPercentiles!Z4,ScoringProgram!G18&lt;=DiscrepancyPercentiles!Z7),"&lt;2",IF(AND(ScoringProgram!B18&lt;DiscrepancyPercentiles!Z4,ScoringProgram!G18&gt;DiscrepancyPercentiles!Z7,ScoringProgram!G18&lt;=DiscrepancyPercentiles!Z8),"2-5",IF(AND(ScoringProgram!B18&lt;DiscrepancyPercentiles!Z4,ScoringProgram!G18&gt;DiscrepancyPercentiles!Z8,ScoringProgram!G18&lt;=DiscrepancyPercentiles!Z10),"5-10",IF(AND(ScoringProgram!B18&lt;DiscrepancyPercentiles!Z4,ScoringProgram!G18&gt;DiscrepancyPercentiles!Z10,ScoringProgram!G18&lt;=DiscrepancyPercentiles!Z12),"10-25",IF(AND(ScoringProgram!B18&lt;DiscrepancyPercentiles!Z4,ScoringProgram!G18&gt;DiscrepancyPercentiles!Z12),"&gt;25",IF(AND(ScoringProgram!B18&gt;=DiscrepancyPercentiles!AA3,ScoringProgram!B18&lt;=DiscrepancyPercentiles!AA4,ScoringProgram!G18&lt;=DiscrepancyPercentiles!AA7),"&lt;2",IF(AND(ScoringProgram!B18&gt;=DiscrepancyPercentiles!AA3,ScoringProgram!B18&lt;=DiscrepancyPercentiles!AA4,ScoringProgram!G18&gt;DiscrepancyPercentiles!AA7,ScoringProgram!G18&lt;=DiscrepancyPercentiles!AA8),"2-5",IF(AND(ScoringProgram!B18&gt;=DiscrepancyPercentiles!AA3,ScoringProgram!B18&lt;=DiscrepancyPercentiles!AA4,ScoringProgram!G18&gt;DiscrepancyPercentiles!AA8,ScoringProgram!G18&lt;=DiscrepancyPercentiles!AA10),"5-10",IF(AND(ScoringProgram!B18&gt;=DiscrepancyPercentiles!AA3,ScoringProgram!B18&lt;=DiscrepancyPercentiles!AA4,ScoringProgram!G18&gt;DiscrepancyPercentiles!AA10,ScoringProgram!G18&lt;=DiscrepancyPercentiles!AA12),"10-25",IF(AND(ScoringProgram!B18&gt;=DiscrepancyPercentiles!AA3,ScoringProgram!B18&lt;=DiscrepancyPercentiles!AA4,ScoringProgram!G18&gt;DiscrepancyPercentiles!AA12),"&gt;25",IF(AND(ScoringProgram!B18&gt;DiscrepancyPercentiles!AB4,ScoringProgram!G18&lt;=DiscrepancyPercentiles!AB7),"&lt;2",IF(AND(ScoringProgram!B18&lt;DiscrepancyPercentiles!AB4,ScoringProgram!G18&gt;DiscrepancyPercentiles!AB7,ScoringProgram!G18&lt;=DiscrepancyPercentiles!AB8),"2-5",IF(AND(ScoringProgram!B18&gt;DiscrepancyPercentiles!AB4,ScoringProgram!G18&gt;DiscrepancyPercentiles!AB8,ScoringProgram!G18&lt;=DiscrepancyPercentiles!AB10),"5-10",IF(AND(ScoringProgram!B18&gt;DiscrepancyPercentiles!AB4,ScoringProgram!G18&gt;DiscrepancyPercentiles!AB10,ScoringProgram!G18&lt;=DiscrepancyPercentiles!AB12),"10-25",IF(AND(ScoringProgram!B18&gt;DiscrepancyPercentiles!AB4,ScoringProgram!G18&gt;DiscrepancyPercentiles!AB12),"&gt;25","")))))))))))))))</f>
        <v>&gt;25</v>
      </c>
    </row>
    <row r="19" spans="1:10" x14ac:dyDescent="0.25">
      <c r="A19" s="107" t="s">
        <v>12</v>
      </c>
      <c r="B19" s="9" t="str">
        <f>IF(COUNT(B2:E2)=4,RegressionData!B15+(B2*RegressionData!C15)+(C2*RegressionData!D15)+(D2*RegressionData!E15)+(E2*RegressionData!F15)+(ScoringProgram!F2*RegressionData!G15)+(ScoringProgram!G2*RegressionData!H15),"")</f>
        <v/>
      </c>
      <c r="D19" s="107" t="s">
        <v>12</v>
      </c>
      <c r="E19" s="7"/>
      <c r="G19" s="108" t="str">
        <f>IF(COUNT(E19)=1,(E19-B19)/RegressionData!I15,"")</f>
        <v/>
      </c>
      <c r="H19" s="103" t="str">
        <f>IF(AND(B19&lt;DiscrepancyPercentiles!AC4,ScoringProgram!G19&lt;=DiscrepancyPercentiles!AC7),"&lt;2",IF(AND(ScoringProgram!B19&lt;DiscrepancyPercentiles!AC4,ScoringProgram!G19&gt;DiscrepancyPercentiles!AC7,ScoringProgram!G19&lt;=DiscrepancyPercentiles!AC8),"2-5",IF(AND(ScoringProgram!B19&lt;DiscrepancyPercentiles!AC4,ScoringProgram!G19&gt;DiscrepancyPercentiles!AC8,ScoringProgram!G19&lt;=DiscrepancyPercentiles!AC10),"5-10",IF(AND(ScoringProgram!B19&lt;DiscrepancyPercentiles!AC4,ScoringProgram!G19&gt;DiscrepancyPercentiles!AC10,ScoringProgram!G19&lt;=DiscrepancyPercentiles!AC12),"10-25",IF(AND(ScoringProgram!B19&lt;DiscrepancyPercentiles!AC4,ScoringProgram!G19&gt;DiscrepancyPercentiles!AC12),"&gt;25",IF(AND(ScoringProgram!B19&gt;=DiscrepancyPercentiles!AD3,ScoringProgram!B19&lt;=DiscrepancyPercentiles!AD4,ScoringProgram!G19&lt;=DiscrepancyPercentiles!AD7),"&lt;2",IF(AND(ScoringProgram!B19&gt;=DiscrepancyPercentiles!AD3,ScoringProgram!B19&lt;=DiscrepancyPercentiles!AD4,ScoringProgram!G19&gt;DiscrepancyPercentiles!AD7,ScoringProgram!G19&lt;=DiscrepancyPercentiles!AD8),"2-5",IF(AND(ScoringProgram!B19&gt;=DiscrepancyPercentiles!AD3,ScoringProgram!B19&lt;=DiscrepancyPercentiles!AD4,ScoringProgram!G19&gt;DiscrepancyPercentiles!AD8,ScoringProgram!G19&lt;=DiscrepancyPercentiles!AD10),"5-10",IF(AND(ScoringProgram!B19&gt;=DiscrepancyPercentiles!AD3,ScoringProgram!B19&lt;=DiscrepancyPercentiles!AD4,ScoringProgram!G19&gt;DiscrepancyPercentiles!AD10,ScoringProgram!G19&lt;=DiscrepancyPercentiles!AD12),"10-25",IF(AND(ScoringProgram!B19&gt;=DiscrepancyPercentiles!AD3,ScoringProgram!B19&lt;=DiscrepancyPercentiles!AD4,ScoringProgram!G19&gt;DiscrepancyPercentiles!AD12),"&gt;25",IF(AND(ScoringProgram!B19&gt;DiscrepancyPercentiles!AE4,ScoringProgram!G19&lt;=DiscrepancyPercentiles!AE7),"&lt;2",IF(AND(ScoringProgram!B19&lt;DiscrepancyPercentiles!AE4,ScoringProgram!G19&gt;DiscrepancyPercentiles!AE7,ScoringProgram!G19&lt;=DiscrepancyPercentiles!AE8),"2-5",IF(AND(ScoringProgram!B19&gt;DiscrepancyPercentiles!AE4,ScoringProgram!G19&gt;DiscrepancyPercentiles!AE8,ScoringProgram!G19&lt;=DiscrepancyPercentiles!AE10),"5-10",IF(AND(ScoringProgram!B19&gt;DiscrepancyPercentiles!AE4,ScoringProgram!G19&gt;DiscrepancyPercentiles!AE10,ScoringProgram!G19&lt;=DiscrepancyPercentiles!AE12),"10-25",IF(AND(ScoringProgram!B19&gt;DiscrepancyPercentiles!AE4,ScoringProgram!G19&gt;DiscrepancyPercentiles!AE12),"&gt;25","")))))))))))))))</f>
        <v>&gt;25</v>
      </c>
    </row>
    <row r="20" spans="1:10" x14ac:dyDescent="0.25">
      <c r="E20" s="225" t="s">
        <v>282</v>
      </c>
      <c r="F20" s="109"/>
      <c r="H20" s="110"/>
    </row>
    <row r="21" spans="1:10" x14ac:dyDescent="0.25">
      <c r="H21" s="110"/>
    </row>
    <row r="22" spans="1:10" ht="18.75" x14ac:dyDescent="0.3">
      <c r="A22" s="10" t="s">
        <v>81</v>
      </c>
      <c r="C22" s="227" t="s">
        <v>143</v>
      </c>
      <c r="D22" s="228"/>
      <c r="E22" s="228"/>
      <c r="H22" s="110"/>
    </row>
    <row r="23" spans="1:10" ht="15.75" x14ac:dyDescent="0.25">
      <c r="A23" s="23" t="s">
        <v>17</v>
      </c>
      <c r="B23" s="24" t="str">
        <f>IF(COUNT(E8,E9,E11,E12,E13)=5,ScoreCriteria!E10,"")</f>
        <v/>
      </c>
      <c r="C23" s="12"/>
      <c r="D23" s="21" t="str">
        <f>IF(AND(COUNT(B26)=1,B26=0),"No Evidence","")</f>
        <v/>
      </c>
      <c r="E23" s="111"/>
      <c r="F23" s="111"/>
      <c r="H23" s="110"/>
    </row>
    <row r="24" spans="1:10" ht="15.75" x14ac:dyDescent="0.25">
      <c r="A24" s="25" t="s">
        <v>23</v>
      </c>
      <c r="B24" s="26" t="str">
        <f>IF(COUNT(E18:E19)=2,ScoreCriteria!J10,"")</f>
        <v/>
      </c>
      <c r="C24" s="12"/>
      <c r="D24" s="14" t="str">
        <f>IF(AND(COUNT(B26)=1,B26&gt;=1,B26&lt;=3),"Low Evidence","")</f>
        <v/>
      </c>
      <c r="E24" s="111"/>
      <c r="F24" s="111"/>
      <c r="H24" s="110"/>
    </row>
    <row r="25" spans="1:10" ht="15.75" x14ac:dyDescent="0.25">
      <c r="A25" s="27" t="s">
        <v>29</v>
      </c>
      <c r="B25" s="28" t="str">
        <f>IF(COUNT(E17,E16)=2,ScoreCriteria!O10,"")</f>
        <v/>
      </c>
      <c r="C25" s="12"/>
      <c r="D25" s="15" t="str">
        <f>IF(AND(COUNT(B26)=1,B26&gt;=4,B26&lt;=6),"Moderate Evidence ","")</f>
        <v/>
      </c>
      <c r="E25" s="111"/>
      <c r="F25" s="111"/>
      <c r="H25" s="110"/>
    </row>
    <row r="26" spans="1:10" ht="15.75" x14ac:dyDescent="0.25">
      <c r="A26" s="33" t="s">
        <v>241</v>
      </c>
      <c r="B26" s="34" t="str">
        <f>IF(COUNT(B23:B25)=3,SUM(B23:B25),"")</f>
        <v/>
      </c>
      <c r="C26" s="12"/>
      <c r="D26" s="16" t="str">
        <f>IF(AND(COUNT(B26)=1,B26&gt;=7,B26&lt;=9),"Strong Evidence ","")</f>
        <v/>
      </c>
      <c r="E26" s="111"/>
      <c r="F26" s="111"/>
      <c r="H26" s="110"/>
    </row>
    <row r="27" spans="1:10" ht="15.75" x14ac:dyDescent="0.25">
      <c r="A27" s="126" t="s">
        <v>242</v>
      </c>
      <c r="C27" s="12"/>
      <c r="D27" s="17" t="str">
        <f>IF(AND(COUNT(B26)=1,B26&gt;=10),"Very Strong Evidence","")</f>
        <v/>
      </c>
      <c r="E27" s="111"/>
      <c r="F27" s="111"/>
    </row>
    <row r="29" spans="1:10" ht="6" customHeight="1" x14ac:dyDescent="0.25">
      <c r="A29" s="112"/>
      <c r="B29" s="112"/>
      <c r="C29" s="112"/>
      <c r="D29" s="112"/>
      <c r="E29" s="112"/>
      <c r="F29" s="112"/>
      <c r="G29" s="127"/>
      <c r="H29" s="129"/>
      <c r="I29" s="112"/>
      <c r="J29" s="112"/>
    </row>
    <row r="30" spans="1:10" ht="18.75" x14ac:dyDescent="0.3">
      <c r="A30" s="130" t="s">
        <v>152</v>
      </c>
      <c r="B30" s="131"/>
      <c r="C30" s="131"/>
      <c r="D30" s="131"/>
      <c r="E30" s="131"/>
      <c r="F30" s="131"/>
      <c r="G30" s="132"/>
      <c r="H30" s="133"/>
      <c r="I30" s="131"/>
      <c r="J30" s="131"/>
    </row>
    <row r="31" spans="1:10" ht="18" customHeight="1" x14ac:dyDescent="0.25">
      <c r="A31" s="131"/>
      <c r="B31" s="226" t="s">
        <v>150</v>
      </c>
      <c r="C31" s="226"/>
      <c r="D31" s="226" t="s">
        <v>149</v>
      </c>
      <c r="E31" s="226"/>
      <c r="F31" s="226"/>
      <c r="G31" s="132"/>
      <c r="H31" s="133"/>
      <c r="I31" s="131"/>
      <c r="J31" s="131"/>
    </row>
    <row r="32" spans="1:10" ht="18.75" customHeight="1" x14ac:dyDescent="0.25">
      <c r="A32" s="131"/>
      <c r="B32" s="134" t="s">
        <v>144</v>
      </c>
      <c r="C32" s="134" t="s">
        <v>145</v>
      </c>
      <c r="D32" s="134" t="s">
        <v>146</v>
      </c>
      <c r="E32" s="134" t="s">
        <v>147</v>
      </c>
      <c r="F32" s="134" t="s">
        <v>148</v>
      </c>
      <c r="G32" s="132"/>
      <c r="H32" s="133"/>
      <c r="I32" s="131"/>
      <c r="J32" s="131"/>
    </row>
    <row r="33" spans="1:10" x14ac:dyDescent="0.25">
      <c r="A33" s="135" t="s">
        <v>151</v>
      </c>
      <c r="B33" s="136">
        <v>0</v>
      </c>
      <c r="C33" s="137" t="s">
        <v>112</v>
      </c>
      <c r="D33" s="137" t="s">
        <v>113</v>
      </c>
      <c r="E33" s="137" t="s">
        <v>114</v>
      </c>
      <c r="F33" s="137" t="s">
        <v>115</v>
      </c>
      <c r="G33" s="132"/>
      <c r="H33" s="133"/>
      <c r="I33" s="131"/>
      <c r="J33" s="131"/>
    </row>
    <row r="34" spans="1:10" x14ac:dyDescent="0.25">
      <c r="A34" s="138" t="s">
        <v>109</v>
      </c>
      <c r="B34" s="139" t="str">
        <f>IF(ScoringProgram!B26=0,CDRSOB_Lookup!D3,IF(AND(ScoringProgram!B26&gt;=1,ScoringProgram!B26&lt;=3),CDRSOB_Lookup!D4,IF(AND(ScoringProgram!B26&gt;=4,ScoringProgram!B26&lt;=6),CDRSOB_Lookup!D5,IF(AND(ScoringProgram!B26&gt;=7,ScoringProgram!B26&lt;=9),CDRSOB_Lookup!D6,IF(ScoringProgram!B26&gt;=10,CDRSOB_Lookup!D7,"")))))</f>
        <v>0.0</v>
      </c>
      <c r="C34" s="139" t="str">
        <f>IF(ScoringProgram!B26=0,CDRSOB_Lookup!E3,IF(AND(ScoringProgram!B26&gt;=1,ScoringProgram!B26&lt;=3),CDRSOB_Lookup!E4,IF(AND(ScoringProgram!B26&gt;=4,ScoringProgram!B26&lt;=6),CDRSOB_Lookup!E5,IF(AND(ScoringProgram!B26&gt;=7,ScoringProgram!B26&lt;=9),CDRSOB_Lookup!E6,IF(ScoringProgram!B26&gt;=10,CDRSOB_Lookup!E7,"")))))</f>
        <v>40.8</v>
      </c>
      <c r="D34" s="139" t="str">
        <f>IF(ScoringProgram!B26=0,CDRSOB_Lookup!F3,IF(AND(ScoringProgram!B26&gt;=1,ScoringProgram!B26&lt;=3),CDRSOB_Lookup!F4,IF(AND(ScoringProgram!B26&gt;=4,ScoringProgram!B26&lt;=6),CDRSOB_Lookup!F5,IF(AND(ScoringProgram!B26&gt;=7,ScoringProgram!B26&lt;=9),CDRSOB_Lookup!F6,IF(ScoringProgram!B26&gt;=10,CDRSOB_Lookup!F7,"")))))</f>
        <v>49.0</v>
      </c>
      <c r="E34" s="139" t="str">
        <f>IF(ScoringProgram!B26=0,CDRSOB_Lookup!G3,IF(AND(ScoringProgram!B26&gt;=1,ScoringProgram!B26&lt;=3),CDRSOB_Lookup!G4,IF(AND(ScoringProgram!B26&gt;=4,ScoringProgram!B26&lt;=6),CDRSOB_Lookup!G5,IF(AND(ScoringProgram!B26&gt;=7,ScoringProgram!B26&lt;=9),CDRSOB_Lookup!G6,IF(ScoringProgram!B26&gt;=10,CDRSOB_Lookup!G7,"")))))</f>
        <v>10.2</v>
      </c>
      <c r="F34" s="139" t="str">
        <f>IF(ScoringProgram!B26=0,CDRSOB_Lookup!H3,IF(AND(ScoringProgram!B26&gt;=1,ScoringProgram!B26&lt;=3),CDRSOB_Lookup!H4,IF(AND(ScoringProgram!B26&gt;=4,ScoringProgram!B26&lt;=6),CDRSOB_Lookup!H5,IF(AND(ScoringProgram!B26&gt;=7,ScoringProgram!B26&lt;=9),CDRSOB_Lookup!H6,IF(ScoringProgram!B26&gt;=10,CDRSOB_Lookup!H7,"")))))</f>
        <v>0.0</v>
      </c>
      <c r="G34" s="132"/>
      <c r="H34" s="133"/>
      <c r="I34" s="131"/>
      <c r="J34" s="131"/>
    </row>
    <row r="35" spans="1:10" x14ac:dyDescent="0.25">
      <c r="A35" s="138" t="s">
        <v>110</v>
      </c>
      <c r="B35" s="139" t="str">
        <f>IF(ScoringProgram!B26=0,CDRSOB_Lookup!D12,IF(AND(ScoringProgram!B26&gt;=1,ScoringProgram!B26&lt;=3),CDRSOB_Lookup!D13,IF(AND(ScoringProgram!B26&gt;=4,ScoringProgram!B26&lt;=6),CDRSOB_Lookup!D14,IF(AND(ScoringProgram!B26&gt;=7,ScoringProgram!B26&lt;=9),CDRSOB_Lookup!D15,IF(ScoringProgram!B26&gt;=10,CDRSOB_Lookup!D16,"")))))</f>
        <v>2.9</v>
      </c>
      <c r="C35" s="139" t="str">
        <f>IF(ScoringProgram!B26=0,CDRSOB_Lookup!E12,IF(AND(ScoringProgram!B26&gt;=1,ScoringProgram!B26&lt;=3),CDRSOB_Lookup!E13,IF(AND(ScoringProgram!B26&gt;=4,ScoringProgram!B26&lt;=6),CDRSOB_Lookup!E14,IF(AND(ScoringProgram!B26&gt;=7,ScoringProgram!B26&lt;=9),CDRSOB_Lookup!E15,IF(ScoringProgram!B26&gt;=10,CDRSOB_Lookup!E16,"")))))</f>
        <v>35.3</v>
      </c>
      <c r="D35" s="139" t="str">
        <f>IF(ScoringProgram!B26=0,CDRSOB_Lookup!F12,IF(AND(ScoringProgram!B26&gt;=1,ScoringProgram!B26&lt;=3),CDRSOB_Lookup!F13,IF(AND(ScoringProgram!B26&gt;=4,ScoringProgram!B26&lt;=6),CDRSOB_Lookup!F14,IF(AND(ScoringProgram!B26&gt;=7,ScoringProgram!B26&lt;=9),CDRSOB_Lookup!F15,IF(ScoringProgram!B26&gt;=10,CDRSOB_Lookup!F16,"")))))</f>
        <v>41.2</v>
      </c>
      <c r="E35" s="139" t="str">
        <f>IF(ScoringProgram!B26=0,CDRSOB_Lookup!G12,IF(AND(ScoringProgram!B26&gt;=1,ScoringProgram!B26&lt;=3),CDRSOB_Lookup!G13,IF(AND(ScoringProgram!B26&gt;=4,ScoringProgram!B26&lt;=6),CDRSOB_Lookup!G14,IF(AND(ScoringProgram!B26&gt;=7,ScoringProgram!B26&lt;=9),CDRSOB_Lookup!G15,IF(ScoringProgram!B26&gt;=10,CDRSOB_Lookup!G16,"")))))</f>
        <v>20.6</v>
      </c>
      <c r="F35" s="139" t="str">
        <f>IF(ScoringProgram!B26=0,CDRSOB_Lookup!H12,IF(AND(ScoringProgram!B26&gt;=1,ScoringProgram!B26&lt;=3),CDRSOB_Lookup!H13,IF(AND(ScoringProgram!B26&gt;=4,ScoringProgram!B26&lt;=6),CDRSOB_Lookup!H14,IF(AND(ScoringProgram!B26&gt;=7,ScoringProgram!B26&lt;=9),CDRSOB_Lookup!H15,IF(ScoringProgram!B26&gt;=10,CDRSOB_Lookup!H16,"")))))</f>
        <v>0.0</v>
      </c>
      <c r="G35" s="132"/>
      <c r="H35" s="133"/>
      <c r="I35" s="131"/>
      <c r="J35" s="131"/>
    </row>
    <row r="36" spans="1:10" x14ac:dyDescent="0.25">
      <c r="A36" s="138" t="s">
        <v>111</v>
      </c>
      <c r="B36" s="139" t="str">
        <f>IF(ScoringProgram!B26=0,CDRSOB_Lookup!D21,IF(AND(ScoringProgram!B26&gt;=1,ScoringProgram!B26&lt;=3),CDRSOB_Lookup!D22,IF(AND(ScoringProgram!B26&gt;=4,ScoringProgram!B26&lt;=6),CDRSOB_Lookup!D23,IF(AND(ScoringProgram!B26&gt;=7,ScoringProgram!B26&lt;=9),"Low N",IF(ScoringProgram!B26&gt;=10,"Low N","")))))</f>
        <v>Low N</v>
      </c>
      <c r="C36" s="139" t="str">
        <f>IF(ScoringProgram!B26=0,CDRSOB_Lookup!E21,IF(AND(ScoringProgram!B26&gt;=1,ScoringProgram!B26&lt;=3),CDRSOB_Lookup!E22,IF(AND(ScoringProgram!B26&gt;=4,ScoringProgram!B26&lt;=6),CDRSOB_Lookup!E23,IF(AND(ScoringProgram!B26&gt;=7,ScoringProgram!B26&lt;=9),"Low N",IF(ScoringProgram!B26&gt;=10,"Low N","")))))</f>
        <v>Low N</v>
      </c>
      <c r="D36" s="139" t="str">
        <f>IF(ScoringProgram!B26=0,CDRSOB_Lookup!F21,IF(AND(ScoringProgram!B26&gt;=1,ScoringProgram!B26&lt;=3),CDRSOB_Lookup!F22,IF(AND(ScoringProgram!B26&gt;=4,ScoringProgram!B26&lt;=6),CDRSOB_Lookup!F23,IF(AND(ScoringProgram!B26&gt;=7,ScoringProgram!B26&lt;=9),"Low N",IF(ScoringProgram!B26&gt;=10,"Low N","")))))</f>
        <v>Low N</v>
      </c>
      <c r="E36" s="139" t="str">
        <f>IF(ScoringProgram!B26=0,CDRSOB_Lookup!G21,IF(AND(ScoringProgram!B26&gt;=1,ScoringProgram!B26&lt;=3),CDRSOB_Lookup!G22,IF(AND(ScoringProgram!B26&gt;=4,ScoringProgram!B26&lt;=6),CDRSOB_Lookup!G23,IF(AND(ScoringProgram!B26&gt;=7,ScoringProgram!B26&lt;=9),"Low N",IF(ScoringProgram!B26&gt;=10,"Low N","")))))</f>
        <v>Low N</v>
      </c>
      <c r="F36" s="139" t="str">
        <f>IF(ScoringProgram!B26=0,CDRSOB_Lookup!H21,IF(AND(ScoringProgram!B26&gt;=1,ScoringProgram!B26&lt;=3),CDRSOB_Lookup!H22,IF(AND(ScoringProgram!B26&gt;=4,ScoringProgram!B26&lt;=6),CDRSOB_Lookup!H23,IF(AND(ScoringProgram!B26&gt;=7,ScoringProgram!B26&lt;=9),"Low N",IF(ScoringProgram!B26&gt;=10,"Low N","")))))</f>
        <v>Low N</v>
      </c>
      <c r="G36" s="132"/>
      <c r="H36" s="133"/>
      <c r="I36" s="131"/>
      <c r="J36" s="131"/>
    </row>
    <row r="37" spans="1:10" ht="6" customHeight="1" x14ac:dyDescent="0.25">
      <c r="A37" s="112"/>
      <c r="B37" s="112"/>
      <c r="C37" s="112"/>
      <c r="D37" s="112"/>
      <c r="E37" s="112"/>
      <c r="F37" s="112"/>
      <c r="G37" s="127"/>
      <c r="H37" s="129"/>
      <c r="I37" s="112"/>
      <c r="J37" s="112"/>
    </row>
    <row r="38" spans="1:10" ht="18.75" x14ac:dyDescent="0.3">
      <c r="A38" s="140" t="s">
        <v>274</v>
      </c>
      <c r="B38" s="141"/>
      <c r="C38" s="141"/>
      <c r="D38" s="141"/>
      <c r="E38" s="141"/>
      <c r="F38" s="141"/>
      <c r="G38" s="142"/>
      <c r="H38" s="143"/>
      <c r="I38" s="141"/>
      <c r="J38" s="141"/>
    </row>
    <row r="39" spans="1:10" ht="19.5" customHeight="1" x14ac:dyDescent="0.25">
      <c r="A39" s="141"/>
      <c r="B39" s="144" t="s">
        <v>105</v>
      </c>
      <c r="C39" s="144" t="s">
        <v>106</v>
      </c>
      <c r="D39" s="144" t="s">
        <v>283</v>
      </c>
      <c r="E39" s="141"/>
      <c r="F39" s="141"/>
      <c r="G39" s="142"/>
      <c r="H39" s="143"/>
      <c r="I39" s="141"/>
      <c r="J39" s="141"/>
    </row>
    <row r="40" spans="1:10" x14ac:dyDescent="0.25">
      <c r="A40" s="145" t="s">
        <v>153</v>
      </c>
      <c r="B40" s="146">
        <f>(IF(COUNT(B26)=1,IF(B26=0,Biomarker_Lookup!E8,IF(AND(ScoringProgram!B26&gt;=1,ScoringProgram!B26&lt;=3),Biomarker_Lookup!E11,IF(AND(ScoringProgram!B26&gt;=4,ScoringProgram!B26&lt;=6),Biomarker_Lookup!E14,IF(AND(ScoringProgram!B26&gt;=7,ScoringProgram!B26&lt;=9),Biomarker_Lookup!E17,IF(AND(ScoringProgram!B26&gt;=10),Biomarker_Lookup!E20," ")))))))*100</f>
        <v>0</v>
      </c>
      <c r="C40" s="146">
        <f>(IF(COUNT(B26)=1,IF(B26=0,Biomarker_Lookup!M8,IF(AND(ScoringProgram!B26&gt;=1,ScoringProgram!B26&lt;=3),Biomarker_Lookup!M11,IF(AND(ScoringProgram!B26&gt;=4,ScoringProgram!B26&lt;=6),Biomarker_Lookup!M14,IF(AND(ScoringProgram!B26&gt;=7,ScoringProgram!B26&lt;=9),Biomarker_Lookup!M17,IF(AND(ScoringProgram!B26&gt;=10),Biomarker_Lookup!M20," ")))))))*100</f>
        <v>0</v>
      </c>
      <c r="D40" s="146">
        <f>(IF(COUNT(B26)=1,IF(B26=0,Biomarker_Lookup!E34,IF(AND(ScoringProgram!B26&gt;=1,ScoringProgram!B26&lt;=3),Biomarker_Lookup!E37,IF(AND(ScoringProgram!B26&gt;=4,ScoringProgram!B26&lt;=6),Biomarker_Lookup!E40,IF(AND(ScoringProgram!B26&gt;=7,ScoringProgram!B26&lt;=9),Biomarker_Lookup!E43,IF(AND(ScoringProgram!B26&gt;=10),Biomarker_Lookup!E46," ")))))))*100</f>
        <v>0</v>
      </c>
      <c r="E40" s="141"/>
      <c r="F40" s="141"/>
      <c r="G40" s="142"/>
      <c r="H40" s="143"/>
      <c r="I40" s="141"/>
      <c r="J40" s="141"/>
    </row>
    <row r="41" spans="1:10" ht="6" customHeight="1" x14ac:dyDescent="0.25">
      <c r="A41" s="112"/>
      <c r="B41" s="112"/>
      <c r="C41" s="112"/>
      <c r="D41" s="112"/>
      <c r="E41" s="112"/>
      <c r="F41" s="112"/>
      <c r="G41" s="127"/>
      <c r="H41" s="129"/>
      <c r="I41" s="112"/>
      <c r="J41" s="112"/>
    </row>
    <row r="42" spans="1:10" ht="18.75" x14ac:dyDescent="0.3">
      <c r="A42" s="147" t="s">
        <v>273</v>
      </c>
      <c r="B42" s="148"/>
      <c r="C42" s="148"/>
      <c r="D42" s="148"/>
      <c r="E42" s="148"/>
      <c r="F42" s="148"/>
      <c r="G42" s="149"/>
      <c r="H42" s="150"/>
      <c r="I42" s="148"/>
      <c r="J42" s="148"/>
    </row>
    <row r="43" spans="1:10" ht="19.5" customHeight="1" x14ac:dyDescent="0.25">
      <c r="A43" s="148"/>
      <c r="B43" s="151" t="s">
        <v>105</v>
      </c>
      <c r="C43" s="151" t="s">
        <v>106</v>
      </c>
      <c r="D43" s="151" t="s">
        <v>283</v>
      </c>
      <c r="E43" s="148"/>
      <c r="F43" s="148"/>
      <c r="G43" s="149"/>
      <c r="H43" s="150"/>
      <c r="I43" s="148"/>
      <c r="J43" s="148"/>
    </row>
    <row r="44" spans="1:10" x14ac:dyDescent="0.25">
      <c r="A44" s="152" t="s">
        <v>153</v>
      </c>
      <c r="B44" s="153">
        <f>(IF(COUNT(B23)=1,IF(ScoringProgram!B23=0,Biomarker_Lookup!E59,IF(ScoringProgram!B23=1,Biomarker_Lookup!E51,IF(ScoringProgram!B23=2,Biomarker_Lookup!E62,IF(ScoringProgram!B23=3,Biomarker_Lookup!E65,IF(ScoringProgram!B23=4,Biomarker_Lookup!E68,IF(ScoringProgram!B23=5,Biomarker_Lookup!E71,""))))))))*100</f>
        <v>0</v>
      </c>
      <c r="C44" s="153">
        <f>(IF(COUNT(B23)=1,IF(ScoringProgram!B23=0,Biomarker_Lookup!M59,IF(ScoringProgram!B23=1,Biomarker_Lookup!E51,IF(ScoringProgram!B23=2,Biomarker_Lookup!M62,IF(ScoringProgram!B23=3,Biomarker_Lookup!M65,IF(ScoringProgram!B23=4,Biomarker_Lookup!M68,IF(ScoringProgram!B23=5,Biomarker_Lookup!M71,""))))))))*100</f>
        <v>0</v>
      </c>
      <c r="D44" s="153">
        <f>(IF(COUNT(B23)=1,IF(ScoringProgram!B23=0,Biomarker_Lookup!U59,IF(ScoringProgram!B23=1,Biomarker_Lookup!E51,IF(ScoringProgram!B23=2,Biomarker_Lookup!U62,IF(ScoringProgram!B23=3,Biomarker_Lookup!U65,IF(ScoringProgram!B23=4,Biomarker_Lookup!U68,IF(ScoringProgram!B23=5,Biomarker_Lookup!U71,""))))))))*100</f>
        <v>0</v>
      </c>
      <c r="E44" s="148"/>
      <c r="F44" s="148"/>
      <c r="G44" s="149"/>
      <c r="H44" s="150"/>
      <c r="I44" s="148"/>
      <c r="J44" s="148"/>
    </row>
    <row r="45" spans="1:10" ht="6" customHeight="1" x14ac:dyDescent="0.25">
      <c r="A45" s="112"/>
      <c r="B45" s="112"/>
      <c r="C45" s="112"/>
      <c r="D45" s="112"/>
      <c r="E45" s="112"/>
      <c r="F45" s="112"/>
      <c r="G45" s="127"/>
      <c r="H45" s="129"/>
      <c r="I45" s="112"/>
      <c r="J45" s="112"/>
    </row>
    <row r="46" spans="1:10" ht="21" x14ac:dyDescent="0.35">
      <c r="A46" s="154" t="s">
        <v>275</v>
      </c>
      <c r="B46" s="155"/>
      <c r="C46" s="155"/>
      <c r="D46" s="155"/>
      <c r="E46" s="155"/>
      <c r="F46" s="155"/>
      <c r="G46" s="156"/>
      <c r="H46" s="157"/>
      <c r="I46" s="155"/>
      <c r="J46" s="155"/>
    </row>
    <row r="47" spans="1:10" ht="19.5" customHeight="1" x14ac:dyDescent="0.25">
      <c r="A47" s="155"/>
      <c r="B47" s="158" t="s">
        <v>105</v>
      </c>
      <c r="C47" s="158" t="s">
        <v>106</v>
      </c>
      <c r="D47" s="158" t="s">
        <v>283</v>
      </c>
      <c r="E47" s="155"/>
      <c r="F47" s="155"/>
      <c r="G47" s="156"/>
      <c r="H47" s="157"/>
      <c r="I47" s="155"/>
      <c r="J47" s="155"/>
    </row>
    <row r="48" spans="1:10" x14ac:dyDescent="0.25">
      <c r="A48" s="159" t="s">
        <v>153</v>
      </c>
      <c r="B48" s="160">
        <f>(IF(COUNT(B26)=1,IF(B26=0,Biomarker_Lookup!E86,IF(AND(ScoringProgram!B26&gt;=1,ScoringProgram!B26&lt;=3),Biomarker_Lookup!E89,IF(AND(ScoringProgram!B26&gt;=4,ScoringProgram!B26&lt;=6),Biomarker_Lookup!E92,IF(AND(ScoringProgram!B26&gt;=7,ScoringProgram!B26&lt;=9),Biomarker_Lookup!E95,IF(AND(ScoringProgram!B26&gt;=10),Biomarker_Lookup!E98," ")))))))*100</f>
        <v>0</v>
      </c>
      <c r="C48" s="160">
        <f>(IF(COUNT(B26)=1,IF(B26=0,Biomarker_Lookup!M86,IF(AND(ScoringProgram!B26&gt;=1,ScoringProgram!B26&lt;=3),Biomarker_Lookup!M89,IF(AND(ScoringProgram!B26&gt;=4,ScoringProgram!B26&lt;=6),Biomarker_Lookup!M92,IF(AND(ScoringProgram!B26&gt;=7,ScoringProgram!B26&lt;=9),Biomarker_Lookup!M95,IF(AND(ScoringProgram!B26&gt;=10),Biomarker_Lookup!M98," ")))))))*100</f>
        <v>0</v>
      </c>
      <c r="D48" s="160">
        <f>(IF(COUNT(B26)=1,IF(B26=0,Biomarker_Lookup!U86,IF(AND(ScoringProgram!B26&gt;=1,ScoringProgram!B26&lt;=3),Biomarker_Lookup!U89,IF(AND(ScoringProgram!B26&gt;=4,ScoringProgram!B26&lt;=6),Biomarker_Lookup!U92,IF(AND(ScoringProgram!B26&gt;=7,ScoringProgram!B26&lt;=9),Biomarker_Lookup!U95,IF(AND(ScoringProgram!B26&gt;=10),Biomarker_Lookup!U98," ")))))))*100</f>
        <v>0</v>
      </c>
      <c r="E48" s="155"/>
      <c r="F48" s="155"/>
      <c r="G48" s="156"/>
      <c r="H48" s="157"/>
      <c r="I48" s="155"/>
      <c r="J48" s="155"/>
    </row>
    <row r="49" spans="1:10" ht="6" customHeight="1" x14ac:dyDescent="0.25">
      <c r="A49" s="112"/>
      <c r="B49" s="112"/>
      <c r="C49" s="112"/>
      <c r="D49" s="112"/>
      <c r="E49" s="112"/>
      <c r="F49" s="112"/>
      <c r="G49" s="127"/>
      <c r="H49" s="129"/>
      <c r="I49" s="112"/>
      <c r="J49" s="112"/>
    </row>
    <row r="50" spans="1:10" ht="21" x14ac:dyDescent="0.35">
      <c r="A50" s="161" t="s">
        <v>276</v>
      </c>
      <c r="B50" s="162"/>
      <c r="C50" s="162"/>
      <c r="D50" s="162"/>
      <c r="E50" s="162"/>
      <c r="F50" s="162"/>
      <c r="G50" s="163"/>
      <c r="H50" s="164"/>
      <c r="I50" s="162"/>
      <c r="J50" s="162"/>
    </row>
    <row r="51" spans="1:10" ht="19.5" customHeight="1" x14ac:dyDescent="0.25">
      <c r="A51" s="162"/>
      <c r="B51" s="165" t="s">
        <v>105</v>
      </c>
      <c r="C51" s="165" t="s">
        <v>106</v>
      </c>
      <c r="D51" s="165" t="s">
        <v>283</v>
      </c>
      <c r="E51" s="162"/>
      <c r="F51" s="162"/>
      <c r="G51" s="163"/>
      <c r="H51" s="164"/>
      <c r="I51" s="162"/>
      <c r="J51" s="162"/>
    </row>
    <row r="52" spans="1:10" x14ac:dyDescent="0.25">
      <c r="A52" s="166" t="s">
        <v>153</v>
      </c>
      <c r="B52" s="167">
        <f>(IF(COUNT(B23)=1,IF(ScoringProgram!B23=0,Biomarker_Lookup!E109,IF(ScoringProgram!B23=1,Biomarker_Lookup!E51,IF(ScoringProgram!B23=2,Biomarker_Lookup!E112,IF(ScoringProgram!B23=3,Biomarker_Lookup!E115,IF(ScoringProgram!B23=4,Biomarker_Lookup!E118,IF(ScoringProgram!B23=5,Biomarker_Lookup!E121,""))))))))*100</f>
        <v>0</v>
      </c>
      <c r="C52" s="167">
        <f>(IF(COUNT(B23)=1,IF(ScoringProgram!B23=0,Biomarker_Lookup!M109,IF(ScoringProgram!B23=1,Biomarker_Lookup!E51,IF(ScoringProgram!B23=2,Biomarker_Lookup!M112,IF(ScoringProgram!B23=3,Biomarker_Lookup!M115,IF(ScoringProgram!B23=4,Biomarker_Lookup!M118,IF(ScoringProgram!B23=5,Biomarker_Lookup!M121,""))))))))*100</f>
        <v>0</v>
      </c>
      <c r="D52" s="167">
        <f>(IF(COUNT(B23)=1,IF(ScoringProgram!B23=0,Biomarker_Lookup!U109,IF(ScoringProgram!B23=1,Biomarker_Lookup!E51,IF(ScoringProgram!B23=2,Biomarker_Lookup!U112,IF(ScoringProgram!B23=3,Biomarker_Lookup!U115,IF(ScoringProgram!B23=4,Biomarker_Lookup!U118,IF(ScoringProgram!B23=5,Biomarker_Lookup!U121,""))))))))*100</f>
        <v>0</v>
      </c>
      <c r="E52" s="162"/>
      <c r="F52" s="162"/>
      <c r="G52" s="163"/>
      <c r="H52" s="164"/>
      <c r="I52" s="162"/>
      <c r="J52" s="162"/>
    </row>
    <row r="53" spans="1:10" x14ac:dyDescent="0.25">
      <c r="A53" s="107" t="s">
        <v>284</v>
      </c>
    </row>
  </sheetData>
  <sheetProtection password="DF05" sheet="1" objects="1" scenarios="1" selectLockedCells="1"/>
  <mergeCells count="3">
    <mergeCell ref="B31:C31"/>
    <mergeCell ref="D31:F31"/>
    <mergeCell ref="C22:E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1 = Female_x000a_2 = Male">
          <x14:formula1>
            <xm:f>RegressionData!$A$19:$A$20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6"/>
  <sheetViews>
    <sheetView zoomScale="105" zoomScaleNormal="105" workbookViewId="0">
      <selection activeCell="C31" sqref="C31:G31"/>
    </sheetView>
  </sheetViews>
  <sheetFormatPr defaultRowHeight="15" x14ac:dyDescent="0.25"/>
  <cols>
    <col min="1" max="1" width="13.42578125" customWidth="1"/>
    <col min="4" max="4" width="18.7109375" customWidth="1"/>
    <col min="5" max="5" width="5.85546875" customWidth="1"/>
    <col min="6" max="6" width="15.28515625" style="3" customWidth="1"/>
    <col min="7" max="7" width="28.140625" customWidth="1"/>
    <col min="8" max="8" width="10.7109375" customWidth="1"/>
    <col min="9" max="9" width="19.28515625" customWidth="1"/>
    <col min="10" max="10" width="6.7109375" customWidth="1"/>
    <col min="11" max="11" width="22.28515625" bestFit="1" customWidth="1"/>
    <col min="13" max="13" width="10.85546875" customWidth="1"/>
    <col min="14" max="14" width="26.140625" customWidth="1"/>
    <col min="15" max="15" width="6.140625" customWidth="1"/>
    <col min="17" max="17" width="23.42578125" bestFit="1" customWidth="1"/>
  </cols>
  <sheetData>
    <row r="1" spans="1:15" s="20" customFormat="1" x14ac:dyDescent="0.25">
      <c r="A1" s="238" t="s">
        <v>172</v>
      </c>
      <c r="B1" s="239"/>
      <c r="C1" s="239"/>
      <c r="D1" s="239"/>
      <c r="E1" s="240"/>
      <c r="F1" s="241" t="s">
        <v>173</v>
      </c>
      <c r="G1" s="242"/>
      <c r="H1" s="242"/>
      <c r="I1" s="242"/>
      <c r="J1" s="243"/>
      <c r="K1" s="244" t="s">
        <v>174</v>
      </c>
      <c r="L1" s="245"/>
      <c r="M1" s="245"/>
      <c r="N1" s="245"/>
      <c r="O1" s="246"/>
    </row>
    <row r="2" spans="1:15" x14ac:dyDescent="0.25">
      <c r="A2" s="251" t="s">
        <v>53</v>
      </c>
      <c r="B2" s="55" t="s">
        <v>69</v>
      </c>
      <c r="C2" s="48" t="str">
        <f>IF(OR(AND(ScoringProgram!$B$8&lt;DiscrepancyPercentiles!E4,ScoringProgram!$E$9&lt;=50,ScoringProgram!$G$8&lt;=DiscrepancyPercentiles!E7),AND(ScoringProgram!$B$8&gt;=DiscrepancyPercentiles!F3,ScoringProgram!$B$8&lt;=DiscrepancyPercentiles!F4,ScoringProgram!$E$9&lt;=50,ScoringProgram!$G$8&lt;=DiscrepancyPercentiles!F7),AND(ScoringProgram!$B$8&gt;DiscrepancyPercentiles!G4,ScoringProgram!$E$9&lt;=50,ScoringProgram!$G$8&lt;=DiscrepancyPercentiles!G7)),"YES","NO")</f>
        <v>NO</v>
      </c>
      <c r="D2" s="47" t="s">
        <v>18</v>
      </c>
      <c r="E2" s="46">
        <f>IF(AND(C2="YES",C6="YES"),5,0)</f>
        <v>0</v>
      </c>
      <c r="F2" s="254" t="s">
        <v>10</v>
      </c>
      <c r="G2" s="36" t="s">
        <v>69</v>
      </c>
      <c r="H2" s="62" t="str">
        <f>IF(OR(AND(ScoringProgram!B18&lt;DiscrepancyPercentiles!Z4,ScoringProgram!G18&lt;=DiscrepancyPercentiles!Z7),AND(ScoringProgram!B18&gt;=DiscrepancyPercentiles!AA3,ScoringProgram!B18&lt;=DiscrepancyPercentiles!AA4,ScoringProgram!G18&lt;=DiscrepancyPercentiles!AA7),AND(ScoringProgram!B18&gt;DiscrepancyPercentiles!AB4,ScoringProgram!G18&lt;=DiscrepancyPercentiles!AB7)),"YES","NO")</f>
        <v>NO</v>
      </c>
      <c r="I2" s="50" t="s">
        <v>24</v>
      </c>
      <c r="J2" s="38">
        <f>IF(AND(H2="YES",H6="YES"),5,0)</f>
        <v>0</v>
      </c>
      <c r="K2" s="255" t="s">
        <v>171</v>
      </c>
      <c r="L2" s="54" t="s">
        <v>69</v>
      </c>
      <c r="M2" s="53" t="str">
        <f>IF(OR(AND(ScoringProgram!B16&lt;DiscrepancyPercentiles!W4,ScoringProgram!G16&lt;=DiscrepancyPercentiles!W7),AND(ScoringProgram!B16&gt;=DiscrepancyPercentiles!X3,ScoringProgram!B16&lt;=DiscrepancyPercentiles!X4,ScoringProgram!G16&lt;=DiscrepancyPercentiles!X7),AND(ScoringProgram!B16&gt;DiscrepancyPercentiles!Y4,ScoringProgram!G16&lt;=DiscrepancyPercentiles!Y7)),"YES","NO")</f>
        <v>NO</v>
      </c>
      <c r="N2" s="52" t="s">
        <v>30</v>
      </c>
      <c r="O2" s="39">
        <f>IF(AND(M2="YES",M6="YES"),5,0)</f>
        <v>0</v>
      </c>
    </row>
    <row r="3" spans="1:15" x14ac:dyDescent="0.25">
      <c r="A3" s="252"/>
      <c r="B3" s="55" t="s">
        <v>70</v>
      </c>
      <c r="C3" s="48" t="str">
        <f>IF(OR(AND(ScoringProgram!$B$8&lt;DiscrepancyPercentiles!E4,ScoringProgram!$E$9&lt;=50,ScoringProgram!$G$8&gt;DiscrepancyPercentiles!E7,ScoringProgram!G8&lt;=DiscrepancyPercentiles!E9),AND(ScoringProgram!$B$8&gt;=DiscrepancyPercentiles!F3,ScoringProgram!$B$8&lt;=DiscrepancyPercentiles!F4,ScoringProgram!$E$9&lt;=50,ScoringProgram!$G$8&gt;DiscrepancyPercentiles!F7,ScoringProgram!G8&lt;=DiscrepancyPercentiles!F9),AND(ScoringProgram!B8&gt;DiscrepancyPercentiles!G4,ScoringProgram!E9&lt;=50,ScoringProgram!G8&gt;DiscrepancyPercentiles!G7,ScoringProgram!G8&lt;=DiscrepancyPercentiles!G9)),"YES","NO")</f>
        <v>NO</v>
      </c>
      <c r="D3" s="47" t="s">
        <v>75</v>
      </c>
      <c r="E3" s="46">
        <f>IF(OR(C2="YES",C6="YES"),3,0)</f>
        <v>0</v>
      </c>
      <c r="F3" s="252"/>
      <c r="G3" s="36" t="s">
        <v>70</v>
      </c>
      <c r="H3" s="62" t="str">
        <f>IF(OR(AND(ScoringProgram!B18&lt;DiscrepancyPercentiles!Z4,ScoringProgram!G18&gt;DiscrepancyPercentiles!Z7,ScoringProgram!G18&lt;=DiscrepancyPercentiles!Z9),AND(ScoringProgram!B18&gt;=DiscrepancyPercentiles!AA3,ScoringProgram!B18&lt;=DiscrepancyPercentiles!AA4,ScoringProgram!G18&gt;DiscrepancyPercentiles!AA7,ScoringProgram!G18&lt;=DiscrepancyPercentiles!AA9),AND(ScoringProgram!B18&gt;DiscrepancyPercentiles!AB4,ScoringProgram!G18&gt;DiscrepancyPercentiles!AB7,ScoringProgram!G18&lt;=DiscrepancyPercentiles!AB9)),"YES","NO")</f>
        <v>NO</v>
      </c>
      <c r="I3" s="50" t="s">
        <v>77</v>
      </c>
      <c r="J3" s="38">
        <f>IF(OR(H2="YES",H6="YES"),3,0)</f>
        <v>0</v>
      </c>
      <c r="K3" s="252"/>
      <c r="L3" s="54" t="s">
        <v>70</v>
      </c>
      <c r="M3" s="53" t="str">
        <f>IF(OR(AND(ScoringProgram!B16&lt;DiscrepancyPercentiles!W4,ScoringProgram!G16&gt;DiscrepancyPercentiles!W7,ScoringProgram!G16&lt;=DiscrepancyPercentiles!W9),AND(ScoringProgram!B16&gt;=DiscrepancyPercentiles!X3,ScoringProgram!B16&lt;=DiscrepancyPercentiles!X4,ScoringProgram!G16&gt;DiscrepancyPercentiles!X7,ScoringProgram!G16&lt;=DiscrepancyPercentiles!X9),AND(ScoringProgram!B16&gt;DiscrepancyPercentiles!Y4,ScoringProgram!G16&gt;DiscrepancyPercentiles!Y7,ScoringProgram!G16&lt;=DiscrepancyPercentiles!Y9)),"YES","NO")</f>
        <v>NO</v>
      </c>
      <c r="N3" s="52" t="s">
        <v>79</v>
      </c>
      <c r="O3" s="39">
        <f>IF(OR(M2="YES",M6="YES"),3,0)</f>
        <v>0</v>
      </c>
    </row>
    <row r="4" spans="1:15" x14ac:dyDescent="0.25">
      <c r="A4" s="252"/>
      <c r="B4" s="55" t="s">
        <v>71</v>
      </c>
      <c r="C4" s="48" t="str">
        <f>IF(OR(AND(ScoringProgram!$B$8&lt;DiscrepancyPercentiles!E4,ScoringProgram!$E$9&lt;=50,ScoringProgram!$G$8&gt;DiscrepancyPercentiles!E9,ScoringProgram!G8&lt;=DiscrepancyPercentiles!E11),AND(ScoringProgram!$B$8&gt;=DiscrepancyPercentiles!F3,ScoringProgram!$B$8&lt;=DiscrepancyPercentiles!F4,ScoringProgram!$E$9&lt;=50,ScoringProgram!$G$8&gt;DiscrepancyPercentiles!F9,ScoringProgram!G8&lt;=DiscrepancyPercentiles!F11),AND(ScoringProgram!B8&gt;DiscrepancyPercentiles!G4,ScoringProgram!E9&lt;=50,ScoringProgram!G8&gt;DiscrepancyPercentiles!G9,ScoringProgram!G8&lt;=DiscrepancyPercentiles!G11)),"YES","NO")</f>
        <v>NO</v>
      </c>
      <c r="D4" s="47" t="s">
        <v>76</v>
      </c>
      <c r="E4" s="46">
        <f>IF(AND(C3="YES",C7="YES"),3,0)</f>
        <v>0</v>
      </c>
      <c r="F4" s="252"/>
      <c r="G4" s="36" t="s">
        <v>71</v>
      </c>
      <c r="H4" s="62" t="str">
        <f>IF(OR(AND(ScoringProgram!B18&lt;DiscrepancyPercentiles!Z4,ScoringProgram!G18&gt;DiscrepancyPercentiles!Z9,ScoringProgram!G18&lt;=DiscrepancyPercentiles!Z11),AND(ScoringProgram!B18&gt;=DiscrepancyPercentiles!AA3,ScoringProgram!B18&lt;=DiscrepancyPercentiles!AA4,ScoringProgram!G18&gt;DiscrepancyPercentiles!AA9,ScoringProgram!G18&lt;=DiscrepancyPercentiles!AA11),AND(ScoringProgram!B18&gt;DiscrepancyPercentiles!AB4,ScoringProgram!G18&gt;DiscrepancyPercentiles!AB9,ScoringProgram!G18&lt;=DiscrepancyPercentiles!AB11)),"YES","NO")</f>
        <v>NO</v>
      </c>
      <c r="I4" s="50" t="s">
        <v>78</v>
      </c>
      <c r="J4" s="38">
        <f>IF(AND(H3="YES",H7="YES"),3,0)</f>
        <v>0</v>
      </c>
      <c r="K4" s="252"/>
      <c r="L4" s="54" t="s">
        <v>71</v>
      </c>
      <c r="M4" s="53" t="str">
        <f>IF(OR(AND(ScoringProgram!B16&lt;DiscrepancyPercentiles!W4,ScoringProgram!G16&gt;DiscrepancyPercentiles!W9,ScoringProgram!G16&lt;=DiscrepancyPercentiles!W11),AND(ScoringProgram!B16&gt;=DiscrepancyPercentiles!X3,ScoringProgram!B16&lt;=DiscrepancyPercentiles!X4,ScoringProgram!G16&gt;DiscrepancyPercentiles!X9,ScoringProgram!G16&lt;=DiscrepancyPercentiles!X11),AND(ScoringProgram!B16&gt;DiscrepancyPercentiles!Y4,ScoringProgram!G16&gt;DiscrepancyPercentiles!Y9,ScoringProgram!G16&lt;=DiscrepancyPercentiles!Y11)),"YES","NO")</f>
        <v>NO</v>
      </c>
      <c r="N4" s="52" t="s">
        <v>80</v>
      </c>
      <c r="O4" s="39">
        <f>IF(AND(M3="YES",M7="YES"),3,0)</f>
        <v>0</v>
      </c>
    </row>
    <row r="5" spans="1:15" x14ac:dyDescent="0.25">
      <c r="A5" s="253"/>
      <c r="B5" s="55" t="s">
        <v>72</v>
      </c>
      <c r="C5" s="48" t="str">
        <f>IF(OR(AND(ScoringProgram!$B$8&lt;DiscrepancyPercentiles!E4,ScoringProgram!$E$9&lt;=50,ScoringProgram!$G$8&gt;DiscrepancyPercentiles!E11),AND(ScoringProgram!$B$8&gt;=DiscrepancyPercentiles!F3,ScoringProgram!$B$8&lt;=DiscrepancyPercentiles!F4,ScoringProgram!$E$9&lt;=50,ScoringProgram!$G$8&gt;DiscrepancyPercentiles!F11),AND(ScoringProgram!B8&gt;DiscrepancyPercentiles!G4,ScoringProgram!E9&lt;=50,ScoringProgram!G8&gt;DiscrepancyPercentiles!G11)),"YES","NO")</f>
        <v>NO</v>
      </c>
      <c r="D5" s="47" t="s">
        <v>19</v>
      </c>
      <c r="E5" s="46">
        <f>IF(OR(C3="YES",C7="YES"),2,0)</f>
        <v>0</v>
      </c>
      <c r="F5" s="253"/>
      <c r="G5" s="36" t="s">
        <v>72</v>
      </c>
      <c r="H5" s="62" t="str">
        <f>IF(OR(AND(ScoringProgram!B18&lt;DiscrepancyPercentiles!Z4,ScoringProgram!G18&gt;DiscrepancyPercentiles!Z11),AND(ScoringProgram!B18&gt;=DiscrepancyPercentiles!AA3,ScoringProgram!B18&lt;=DiscrepancyPercentiles!AA4,ScoringProgram!G18&gt;DiscrepancyPercentiles!AA11),AND(ScoringProgram!B18&gt;DiscrepancyPercentiles!AB4,ScoringProgram!G18&gt;DiscrepancyPercentiles!AB11)),"YES","NO")</f>
        <v>YES</v>
      </c>
      <c r="I5" s="50" t="s">
        <v>25</v>
      </c>
      <c r="J5" s="38">
        <f>IF(OR(H3="YES",H7="YES"),2,0)</f>
        <v>0</v>
      </c>
      <c r="K5" s="253"/>
      <c r="L5" s="54" t="s">
        <v>72</v>
      </c>
      <c r="M5" s="53" t="str">
        <f>IF(OR(AND(ScoringProgram!B16&lt;DiscrepancyPercentiles!W4,ScoringProgram!G16&gt;DiscrepancyPercentiles!W11),AND(ScoringProgram!B16&gt;=DiscrepancyPercentiles!X3,ScoringProgram!B16&lt;=DiscrepancyPercentiles!X4,ScoringProgram!G16&gt;DiscrepancyPercentiles!X11),AND(ScoringProgram!B16&gt;DiscrepancyPercentiles!Y4,ScoringProgram!G16&gt;DiscrepancyPercentiles!Y11)),"YES","NO")</f>
        <v>YES</v>
      </c>
      <c r="N5" s="52" t="s">
        <v>31</v>
      </c>
      <c r="O5" s="39">
        <f>IF(OR(M3="YES",M7="YES"),2,0)</f>
        <v>0</v>
      </c>
    </row>
    <row r="6" spans="1:15" x14ac:dyDescent="0.25">
      <c r="A6" s="251" t="s">
        <v>54</v>
      </c>
      <c r="B6" s="55" t="s">
        <v>69</v>
      </c>
      <c r="C6" s="48" t="str">
        <f>IF(OR(AND(ScoringProgram!B12&lt;DiscrepancyPercentiles!N4,ScoringProgram!E13&lt;=50,ScoringProgram!G12&lt;=DiscrepancyPercentiles!N7),AND(ScoringProgram!B12&gt;=DiscrepancyPercentiles!O3,ScoringProgram!B12&lt;=DiscrepancyPercentiles!O4,ScoringProgram!E13&lt;=50,ScoringProgram!G12&lt;=DiscrepancyPercentiles!O7),AND(ScoringProgram!B12&gt;DiscrepancyPercentiles!P4,ScoringProgram!E13&lt;=50,ScoringProgram!G12&lt;=DiscrepancyPercentiles!P7)),"YES","NO")</f>
        <v>NO</v>
      </c>
      <c r="D6" s="47" t="s">
        <v>20</v>
      </c>
      <c r="E6" s="46">
        <f>IF(AND(E3=3,E5=2),4,0)</f>
        <v>0</v>
      </c>
      <c r="F6" s="254" t="s">
        <v>12</v>
      </c>
      <c r="G6" s="36" t="s">
        <v>69</v>
      </c>
      <c r="H6" s="62" t="str">
        <f>IF(OR(AND(ScoringProgram!B19&lt;DiscrepancyPercentiles!AC4,ScoringProgram!G19&lt;=DiscrepancyPercentiles!AC7),AND(ScoringProgram!B19&gt;=DiscrepancyPercentiles!AD3,ScoringProgram!B19&lt;=DiscrepancyPercentiles!AD4,ScoringProgram!G19&lt;=DiscrepancyPercentiles!AD7),AND(ScoringProgram!B19&gt;DiscrepancyPercentiles!AE4,ScoringProgram!G19&lt;=DiscrepancyPercentiles!AE7)),"YES","NO")</f>
        <v>NO</v>
      </c>
      <c r="I6" s="50" t="s">
        <v>26</v>
      </c>
      <c r="J6" s="38">
        <f>IF(AND(J3&gt;=1,J5&gt;=1),4,0)</f>
        <v>0</v>
      </c>
      <c r="K6" s="255" t="s">
        <v>51</v>
      </c>
      <c r="L6" s="54" t="s">
        <v>73</v>
      </c>
      <c r="M6" s="53" t="str">
        <f>IF(AND(COUNT(ScoringProgram!E17)=1,ScoringProgram!E17&gt;=0,ScoringProgram!E17&lt;=2),"YES","NO")</f>
        <v>NO</v>
      </c>
      <c r="N6" s="52" t="s">
        <v>32</v>
      </c>
      <c r="O6" s="39">
        <f>IF(AND(O3&gt;=1,O5&gt;=1),4,0)</f>
        <v>0</v>
      </c>
    </row>
    <row r="7" spans="1:15" x14ac:dyDescent="0.25">
      <c r="A7" s="252"/>
      <c r="B7" s="55" t="s">
        <v>70</v>
      </c>
      <c r="C7" s="48" t="str">
        <f>IF(OR(AND(ScoringProgram!B12&lt;DiscrepancyPercentiles!N4,ScoringProgram!E13&lt;=50,ScoringProgram!G12&gt;DiscrepancyPercentiles!N7,ScoringProgram!G12&lt;=DiscrepancyPercentiles!N9),AND(ScoringProgram!B12&gt;=DiscrepancyPercentiles!O3,ScoringProgram!B12&lt;=DiscrepancyPercentiles!O4,ScoringProgram!E13&lt;=50,ScoringProgram!G12&gt;DiscrepancyPercentiles!O7,ScoringProgram!G12&lt;=DiscrepancyPercentiles!O9),AND(ScoringProgram!B12&gt;DiscrepancyPercentiles!P4,ScoringProgram!E13&lt;=50,ScoringProgram!G12&gt;DiscrepancyPercentiles!P7,ScoringProgram!G12&lt;=DiscrepancyPercentiles!P9)),"YES","NO")</f>
        <v>NO</v>
      </c>
      <c r="D7" s="47" t="s">
        <v>21</v>
      </c>
      <c r="E7" s="46">
        <f>IF(AND(C4="YES",C8="YES"),1,0)</f>
        <v>0</v>
      </c>
      <c r="F7" s="252"/>
      <c r="G7" s="36" t="s">
        <v>70</v>
      </c>
      <c r="H7" s="62" t="str">
        <f>IF(OR(AND(ScoringProgram!B19&lt;DiscrepancyPercentiles!AC4,ScoringProgram!G19&gt;DiscrepancyPercentiles!AC7,ScoringProgram!G19&lt;=DiscrepancyPercentiles!AC9),AND(ScoringProgram!B19&gt;=DiscrepancyPercentiles!AD3,ScoringProgram!B19&lt;=DiscrepancyPercentiles!AD4,ScoringProgram!G19&gt;DiscrepancyPercentiles!AD7,ScoringProgram!G19&lt;=DiscrepancyPercentiles!AD9),AND(ScoringProgram!B19&gt;DiscrepancyPercentiles!AE4,ScoringProgram!G19&gt;DiscrepancyPercentiles!AE7,ScoringProgram!G19&lt;=DiscrepancyPercentiles!AE9)),"YES","NO")</f>
        <v>NO</v>
      </c>
      <c r="I7" s="50" t="s">
        <v>27</v>
      </c>
      <c r="J7" s="38">
        <f>IF(AND(H4="YES",H8="YES"),1,0)</f>
        <v>0</v>
      </c>
      <c r="K7" s="252"/>
      <c r="L7" s="54">
        <v>3</v>
      </c>
      <c r="M7" s="53" t="str">
        <f>IF(ScoringProgram!E17=3,"YES","NO")</f>
        <v>NO</v>
      </c>
      <c r="N7" s="52" t="s">
        <v>33</v>
      </c>
      <c r="O7" s="39">
        <f>IF(AND(M4="YES",M8="YES"),1,)</f>
        <v>0</v>
      </c>
    </row>
    <row r="8" spans="1:15" x14ac:dyDescent="0.25">
      <c r="A8" s="252"/>
      <c r="B8" s="55" t="s">
        <v>71</v>
      </c>
      <c r="C8" s="48" t="str">
        <f>IF(OR(AND(ScoringProgram!B12&lt;DiscrepancyPercentiles!N4,ScoringProgram!E13&lt;=50,ScoringProgram!G12&gt;DiscrepancyPercentiles!N9,ScoringProgram!G12&lt;=DiscrepancyPercentiles!N11),AND(ScoringProgram!B12&gt;=DiscrepancyPercentiles!O3,ScoringProgram!B12&lt;=DiscrepancyPercentiles!O4,ScoringProgram!E13&lt;=50,ScoringProgram!G12&gt;DiscrepancyPercentiles!O9,ScoringProgram!G12&lt;=DiscrepancyPercentiles!O11),AND(ScoringProgram!B12&gt;DiscrepancyPercentiles!P4,ScoringProgram!E13&lt;=50,ScoringProgram!G12&gt;DiscrepancyPercentiles!P9,ScoringProgram!G12&lt;=DiscrepancyPercentiles!P11)),"YES","NO")</f>
        <v>NO</v>
      </c>
      <c r="D8" s="47" t="s">
        <v>22</v>
      </c>
      <c r="E8" s="46">
        <f>IF(AND(C5="YES",C9="YES"),0,0)</f>
        <v>0</v>
      </c>
      <c r="F8" s="252"/>
      <c r="G8" s="36" t="s">
        <v>71</v>
      </c>
      <c r="H8" s="62" t="str">
        <f>IF(OR(AND(ScoringProgram!B19&lt;DiscrepancyPercentiles!AC4,ScoringProgram!G19&gt;DiscrepancyPercentiles!AC9,ScoringProgram!G19&lt;=DiscrepancyPercentiles!AC11),AND(ScoringProgram!B19&gt;=DiscrepancyPercentiles!AD3,ScoringProgram!B19&lt;=DiscrepancyPercentiles!AD4,ScoringProgram!G19&gt;DiscrepancyPercentiles!AD9,ScoringProgram!G19&lt;=DiscrepancyPercentiles!AD11),AND(ScoringProgram!B19&gt;DiscrepancyPercentiles!AE4,ScoringProgram!G19&gt;DiscrepancyPercentiles!AE9,ScoringProgram!G19&lt;=DiscrepancyPercentiles!AE11)),"YES","NO")</f>
        <v>NO</v>
      </c>
      <c r="I8" s="50" t="s">
        <v>28</v>
      </c>
      <c r="J8" s="38">
        <f>IF(AND(H5="YES",H9="YES"),0,0)</f>
        <v>0</v>
      </c>
      <c r="K8" s="252"/>
      <c r="L8" s="54">
        <v>4</v>
      </c>
      <c r="M8" s="53" t="str">
        <f>IF(ScoringProgram!E17=4,"YES","NO")</f>
        <v>NO</v>
      </c>
      <c r="N8" s="52" t="s">
        <v>34</v>
      </c>
      <c r="O8" s="39">
        <f>IF(AND(M5="YES",M9="YES"),0,0)</f>
        <v>0</v>
      </c>
    </row>
    <row r="9" spans="1:15" x14ac:dyDescent="0.25">
      <c r="A9" s="253"/>
      <c r="B9" s="55" t="s">
        <v>72</v>
      </c>
      <c r="C9" s="48" t="str">
        <f>IF(OR(AND(ScoringProgram!B12&lt;DiscrepancyPercentiles!N4,ScoringProgram!E13&lt;=50,ScoringProgram!G12&gt;DiscrepancyPercentiles!N11),AND(ScoringProgram!B12&gt;=DiscrepancyPercentiles!O3,ScoringProgram!B12&lt;=DiscrepancyPercentiles!O4,ScoringProgram!E13&lt;=50,ScoringProgram!G12&gt;DiscrepancyPercentiles!O11),AND(ScoringProgram!B12&gt;DiscrepancyPercentiles!P4,ScoringProgram!E13&lt;=50,ScoringProgram!G12&gt;DiscrepancyPercentiles!P11)),"YES","NO")</f>
        <v>NO</v>
      </c>
      <c r="D9" s="45"/>
      <c r="E9" s="46"/>
      <c r="F9" s="253"/>
      <c r="G9" s="36" t="s">
        <v>72</v>
      </c>
      <c r="H9" s="62" t="str">
        <f>IF(OR(AND(ScoringProgram!B19&lt;DiscrepancyPercentiles!AC4,ScoringProgram!G19&gt;DiscrepancyPercentiles!AC11),AND(ScoringProgram!B19&gt;=DiscrepancyPercentiles!AD3,ScoringProgram!B19&lt;=DiscrepancyPercentiles!AD4,ScoringProgram!G19&gt;DiscrepancyPercentiles!AD11),AND(ScoringProgram!B19&gt;DiscrepancyPercentiles!AE4,ScoringProgram!G19&gt;DiscrepancyPercentiles!AE11)),"YES","NO")</f>
        <v>YES</v>
      </c>
      <c r="I9" s="50"/>
      <c r="J9" s="38"/>
      <c r="K9" s="253"/>
      <c r="L9" s="54">
        <v>5</v>
      </c>
      <c r="M9" s="53" t="str">
        <f>IF(ScoringProgram!E17=5,"YES","NO")</f>
        <v>NO</v>
      </c>
      <c r="N9" s="52"/>
      <c r="O9" s="39"/>
    </row>
    <row r="10" spans="1:15" x14ac:dyDescent="0.25">
      <c r="A10" s="2"/>
      <c r="B10" s="2"/>
      <c r="C10" s="2"/>
      <c r="D10" s="56" t="s">
        <v>169</v>
      </c>
      <c r="E10" s="57">
        <f>MAXA(E2:E8)</f>
        <v>0</v>
      </c>
      <c r="F10" s="22"/>
      <c r="G10" s="22"/>
      <c r="H10" s="49"/>
      <c r="I10" s="58" t="s">
        <v>170</v>
      </c>
      <c r="J10" s="59">
        <f>MAXA(J2:J8)</f>
        <v>0</v>
      </c>
      <c r="K10" s="29"/>
      <c r="L10" s="29"/>
      <c r="M10" s="51"/>
      <c r="N10" s="60" t="s">
        <v>74</v>
      </c>
      <c r="O10" s="61">
        <f>MAXA(O2:O8)</f>
        <v>0</v>
      </c>
    </row>
    <row r="14" spans="1:15" ht="15.75" x14ac:dyDescent="0.25">
      <c r="A14" s="43" t="s">
        <v>157</v>
      </c>
      <c r="B14" s="43" t="s">
        <v>158</v>
      </c>
      <c r="C14" s="247" t="s">
        <v>159</v>
      </c>
      <c r="D14" s="248"/>
      <c r="E14" s="248"/>
      <c r="F14" s="248"/>
      <c r="G14" s="248"/>
      <c r="H14" s="44" t="s">
        <v>160</v>
      </c>
      <c r="I14" s="44" t="s">
        <v>161</v>
      </c>
    </row>
    <row r="15" spans="1:15" x14ac:dyDescent="0.25">
      <c r="A15" s="250" t="s">
        <v>17</v>
      </c>
      <c r="B15" s="37" t="s">
        <v>18</v>
      </c>
      <c r="C15" s="237" t="s">
        <v>285</v>
      </c>
      <c r="D15" s="232"/>
      <c r="E15" s="232"/>
      <c r="F15" s="232"/>
      <c r="G15" s="233"/>
      <c r="H15" s="37">
        <v>5</v>
      </c>
      <c r="I15" s="249">
        <v>5</v>
      </c>
    </row>
    <row r="16" spans="1:15" x14ac:dyDescent="0.25">
      <c r="A16" s="250"/>
      <c r="B16" s="249" t="s">
        <v>162</v>
      </c>
      <c r="C16" s="237" t="s">
        <v>286</v>
      </c>
      <c r="D16" s="232"/>
      <c r="E16" s="232"/>
      <c r="F16" s="232"/>
      <c r="G16" s="233"/>
      <c r="H16" s="249">
        <v>3</v>
      </c>
      <c r="I16" s="249"/>
    </row>
    <row r="17" spans="1:9" x14ac:dyDescent="0.25">
      <c r="A17" s="250"/>
      <c r="B17" s="249"/>
      <c r="C17" s="237" t="s">
        <v>287</v>
      </c>
      <c r="D17" s="232"/>
      <c r="E17" s="232"/>
      <c r="F17" s="232"/>
      <c r="G17" s="233"/>
      <c r="H17" s="249"/>
      <c r="I17" s="249"/>
    </row>
    <row r="18" spans="1:9" x14ac:dyDescent="0.25">
      <c r="A18" s="250"/>
      <c r="B18" s="37" t="s">
        <v>19</v>
      </c>
      <c r="C18" s="237" t="s">
        <v>302</v>
      </c>
      <c r="D18" s="232"/>
      <c r="E18" s="232"/>
      <c r="F18" s="232"/>
      <c r="G18" s="233"/>
      <c r="H18" s="37">
        <v>2</v>
      </c>
      <c r="I18" s="249"/>
    </row>
    <row r="19" spans="1:9" x14ac:dyDescent="0.25">
      <c r="A19" s="250"/>
      <c r="B19" s="37" t="s">
        <v>20</v>
      </c>
      <c r="C19" s="237" t="s">
        <v>288</v>
      </c>
      <c r="D19" s="232"/>
      <c r="E19" s="232"/>
      <c r="F19" s="232"/>
      <c r="G19" s="233"/>
      <c r="H19" s="37">
        <v>4</v>
      </c>
      <c r="I19" s="249"/>
    </row>
    <row r="20" spans="1:9" x14ac:dyDescent="0.25">
      <c r="A20" s="250"/>
      <c r="B20" s="37" t="s">
        <v>21</v>
      </c>
      <c r="C20" s="237" t="s">
        <v>289</v>
      </c>
      <c r="D20" s="232"/>
      <c r="E20" s="232"/>
      <c r="F20" s="232"/>
      <c r="G20" s="233"/>
      <c r="H20" s="37">
        <v>1</v>
      </c>
      <c r="I20" s="249"/>
    </row>
    <row r="21" spans="1:9" x14ac:dyDescent="0.25">
      <c r="A21" s="250"/>
      <c r="B21" s="37" t="s">
        <v>22</v>
      </c>
      <c r="C21" s="237" t="s">
        <v>163</v>
      </c>
      <c r="D21" s="232"/>
      <c r="E21" s="232"/>
      <c r="F21" s="232"/>
      <c r="G21" s="233"/>
      <c r="H21" s="37">
        <v>0</v>
      </c>
      <c r="I21" s="249"/>
    </row>
    <row r="22" spans="1:9" x14ac:dyDescent="0.25">
      <c r="A22" s="235" t="s">
        <v>23</v>
      </c>
      <c r="B22" s="38" t="s">
        <v>24</v>
      </c>
      <c r="C22" s="234" t="s">
        <v>290</v>
      </c>
      <c r="D22" s="232"/>
      <c r="E22" s="232"/>
      <c r="F22" s="232"/>
      <c r="G22" s="233"/>
      <c r="H22" s="38">
        <v>5</v>
      </c>
      <c r="I22" s="229">
        <v>5</v>
      </c>
    </row>
    <row r="23" spans="1:9" x14ac:dyDescent="0.25">
      <c r="A23" s="235"/>
      <c r="B23" s="229" t="s">
        <v>164</v>
      </c>
      <c r="C23" s="234" t="s">
        <v>291</v>
      </c>
      <c r="D23" s="232"/>
      <c r="E23" s="232"/>
      <c r="F23" s="232"/>
      <c r="G23" s="233"/>
      <c r="H23" s="229">
        <v>3</v>
      </c>
      <c r="I23" s="229"/>
    </row>
    <row r="24" spans="1:9" x14ac:dyDescent="0.25">
      <c r="A24" s="235"/>
      <c r="B24" s="229"/>
      <c r="C24" s="234" t="s">
        <v>293</v>
      </c>
      <c r="D24" s="232"/>
      <c r="E24" s="232"/>
      <c r="F24" s="232"/>
      <c r="G24" s="233"/>
      <c r="H24" s="229"/>
      <c r="I24" s="229"/>
    </row>
    <row r="25" spans="1:9" x14ac:dyDescent="0.25">
      <c r="A25" s="235"/>
      <c r="B25" s="38" t="s">
        <v>25</v>
      </c>
      <c r="C25" s="234" t="s">
        <v>292</v>
      </c>
      <c r="D25" s="232"/>
      <c r="E25" s="232"/>
      <c r="F25" s="232"/>
      <c r="G25" s="233"/>
      <c r="H25" s="38">
        <v>2</v>
      </c>
      <c r="I25" s="229"/>
    </row>
    <row r="26" spans="1:9" x14ac:dyDescent="0.25">
      <c r="A26" s="235"/>
      <c r="B26" s="38" t="s">
        <v>26</v>
      </c>
      <c r="C26" s="234" t="s">
        <v>294</v>
      </c>
      <c r="D26" s="232"/>
      <c r="E26" s="232"/>
      <c r="F26" s="232"/>
      <c r="G26" s="233"/>
      <c r="H26" s="38">
        <v>4</v>
      </c>
      <c r="I26" s="229"/>
    </row>
    <row r="27" spans="1:9" x14ac:dyDescent="0.25">
      <c r="A27" s="235"/>
      <c r="B27" s="38" t="s">
        <v>27</v>
      </c>
      <c r="C27" s="234" t="s">
        <v>295</v>
      </c>
      <c r="D27" s="232"/>
      <c r="E27" s="232"/>
      <c r="F27" s="232"/>
      <c r="G27" s="233"/>
      <c r="H27" s="38">
        <v>1</v>
      </c>
      <c r="I27" s="229"/>
    </row>
    <row r="28" spans="1:9" x14ac:dyDescent="0.25">
      <c r="A28" s="235"/>
      <c r="B28" s="38" t="s">
        <v>28</v>
      </c>
      <c r="C28" s="234" t="s">
        <v>163</v>
      </c>
      <c r="D28" s="232"/>
      <c r="E28" s="232"/>
      <c r="F28" s="232"/>
      <c r="G28" s="233"/>
      <c r="H28" s="38">
        <v>0</v>
      </c>
      <c r="I28" s="229"/>
    </row>
    <row r="29" spans="1:9" x14ac:dyDescent="0.25">
      <c r="A29" s="236" t="s">
        <v>165</v>
      </c>
      <c r="B29" s="39" t="s">
        <v>30</v>
      </c>
      <c r="C29" s="231" t="s">
        <v>296</v>
      </c>
      <c r="D29" s="232"/>
      <c r="E29" s="232"/>
      <c r="F29" s="232"/>
      <c r="G29" s="233"/>
      <c r="H29" s="39">
        <v>5</v>
      </c>
      <c r="I29" s="230">
        <v>5</v>
      </c>
    </row>
    <row r="30" spans="1:9" x14ac:dyDescent="0.25">
      <c r="A30" s="236"/>
      <c r="B30" s="230" t="s">
        <v>166</v>
      </c>
      <c r="C30" s="231" t="s">
        <v>297</v>
      </c>
      <c r="D30" s="232"/>
      <c r="E30" s="232"/>
      <c r="F30" s="232"/>
      <c r="G30" s="233"/>
      <c r="H30" s="230">
        <v>3</v>
      </c>
      <c r="I30" s="230"/>
    </row>
    <row r="31" spans="1:9" x14ac:dyDescent="0.25">
      <c r="A31" s="236"/>
      <c r="B31" s="230"/>
      <c r="C31" s="231" t="s">
        <v>300</v>
      </c>
      <c r="D31" s="232"/>
      <c r="E31" s="232"/>
      <c r="F31" s="232"/>
      <c r="G31" s="233"/>
      <c r="H31" s="230"/>
      <c r="I31" s="230"/>
    </row>
    <row r="32" spans="1:9" x14ac:dyDescent="0.25">
      <c r="A32" s="236"/>
      <c r="B32" s="39" t="s">
        <v>31</v>
      </c>
      <c r="C32" s="231" t="s">
        <v>298</v>
      </c>
      <c r="D32" s="232"/>
      <c r="E32" s="232"/>
      <c r="F32" s="232"/>
      <c r="G32" s="233"/>
      <c r="H32" s="39">
        <v>2</v>
      </c>
      <c r="I32" s="230"/>
    </row>
    <row r="33" spans="1:9" x14ac:dyDescent="0.25">
      <c r="A33" s="236"/>
      <c r="B33" s="39" t="s">
        <v>32</v>
      </c>
      <c r="C33" s="231" t="s">
        <v>299</v>
      </c>
      <c r="D33" s="232"/>
      <c r="E33" s="232"/>
      <c r="F33" s="232"/>
      <c r="G33" s="233"/>
      <c r="H33" s="39">
        <v>4</v>
      </c>
      <c r="I33" s="230"/>
    </row>
    <row r="34" spans="1:9" x14ac:dyDescent="0.25">
      <c r="A34" s="236"/>
      <c r="B34" s="39" t="s">
        <v>33</v>
      </c>
      <c r="C34" s="231" t="s">
        <v>301</v>
      </c>
      <c r="D34" s="232"/>
      <c r="E34" s="232"/>
      <c r="F34" s="232"/>
      <c r="G34" s="233"/>
      <c r="H34" s="39">
        <v>1</v>
      </c>
      <c r="I34" s="230"/>
    </row>
    <row r="35" spans="1:9" x14ac:dyDescent="0.25">
      <c r="A35" s="236"/>
      <c r="B35" s="39" t="s">
        <v>34</v>
      </c>
      <c r="C35" s="231" t="s">
        <v>163</v>
      </c>
      <c r="D35" s="232"/>
      <c r="E35" s="232"/>
      <c r="F35" s="232"/>
      <c r="G35" s="233"/>
      <c r="H35" s="39">
        <v>0</v>
      </c>
      <c r="I35" s="230"/>
    </row>
    <row r="36" spans="1:9" x14ac:dyDescent="0.25">
      <c r="B36" s="20"/>
      <c r="C36" s="20"/>
      <c r="G36" s="40" t="s">
        <v>167</v>
      </c>
      <c r="H36" s="41" t="s">
        <v>168</v>
      </c>
      <c r="I36" s="42">
        <v>15</v>
      </c>
    </row>
  </sheetData>
  <sheetProtection password="DF05" sheet="1" objects="1" scenarios="1"/>
  <mergeCells count="43">
    <mergeCell ref="A1:E1"/>
    <mergeCell ref="F1:J1"/>
    <mergeCell ref="K1:O1"/>
    <mergeCell ref="C14:G14"/>
    <mergeCell ref="B16:B17"/>
    <mergeCell ref="A15:A21"/>
    <mergeCell ref="H16:H17"/>
    <mergeCell ref="I15:I21"/>
    <mergeCell ref="A2:A5"/>
    <mergeCell ref="A6:A9"/>
    <mergeCell ref="F2:F5"/>
    <mergeCell ref="F6:F9"/>
    <mergeCell ref="K2:K5"/>
    <mergeCell ref="K6:K9"/>
    <mergeCell ref="A22:A28"/>
    <mergeCell ref="A29:A35"/>
    <mergeCell ref="B23:B24"/>
    <mergeCell ref="B30:B31"/>
    <mergeCell ref="C15:G15"/>
    <mergeCell ref="C16:G16"/>
    <mergeCell ref="C23:G23"/>
    <mergeCell ref="C24:G24"/>
    <mergeCell ref="C17:G17"/>
    <mergeCell ref="C18:G18"/>
    <mergeCell ref="C19:G19"/>
    <mergeCell ref="C20:G20"/>
    <mergeCell ref="C21:G21"/>
    <mergeCell ref="I22:I28"/>
    <mergeCell ref="I29:I35"/>
    <mergeCell ref="H23:H24"/>
    <mergeCell ref="H30:H31"/>
    <mergeCell ref="C30:G30"/>
    <mergeCell ref="C22:G22"/>
    <mergeCell ref="C25:G25"/>
    <mergeCell ref="C26:G26"/>
    <mergeCell ref="C27:G27"/>
    <mergeCell ref="C28:G28"/>
    <mergeCell ref="C29:G29"/>
    <mergeCell ref="C31:G31"/>
    <mergeCell ref="C32:G32"/>
    <mergeCell ref="C33:G33"/>
    <mergeCell ref="C34:G34"/>
    <mergeCell ref="C35:G3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20"/>
  <sheetViews>
    <sheetView workbookViewId="0">
      <selection activeCell="E27" sqref="E27"/>
    </sheetView>
  </sheetViews>
  <sheetFormatPr defaultRowHeight="15" x14ac:dyDescent="0.25"/>
  <cols>
    <col min="1" max="1" width="19.7109375" bestFit="1" customWidth="1"/>
    <col min="2" max="2" width="18.85546875" bestFit="1" customWidth="1"/>
    <col min="5" max="5" width="17.42578125" bestFit="1" customWidth="1"/>
    <col min="6" max="6" width="12.7109375" bestFit="1" customWidth="1"/>
    <col min="7" max="8" width="11.5703125" bestFit="1" customWidth="1"/>
  </cols>
  <sheetData>
    <row r="2" spans="1:10" x14ac:dyDescent="0.25">
      <c r="B2" t="s">
        <v>37</v>
      </c>
    </row>
    <row r="3" spans="1:10" x14ac:dyDescent="0.25">
      <c r="A3" t="s">
        <v>36</v>
      </c>
      <c r="B3" t="s">
        <v>43</v>
      </c>
      <c r="C3" t="s">
        <v>0</v>
      </c>
      <c r="D3" t="s">
        <v>1</v>
      </c>
      <c r="E3" t="s">
        <v>2</v>
      </c>
      <c r="F3" t="s">
        <v>44</v>
      </c>
      <c r="G3" t="s">
        <v>46</v>
      </c>
      <c r="H3" t="s">
        <v>45</v>
      </c>
      <c r="I3" t="s">
        <v>82</v>
      </c>
      <c r="J3" t="s">
        <v>47</v>
      </c>
    </row>
    <row r="4" spans="1:10" x14ac:dyDescent="0.25">
      <c r="A4" t="s">
        <v>38</v>
      </c>
    </row>
    <row r="5" spans="1:10" x14ac:dyDescent="0.25">
      <c r="A5" s="1" t="s">
        <v>40</v>
      </c>
      <c r="B5">
        <v>12.497</v>
      </c>
      <c r="C5">
        <v>-1E-3</v>
      </c>
      <c r="D5">
        <v>-0.72</v>
      </c>
      <c r="E5">
        <v>0.23300000000000001</v>
      </c>
      <c r="F5">
        <v>-0.09</v>
      </c>
      <c r="G5">
        <v>0</v>
      </c>
      <c r="H5">
        <v>0</v>
      </c>
      <c r="I5">
        <v>2.9849999999999999</v>
      </c>
      <c r="J5">
        <v>9.2999999999999999E-2</v>
      </c>
    </row>
    <row r="6" spans="1:10" x14ac:dyDescent="0.25">
      <c r="A6" s="1" t="s">
        <v>41</v>
      </c>
      <c r="B6">
        <v>11.327999999999999</v>
      </c>
      <c r="C6">
        <v>1E-3</v>
      </c>
      <c r="D6">
        <v>-0.80300000000000005</v>
      </c>
      <c r="E6">
        <v>0.249</v>
      </c>
      <c r="F6">
        <v>-8.8999999999999996E-2</v>
      </c>
      <c r="G6">
        <v>0</v>
      </c>
      <c r="H6">
        <v>0</v>
      </c>
      <c r="I6">
        <v>3.1520000000000001</v>
      </c>
      <c r="J6">
        <v>8.8999999999999996E-2</v>
      </c>
    </row>
    <row r="7" spans="1:10" x14ac:dyDescent="0.25">
      <c r="A7" t="s">
        <v>35</v>
      </c>
    </row>
    <row r="8" spans="1:10" x14ac:dyDescent="0.25">
      <c r="A8" s="1" t="s">
        <v>42</v>
      </c>
      <c r="B8">
        <v>77.106999999999999</v>
      </c>
      <c r="C8">
        <v>-0.46400000000000002</v>
      </c>
      <c r="D8">
        <v>-5.1040000000000001</v>
      </c>
      <c r="E8">
        <v>0.59899999999999998</v>
      </c>
      <c r="F8">
        <v>6.8000000000000005E-2</v>
      </c>
      <c r="G8">
        <v>0</v>
      </c>
      <c r="H8">
        <v>0</v>
      </c>
      <c r="I8">
        <v>9.1159999999999997</v>
      </c>
      <c r="J8">
        <v>0.15</v>
      </c>
    </row>
    <row r="9" spans="1:10" x14ac:dyDescent="0.25">
      <c r="A9" s="1" t="s">
        <v>108</v>
      </c>
      <c r="B9">
        <v>16.91</v>
      </c>
      <c r="C9">
        <v>-0.13800000000000001</v>
      </c>
      <c r="D9">
        <v>-1.5089999999999999</v>
      </c>
      <c r="E9">
        <v>0.23</v>
      </c>
      <c r="F9">
        <v>5.3999999999999999E-2</v>
      </c>
      <c r="G9">
        <v>0</v>
      </c>
      <c r="H9">
        <v>0</v>
      </c>
      <c r="I9">
        <v>3.42</v>
      </c>
      <c r="J9">
        <v>0.10199999999999999</v>
      </c>
    </row>
    <row r="10" spans="1:10" x14ac:dyDescent="0.25">
      <c r="A10" s="1" t="s">
        <v>41</v>
      </c>
      <c r="B10">
        <v>14.526999999999999</v>
      </c>
      <c r="C10">
        <v>-0.13300000000000001</v>
      </c>
      <c r="D10">
        <v>-1.3069999999999999</v>
      </c>
      <c r="E10">
        <v>0.28399999999999997</v>
      </c>
      <c r="F10">
        <v>0.06</v>
      </c>
      <c r="G10">
        <v>0</v>
      </c>
      <c r="H10">
        <v>0</v>
      </c>
      <c r="I10">
        <v>3.7</v>
      </c>
      <c r="J10">
        <v>8.2000000000000003E-2</v>
      </c>
    </row>
    <row r="11" spans="1:10" x14ac:dyDescent="0.25">
      <c r="A11" t="s">
        <v>7</v>
      </c>
      <c r="B11">
        <v>3.718</v>
      </c>
      <c r="C11">
        <v>0.48299999999999998</v>
      </c>
      <c r="D11">
        <v>-1.7210000000000001</v>
      </c>
      <c r="E11">
        <v>-0.193</v>
      </c>
      <c r="F11">
        <v>-7.8E-2</v>
      </c>
      <c r="G11">
        <v>0</v>
      </c>
      <c r="H11">
        <v>0</v>
      </c>
      <c r="I11">
        <v>10.827</v>
      </c>
      <c r="J11">
        <v>6.0999999999999999E-2</v>
      </c>
    </row>
    <row r="12" spans="1:10" x14ac:dyDescent="0.25">
      <c r="A12" t="s">
        <v>8</v>
      </c>
      <c r="B12">
        <v>-76.388999999999996</v>
      </c>
      <c r="C12">
        <v>1.972</v>
      </c>
      <c r="D12">
        <v>-4.1289999999999996</v>
      </c>
      <c r="E12">
        <v>0.41</v>
      </c>
      <c r="F12">
        <v>0.81399999999999995</v>
      </c>
      <c r="G12">
        <v>0</v>
      </c>
      <c r="H12">
        <v>0</v>
      </c>
      <c r="I12">
        <v>32.17</v>
      </c>
      <c r="J12">
        <v>0.122</v>
      </c>
    </row>
    <row r="13" spans="1:10" x14ac:dyDescent="0.25">
      <c r="A13" t="s">
        <v>9</v>
      </c>
      <c r="B13">
        <v>0.61899999999999999</v>
      </c>
      <c r="C13">
        <v>1.7000000000000001E-2</v>
      </c>
      <c r="D13">
        <v>-7.8E-2</v>
      </c>
      <c r="E13">
        <v>2.5000000000000001E-2</v>
      </c>
      <c r="F13">
        <v>3.2000000000000001E-2</v>
      </c>
      <c r="G13">
        <v>0</v>
      </c>
      <c r="H13">
        <v>0</v>
      </c>
      <c r="I13">
        <v>0.93799999999999994</v>
      </c>
      <c r="J13">
        <v>4.4999999999999998E-2</v>
      </c>
    </row>
    <row r="14" spans="1:10" x14ac:dyDescent="0.25">
      <c r="A14" t="s">
        <v>10</v>
      </c>
      <c r="B14">
        <v>26.67</v>
      </c>
      <c r="C14">
        <v>-0.14599999999999999</v>
      </c>
      <c r="D14">
        <v>-0.39400000000000002</v>
      </c>
      <c r="E14">
        <v>0.38800000000000001</v>
      </c>
      <c r="F14">
        <v>-6.3E-2</v>
      </c>
      <c r="G14">
        <v>0</v>
      </c>
      <c r="H14">
        <v>0</v>
      </c>
      <c r="I14">
        <v>5.1840000000000002</v>
      </c>
      <c r="J14">
        <v>7.2999999999999995E-2</v>
      </c>
    </row>
    <row r="15" spans="1:10" x14ac:dyDescent="0.25">
      <c r="A15" t="s">
        <v>39</v>
      </c>
      <c r="B15">
        <v>31.12</v>
      </c>
      <c r="C15">
        <v>-4.8000000000000001E-2</v>
      </c>
      <c r="D15">
        <v>1.3620000000000001</v>
      </c>
      <c r="E15">
        <v>-0.05</v>
      </c>
      <c r="F15">
        <v>-6.3E-2</v>
      </c>
      <c r="G15">
        <v>0</v>
      </c>
      <c r="H15">
        <v>0</v>
      </c>
      <c r="I15">
        <v>1.946</v>
      </c>
      <c r="J15">
        <v>0.128</v>
      </c>
    </row>
    <row r="18" spans="1:2" x14ac:dyDescent="0.25">
      <c r="A18" t="s">
        <v>154</v>
      </c>
    </row>
    <row r="19" spans="1:2" x14ac:dyDescent="0.25">
      <c r="A19">
        <v>1</v>
      </c>
      <c r="B19" t="s">
        <v>155</v>
      </c>
    </row>
    <row r="20" spans="1:2" x14ac:dyDescent="0.25">
      <c r="A20">
        <v>2</v>
      </c>
      <c r="B20" t="s">
        <v>156</v>
      </c>
    </row>
  </sheetData>
  <sheetProtection password="DF0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F13"/>
  <sheetViews>
    <sheetView workbookViewId="0">
      <selection activeCell="E30" sqref="E30"/>
    </sheetView>
  </sheetViews>
  <sheetFormatPr defaultRowHeight="15" x14ac:dyDescent="0.25"/>
  <cols>
    <col min="1" max="1" width="25.42578125" customWidth="1"/>
    <col min="2" max="2" width="13.85546875" bestFit="1" customWidth="1"/>
    <col min="3" max="4" width="13.85546875" customWidth="1"/>
    <col min="5" max="5" width="13.7109375" customWidth="1"/>
    <col min="6" max="6" width="13" customWidth="1"/>
    <col min="7" max="7" width="12.140625" bestFit="1" customWidth="1"/>
    <col min="8" max="8" width="14" customWidth="1"/>
    <col min="9" max="9" width="12.42578125" customWidth="1"/>
    <col min="10" max="10" width="12.85546875" customWidth="1"/>
    <col min="11" max="11" width="12.42578125" customWidth="1"/>
    <col min="12" max="12" width="12" customWidth="1"/>
    <col min="13" max="13" width="13.140625" customWidth="1"/>
    <col min="14" max="14" width="12.28515625" customWidth="1"/>
    <col min="15" max="15" width="12.140625" customWidth="1"/>
    <col min="16" max="16" width="13" customWidth="1"/>
    <col min="17" max="17" width="12.140625" bestFit="1" customWidth="1"/>
    <col min="18" max="18" width="11" bestFit="1" customWidth="1"/>
    <col min="20" max="20" width="12.140625" bestFit="1" customWidth="1"/>
    <col min="21" max="21" width="11" bestFit="1" customWidth="1"/>
    <col min="23" max="23" width="12.42578125" customWidth="1"/>
    <col min="24" max="24" width="13.42578125" customWidth="1"/>
    <col min="25" max="25" width="11.85546875" customWidth="1"/>
    <col min="26" max="26" width="14.7109375" bestFit="1" customWidth="1"/>
    <col min="27" max="28" width="14.7109375" customWidth="1"/>
    <col min="29" max="29" width="12.7109375" customWidth="1"/>
    <col min="30" max="30" width="11.85546875" customWidth="1"/>
    <col min="31" max="31" width="12.140625" bestFit="1" customWidth="1"/>
  </cols>
  <sheetData>
    <row r="1" spans="1:58" x14ac:dyDescent="0.25">
      <c r="A1" s="65" t="s">
        <v>55</v>
      </c>
      <c r="B1" s="258" t="s">
        <v>52</v>
      </c>
      <c r="C1" s="259"/>
      <c r="D1" s="260"/>
      <c r="E1" s="258" t="s">
        <v>53</v>
      </c>
      <c r="F1" s="259"/>
      <c r="G1" s="260"/>
      <c r="H1" s="258" t="s">
        <v>5</v>
      </c>
      <c r="I1" s="259"/>
      <c r="J1" s="260"/>
      <c r="K1" s="258" t="s">
        <v>107</v>
      </c>
      <c r="L1" s="259"/>
      <c r="M1" s="260"/>
      <c r="N1" s="258" t="s">
        <v>54</v>
      </c>
      <c r="O1" s="259"/>
      <c r="P1" s="260"/>
      <c r="Q1" s="258" t="s">
        <v>7</v>
      </c>
      <c r="R1" s="259"/>
      <c r="S1" s="260"/>
      <c r="T1" s="258" t="s">
        <v>8</v>
      </c>
      <c r="U1" s="259"/>
      <c r="V1" s="260"/>
      <c r="W1" s="258" t="s">
        <v>171</v>
      </c>
      <c r="X1" s="259"/>
      <c r="Y1" s="260"/>
      <c r="Z1" s="258" t="s">
        <v>10</v>
      </c>
      <c r="AA1" s="259"/>
      <c r="AB1" s="260"/>
      <c r="AC1" s="258" t="s">
        <v>39</v>
      </c>
      <c r="AD1" s="259"/>
      <c r="AE1" s="260"/>
      <c r="AF1" s="64"/>
    </row>
    <row r="2" spans="1:58" s="70" customFormat="1" x14ac:dyDescent="0.25">
      <c r="A2" s="66" t="s">
        <v>66</v>
      </c>
      <c r="B2" s="69" t="s">
        <v>48</v>
      </c>
      <c r="C2" s="70" t="s">
        <v>49</v>
      </c>
      <c r="D2" s="71" t="s">
        <v>50</v>
      </c>
      <c r="E2" s="69" t="s">
        <v>48</v>
      </c>
      <c r="F2" s="70" t="s">
        <v>49</v>
      </c>
      <c r="G2" s="71" t="s">
        <v>50</v>
      </c>
      <c r="H2" s="69" t="s">
        <v>48</v>
      </c>
      <c r="I2" s="70" t="s">
        <v>49</v>
      </c>
      <c r="J2" s="71" t="s">
        <v>50</v>
      </c>
      <c r="K2" s="69" t="s">
        <v>48</v>
      </c>
      <c r="L2" s="70" t="s">
        <v>49</v>
      </c>
      <c r="M2" s="71" t="s">
        <v>50</v>
      </c>
      <c r="N2" s="69" t="s">
        <v>48</v>
      </c>
      <c r="O2" s="70" t="s">
        <v>49</v>
      </c>
      <c r="P2" s="71" t="s">
        <v>50</v>
      </c>
      <c r="Q2" s="69" t="s">
        <v>50</v>
      </c>
      <c r="R2" s="70" t="s">
        <v>49</v>
      </c>
      <c r="S2" s="71" t="s">
        <v>48</v>
      </c>
      <c r="T2" s="69" t="s">
        <v>50</v>
      </c>
      <c r="U2" s="70" t="s">
        <v>49</v>
      </c>
      <c r="V2" s="71" t="s">
        <v>48</v>
      </c>
      <c r="W2" s="69" t="s">
        <v>50</v>
      </c>
      <c r="X2" s="70" t="s">
        <v>49</v>
      </c>
      <c r="Y2" s="71" t="s">
        <v>48</v>
      </c>
      <c r="Z2" s="69" t="s">
        <v>48</v>
      </c>
      <c r="AA2" s="70" t="s">
        <v>49</v>
      </c>
      <c r="AB2" s="71" t="s">
        <v>50</v>
      </c>
      <c r="AC2" s="69" t="s">
        <v>48</v>
      </c>
      <c r="AD2" s="70" t="s">
        <v>49</v>
      </c>
      <c r="AE2" s="71" t="s">
        <v>50</v>
      </c>
      <c r="AF2" s="69"/>
    </row>
    <row r="3" spans="1:58" s="70" customFormat="1" x14ac:dyDescent="0.25">
      <c r="A3" s="256" t="s">
        <v>65</v>
      </c>
      <c r="B3" s="69" t="s">
        <v>67</v>
      </c>
      <c r="C3" s="70">
        <v>13.99</v>
      </c>
      <c r="D3" s="71" t="s">
        <v>68</v>
      </c>
      <c r="E3" s="72" t="s">
        <v>67</v>
      </c>
      <c r="F3" s="73">
        <v>13.07</v>
      </c>
      <c r="G3" s="71" t="s">
        <v>68</v>
      </c>
      <c r="H3" s="69" t="s">
        <v>67</v>
      </c>
      <c r="I3" s="70">
        <v>42.91</v>
      </c>
      <c r="J3" s="71" t="s">
        <v>68</v>
      </c>
      <c r="K3" s="69" t="s">
        <v>67</v>
      </c>
      <c r="L3" s="70">
        <v>7.9</v>
      </c>
      <c r="M3" s="71" t="s">
        <v>68</v>
      </c>
      <c r="N3" s="69" t="s">
        <v>67</v>
      </c>
      <c r="O3" s="73">
        <v>7.19</v>
      </c>
      <c r="P3" s="71" t="s">
        <v>68</v>
      </c>
      <c r="Q3" s="69" t="s">
        <v>68</v>
      </c>
      <c r="R3" s="70">
        <v>35.5</v>
      </c>
      <c r="S3" s="71" t="s">
        <v>67</v>
      </c>
      <c r="T3" s="69" t="s">
        <v>68</v>
      </c>
      <c r="U3" s="70">
        <v>86.15</v>
      </c>
      <c r="V3" s="71" t="s">
        <v>67</v>
      </c>
      <c r="W3" s="74" t="s">
        <v>67</v>
      </c>
      <c r="X3" s="75">
        <v>2.2759</v>
      </c>
      <c r="Y3" s="76" t="s">
        <v>68</v>
      </c>
      <c r="Z3" s="69" t="s">
        <v>67</v>
      </c>
      <c r="AA3" s="77">
        <v>20.190000000000001</v>
      </c>
      <c r="AB3" s="71" t="s">
        <v>68</v>
      </c>
      <c r="AC3" s="78" t="s">
        <v>67</v>
      </c>
      <c r="AD3" s="79">
        <v>27.67</v>
      </c>
      <c r="AE3" s="80" t="s">
        <v>68</v>
      </c>
      <c r="AF3" s="69"/>
    </row>
    <row r="4" spans="1:58" s="70" customFormat="1" x14ac:dyDescent="0.25">
      <c r="A4" s="257"/>
      <c r="B4" s="69">
        <v>13.99</v>
      </c>
      <c r="C4" s="70">
        <v>15.3</v>
      </c>
      <c r="D4" s="71">
        <v>15.3</v>
      </c>
      <c r="E4" s="81">
        <v>13.07</v>
      </c>
      <c r="F4" s="73">
        <v>14.46</v>
      </c>
      <c r="G4" s="82">
        <v>14.46</v>
      </c>
      <c r="H4" s="81">
        <v>42.91</v>
      </c>
      <c r="I4" s="73">
        <v>48.07</v>
      </c>
      <c r="J4" s="82">
        <v>48.07</v>
      </c>
      <c r="K4" s="81">
        <v>7.9</v>
      </c>
      <c r="L4" s="73">
        <v>9.43</v>
      </c>
      <c r="M4" s="82">
        <v>9.43</v>
      </c>
      <c r="N4" s="81">
        <v>7.19</v>
      </c>
      <c r="O4" s="73">
        <v>8.57</v>
      </c>
      <c r="P4" s="82">
        <v>8.57</v>
      </c>
      <c r="Q4" s="81">
        <v>35.5</v>
      </c>
      <c r="R4" s="73">
        <v>31.44</v>
      </c>
      <c r="S4" s="82">
        <v>31.44</v>
      </c>
      <c r="T4" s="81">
        <v>86.15</v>
      </c>
      <c r="U4" s="73">
        <v>69.44</v>
      </c>
      <c r="V4" s="82">
        <v>69.44</v>
      </c>
      <c r="W4" s="83">
        <v>2.2759</v>
      </c>
      <c r="X4" s="75">
        <v>2.5426000000000002</v>
      </c>
      <c r="Y4" s="84">
        <v>2.5426000000000002</v>
      </c>
      <c r="Z4" s="85">
        <v>20.190000000000001</v>
      </c>
      <c r="AA4" s="86">
        <v>22.12</v>
      </c>
      <c r="AB4" s="87">
        <v>22.12</v>
      </c>
      <c r="AC4" s="88">
        <v>27.67</v>
      </c>
      <c r="AD4" s="89">
        <v>28.82</v>
      </c>
      <c r="AE4" s="90">
        <v>28.82</v>
      </c>
      <c r="AF4" s="69"/>
    </row>
    <row r="5" spans="1:58" x14ac:dyDescent="0.25">
      <c r="A5" s="66" t="s">
        <v>56</v>
      </c>
      <c r="B5" s="64"/>
      <c r="D5" s="63"/>
      <c r="E5" s="64"/>
      <c r="G5" s="63"/>
      <c r="H5" s="64"/>
      <c r="J5" s="63"/>
      <c r="K5" s="64"/>
      <c r="M5" s="63"/>
      <c r="N5" s="64"/>
      <c r="P5" s="63"/>
      <c r="Q5" s="64"/>
      <c r="S5" s="63"/>
      <c r="T5" s="64"/>
      <c r="V5" s="63"/>
      <c r="W5" s="64"/>
      <c r="Y5" s="63"/>
      <c r="Z5" s="64"/>
      <c r="AB5" s="63"/>
      <c r="AC5" s="64"/>
      <c r="AE5" s="63"/>
      <c r="AF5" s="64"/>
    </row>
    <row r="6" spans="1:58" s="70" customFormat="1" x14ac:dyDescent="0.25">
      <c r="A6" s="66" t="s">
        <v>57</v>
      </c>
      <c r="B6" s="91">
        <v>-2.3422999999999998</v>
      </c>
      <c r="C6" s="92">
        <v>-2.2684000000000002</v>
      </c>
      <c r="D6" s="93">
        <v>-2.8468</v>
      </c>
      <c r="E6" s="91">
        <v>-2.11</v>
      </c>
      <c r="F6" s="92">
        <v>-1.7557</v>
      </c>
      <c r="G6" s="93">
        <v>-1.9160999999999999</v>
      </c>
      <c r="H6" s="91">
        <v>-1.7213000000000001</v>
      </c>
      <c r="I6" s="92">
        <v>-2.9777999999999998</v>
      </c>
      <c r="J6" s="93">
        <v>-2.9777</v>
      </c>
      <c r="K6" s="91">
        <v>-2.3751000000000002</v>
      </c>
      <c r="L6" s="92">
        <v>-2.8797000000000001</v>
      </c>
      <c r="M6" s="93">
        <v>-1.9490000000000001</v>
      </c>
      <c r="N6" s="91">
        <v>-1.6473</v>
      </c>
      <c r="O6" s="92">
        <v>-2.1747000000000001</v>
      </c>
      <c r="P6" s="93">
        <v>-2.6762999999999999</v>
      </c>
      <c r="Q6" s="91">
        <v>-4.3653000000000004</v>
      </c>
      <c r="R6" s="92">
        <v>-3.6246999999999998</v>
      </c>
      <c r="S6" s="93">
        <v>-1.9335</v>
      </c>
      <c r="T6" s="91">
        <v>-4.9366000000000003</v>
      </c>
      <c r="U6" s="92">
        <v>-3.2683</v>
      </c>
      <c r="V6" s="93">
        <v>-5.2069000000000001</v>
      </c>
      <c r="W6" s="91">
        <v>-1.4151</v>
      </c>
      <c r="X6" s="92">
        <v>-1.4635</v>
      </c>
      <c r="Y6" s="93">
        <v>-1.4826999999999999</v>
      </c>
      <c r="Z6" s="91">
        <v>-2.0701000000000001</v>
      </c>
      <c r="AA6" s="92">
        <v>-2.2509000000000001</v>
      </c>
      <c r="AB6" s="93">
        <v>-2.044</v>
      </c>
      <c r="AC6" s="91">
        <v>-3.8147000000000002</v>
      </c>
      <c r="AD6" s="92">
        <v>-4.3217999999999996</v>
      </c>
      <c r="AE6" s="93">
        <v>-3.6617999999999999</v>
      </c>
      <c r="AF6" s="91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97" customFormat="1" x14ac:dyDescent="0.25">
      <c r="A7" s="67" t="s">
        <v>58</v>
      </c>
      <c r="B7" s="94">
        <v>-2.2837999999999998</v>
      </c>
      <c r="C7" s="95">
        <v>-1.679</v>
      </c>
      <c r="D7" s="96">
        <v>-2.5994999999999999</v>
      </c>
      <c r="E7" s="94">
        <v>-2.0943000000000001</v>
      </c>
      <c r="F7" s="95">
        <v>-1.6889000000000001</v>
      </c>
      <c r="G7" s="96">
        <v>-1.8762000000000001</v>
      </c>
      <c r="H7" s="94">
        <v>-1.7081</v>
      </c>
      <c r="I7" s="95">
        <v>-1.8925000000000001</v>
      </c>
      <c r="J7" s="96">
        <v>-2.5486</v>
      </c>
      <c r="K7" s="94">
        <v>-2.2200000000000002</v>
      </c>
      <c r="L7" s="95">
        <v>-2.5520999999999998</v>
      </c>
      <c r="M7" s="96">
        <v>-1.9267000000000001</v>
      </c>
      <c r="N7" s="94">
        <v>-1.6339999999999999</v>
      </c>
      <c r="O7" s="95">
        <v>-2.1612</v>
      </c>
      <c r="P7" s="96">
        <v>-2.57</v>
      </c>
      <c r="Q7" s="94">
        <v>-4.0559000000000003</v>
      </c>
      <c r="R7" s="95">
        <v>-3.2071000000000001</v>
      </c>
      <c r="S7" s="96">
        <v>-1.8911</v>
      </c>
      <c r="T7" s="94">
        <v>-4.4920999999999998</v>
      </c>
      <c r="U7" s="95">
        <v>-2.4319000000000002</v>
      </c>
      <c r="V7" s="96">
        <v>-4.0606</v>
      </c>
      <c r="W7" s="94">
        <v>-1.3085</v>
      </c>
      <c r="X7" s="95">
        <v>-1.3788</v>
      </c>
      <c r="Y7" s="96">
        <v>-1.4688000000000001</v>
      </c>
      <c r="Z7" s="94">
        <v>-1.8172999999999999</v>
      </c>
      <c r="AA7" s="95">
        <v>-2.1103000000000001</v>
      </c>
      <c r="AB7" s="96">
        <v>-2.0032000000000001</v>
      </c>
      <c r="AC7" s="94">
        <v>-3.6798999999999999</v>
      </c>
      <c r="AD7" s="95">
        <v>-2.6191</v>
      </c>
      <c r="AE7" s="96">
        <v>-3.6286999999999998</v>
      </c>
      <c r="AF7" s="94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58" s="70" customFormat="1" x14ac:dyDescent="0.25">
      <c r="A8" s="66" t="s">
        <v>59</v>
      </c>
      <c r="B8" s="91">
        <v>-1.7022999999999999</v>
      </c>
      <c r="C8" s="92">
        <v>-1.5447</v>
      </c>
      <c r="D8" s="93">
        <v>-1.8425</v>
      </c>
      <c r="E8" s="91">
        <v>-1.7905</v>
      </c>
      <c r="F8" s="92">
        <v>-1.4488000000000001</v>
      </c>
      <c r="G8" s="93">
        <v>-1.7888999999999999</v>
      </c>
      <c r="H8" s="91">
        <v>-1.6395</v>
      </c>
      <c r="I8" s="92">
        <v>-1.5448999999999999</v>
      </c>
      <c r="J8" s="93">
        <v>-1.6778999999999999</v>
      </c>
      <c r="K8" s="91">
        <v>-1.901</v>
      </c>
      <c r="L8" s="92">
        <v>-1.8956</v>
      </c>
      <c r="M8" s="93">
        <v>-1.6479999999999999</v>
      </c>
      <c r="N8" s="91">
        <v>-1.5249999999999999</v>
      </c>
      <c r="O8" s="92">
        <v>-1.6798999999999999</v>
      </c>
      <c r="P8" s="93">
        <v>-2.2309000000000001</v>
      </c>
      <c r="Q8" s="91">
        <v>-2.4033000000000002</v>
      </c>
      <c r="R8" s="92">
        <v>-1.7578</v>
      </c>
      <c r="S8" s="93">
        <v>-1.8186</v>
      </c>
      <c r="T8" s="91">
        <v>-3.0053999999999998</v>
      </c>
      <c r="U8" s="92">
        <v>-1.1305000000000001</v>
      </c>
      <c r="V8" s="93">
        <v>-1.4996</v>
      </c>
      <c r="W8" s="91">
        <v>-0.97219999999999995</v>
      </c>
      <c r="X8" s="92">
        <v>-1.1200000000000001</v>
      </c>
      <c r="Y8" s="93">
        <v>-1.3283</v>
      </c>
      <c r="Z8" s="91">
        <v>-1.3359000000000001</v>
      </c>
      <c r="AA8" s="92">
        <v>-1.8683000000000001</v>
      </c>
      <c r="AB8" s="93">
        <v>-1.9023000000000001</v>
      </c>
      <c r="AC8" s="91">
        <v>-2.6065</v>
      </c>
      <c r="AD8" s="92">
        <v>-1.7921</v>
      </c>
      <c r="AE8" s="93">
        <v>-2.0975000000000001</v>
      </c>
      <c r="AF8" s="91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s="97" customFormat="1" x14ac:dyDescent="0.25">
      <c r="A9" s="67" t="s">
        <v>60</v>
      </c>
      <c r="B9" s="94">
        <v>-1.2986</v>
      </c>
      <c r="C9" s="95">
        <v>-1.4045000000000001</v>
      </c>
      <c r="D9" s="96">
        <v>-1.4730000000000001</v>
      </c>
      <c r="E9" s="94">
        <v>-1.6052</v>
      </c>
      <c r="F9" s="95">
        <v>-1.3244</v>
      </c>
      <c r="G9" s="96">
        <v>-1.7676000000000001</v>
      </c>
      <c r="H9" s="94">
        <v>-1.5407</v>
      </c>
      <c r="I9" s="95">
        <v>-1.3946000000000001</v>
      </c>
      <c r="J9" s="96">
        <v>-1.3702000000000001</v>
      </c>
      <c r="K9" s="94">
        <v>-1.7734000000000001</v>
      </c>
      <c r="L9" s="95">
        <v>-1.7481</v>
      </c>
      <c r="M9" s="96">
        <v>-1.4277</v>
      </c>
      <c r="N9" s="94">
        <v>-1.4222999999999999</v>
      </c>
      <c r="O9" s="95">
        <v>-1.6077999999999999</v>
      </c>
      <c r="P9" s="96">
        <v>-1.8604000000000001</v>
      </c>
      <c r="Q9" s="94">
        <v>-2.2890999999999999</v>
      </c>
      <c r="R9" s="95">
        <v>-1.3166</v>
      </c>
      <c r="S9" s="96">
        <v>-1.7193000000000001</v>
      </c>
      <c r="T9" s="94">
        <v>-2.8456000000000001</v>
      </c>
      <c r="U9" s="95">
        <v>-0.96560000000000001</v>
      </c>
      <c r="V9" s="96">
        <v>-1.0361</v>
      </c>
      <c r="W9" s="94">
        <v>-0.94940000000000002</v>
      </c>
      <c r="X9" s="95">
        <v>-1.0585</v>
      </c>
      <c r="Y9" s="96">
        <v>-1.1989000000000001</v>
      </c>
      <c r="Z9" s="94">
        <v>-1.2373000000000001</v>
      </c>
      <c r="AA9" s="95">
        <v>-1.5158</v>
      </c>
      <c r="AB9" s="96">
        <v>-1.8013999999999999</v>
      </c>
      <c r="AC9" s="94">
        <v>-2.1497999999999999</v>
      </c>
      <c r="AD9" s="95">
        <v>-1.357</v>
      </c>
      <c r="AE9" s="96">
        <v>-2.0550000000000002</v>
      </c>
      <c r="AF9" s="94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</row>
    <row r="10" spans="1:58" s="70" customFormat="1" x14ac:dyDescent="0.25">
      <c r="A10" s="66" t="s">
        <v>61</v>
      </c>
      <c r="B10" s="91">
        <v>-1.2037</v>
      </c>
      <c r="C10" s="92">
        <v>-1.1698999999999999</v>
      </c>
      <c r="D10" s="93">
        <v>-1.4556</v>
      </c>
      <c r="E10" s="91">
        <v>-1.2821</v>
      </c>
      <c r="F10" s="92">
        <v>-1.1380999999999999</v>
      </c>
      <c r="G10" s="93">
        <v>-1.5698000000000001</v>
      </c>
      <c r="H10" s="91">
        <v>-1.3418000000000001</v>
      </c>
      <c r="I10" s="92">
        <v>-1.2695000000000001</v>
      </c>
      <c r="J10" s="93">
        <v>-1.2430000000000001</v>
      </c>
      <c r="K10" s="91">
        <v>-1.6812</v>
      </c>
      <c r="L10" s="92">
        <v>-1.2283999999999999</v>
      </c>
      <c r="M10" s="93">
        <v>-1.3117000000000001</v>
      </c>
      <c r="N10" s="91">
        <v>-1.3173999999999999</v>
      </c>
      <c r="O10" s="92">
        <v>-1.2398</v>
      </c>
      <c r="P10" s="93">
        <v>-1.7319</v>
      </c>
      <c r="Q10" s="91">
        <v>-1.6375</v>
      </c>
      <c r="R10" s="92">
        <v>-1.0462</v>
      </c>
      <c r="S10" s="93">
        <v>-1.5142</v>
      </c>
      <c r="T10" s="91">
        <v>-2.7574999999999998</v>
      </c>
      <c r="U10" s="92">
        <v>-0.66720000000000002</v>
      </c>
      <c r="V10" s="93">
        <v>-0.84299999999999997</v>
      </c>
      <c r="W10" s="91">
        <v>-0.83760000000000001</v>
      </c>
      <c r="X10" s="92">
        <v>-1.0062</v>
      </c>
      <c r="Y10" s="93">
        <v>-1.0617000000000001</v>
      </c>
      <c r="Z10" s="91">
        <v>-1.1507000000000001</v>
      </c>
      <c r="AA10" s="92">
        <v>-1.3041</v>
      </c>
      <c r="AB10" s="93">
        <v>-1.7016</v>
      </c>
      <c r="AC10" s="91">
        <v>-1.7619</v>
      </c>
      <c r="AD10" s="92">
        <v>-1.0431999999999999</v>
      </c>
      <c r="AE10" s="93">
        <v>-1.1124000000000001</v>
      </c>
      <c r="AF10" s="91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97" customFormat="1" x14ac:dyDescent="0.25">
      <c r="A11" s="67" t="s">
        <v>62</v>
      </c>
      <c r="B11" s="94">
        <v>-0.94930000000000003</v>
      </c>
      <c r="C11" s="95">
        <v>-1.0088999999999999</v>
      </c>
      <c r="D11" s="96">
        <v>-1.1305000000000001</v>
      </c>
      <c r="E11" s="94">
        <v>-1.06</v>
      </c>
      <c r="F11" s="95">
        <v>-0.94910000000000005</v>
      </c>
      <c r="G11" s="96">
        <v>-1.1478999999999999</v>
      </c>
      <c r="H11" s="94">
        <v>-0.91639999999999999</v>
      </c>
      <c r="I11" s="95">
        <v>-1.0762</v>
      </c>
      <c r="J11" s="96">
        <v>-0.95669999999999999</v>
      </c>
      <c r="K11" s="94">
        <v>-1.0790999999999999</v>
      </c>
      <c r="L11" s="95">
        <v>-0.91290000000000004</v>
      </c>
      <c r="M11" s="96">
        <v>-1.0629</v>
      </c>
      <c r="N11" s="94">
        <v>-1.1082000000000001</v>
      </c>
      <c r="O11" s="95">
        <v>-0.93520000000000003</v>
      </c>
      <c r="P11" s="96">
        <v>-1.2919</v>
      </c>
      <c r="Q11" s="94">
        <v>-1.2267999999999999</v>
      </c>
      <c r="R11" s="95">
        <v>-0.78820000000000001</v>
      </c>
      <c r="S11" s="96">
        <v>-0.94220000000000004</v>
      </c>
      <c r="T11" s="94">
        <v>-1.3251999999999999</v>
      </c>
      <c r="U11" s="95">
        <v>-0.61280000000000001</v>
      </c>
      <c r="V11" s="96">
        <v>-0.61499999999999999</v>
      </c>
      <c r="W11" s="94">
        <v>-0.65480000000000005</v>
      </c>
      <c r="X11" s="95">
        <v>-0.86570000000000003</v>
      </c>
      <c r="Y11" s="96">
        <v>-0.97109999999999996</v>
      </c>
      <c r="Z11" s="94">
        <v>-0.95640000000000003</v>
      </c>
      <c r="AA11" s="95">
        <v>-0.92879999999999996</v>
      </c>
      <c r="AB11" s="96">
        <v>-1.2397</v>
      </c>
      <c r="AC11" s="94">
        <v>-1.2262</v>
      </c>
      <c r="AD11" s="95">
        <v>-0.53520000000000001</v>
      </c>
      <c r="AE11" s="96">
        <v>-0.62009999999999998</v>
      </c>
      <c r="AF11" s="94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</row>
    <row r="12" spans="1:58" s="70" customFormat="1" x14ac:dyDescent="0.25">
      <c r="A12" s="66" t="s">
        <v>63</v>
      </c>
      <c r="B12" s="91">
        <v>-0.65069999999999995</v>
      </c>
      <c r="C12" s="92">
        <v>-0.69499999999999995</v>
      </c>
      <c r="D12" s="93">
        <v>-0.66390000000000005</v>
      </c>
      <c r="E12" s="91">
        <v>-0.70660000000000001</v>
      </c>
      <c r="F12" s="92">
        <v>-0.69940000000000002</v>
      </c>
      <c r="G12" s="93">
        <v>-0.81920000000000004</v>
      </c>
      <c r="H12" s="91">
        <v>-0.74229999999999996</v>
      </c>
      <c r="I12" s="92">
        <v>-0.6956</v>
      </c>
      <c r="J12" s="93">
        <v>-0.69399999999999995</v>
      </c>
      <c r="K12" s="91">
        <v>-0.70469999999999999</v>
      </c>
      <c r="L12" s="92">
        <v>-0.58279999999999998</v>
      </c>
      <c r="M12" s="93">
        <v>-0.62229999999999996</v>
      </c>
      <c r="N12" s="91">
        <v>-0.76390000000000002</v>
      </c>
      <c r="O12" s="92">
        <v>-0.63890000000000002</v>
      </c>
      <c r="P12" s="93">
        <v>-0.70269999999999999</v>
      </c>
      <c r="Q12" s="91">
        <v>-0.79469999999999996</v>
      </c>
      <c r="R12" s="92">
        <v>-0.46010000000000001</v>
      </c>
      <c r="S12" s="93">
        <v>-0.55269999999999997</v>
      </c>
      <c r="T12" s="91">
        <v>-0.85829999999999995</v>
      </c>
      <c r="U12" s="92">
        <v>-0.35720000000000002</v>
      </c>
      <c r="V12" s="93">
        <v>-0.35449999999999998</v>
      </c>
      <c r="W12" s="91">
        <v>-0.45</v>
      </c>
      <c r="X12" s="92">
        <v>-0.68879999999999997</v>
      </c>
      <c r="Y12" s="93">
        <v>-0.74639999999999995</v>
      </c>
      <c r="Z12" s="91">
        <v>-0.68700000000000006</v>
      </c>
      <c r="AA12" s="92">
        <v>-0.63049999999999995</v>
      </c>
      <c r="AB12" s="93">
        <v>-0.93020000000000003</v>
      </c>
      <c r="AC12" s="91">
        <v>-0.78820000000000001</v>
      </c>
      <c r="AD12" s="92">
        <v>-0.33989999999999998</v>
      </c>
      <c r="AE12" s="93">
        <v>-0.2208</v>
      </c>
      <c r="AF12" s="91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s="35" customFormat="1" x14ac:dyDescent="0.25">
      <c r="A13" s="68" t="s">
        <v>64</v>
      </c>
      <c r="B13" s="98">
        <v>-5.2999999999999999E-2</v>
      </c>
      <c r="C13" s="99">
        <v>-6.1400000000000003E-2</v>
      </c>
      <c r="D13" s="100">
        <v>-0.123</v>
      </c>
      <c r="E13" s="98">
        <v>-3.61E-2</v>
      </c>
      <c r="F13" s="99">
        <v>-7.8299999999999995E-2</v>
      </c>
      <c r="G13" s="100">
        <v>-3.6900000000000002E-2</v>
      </c>
      <c r="H13" s="98">
        <v>0.1172</v>
      </c>
      <c r="I13" s="99">
        <v>-4.7500000000000001E-2</v>
      </c>
      <c r="J13" s="100">
        <v>-2.7000000000000001E-3</v>
      </c>
      <c r="K13" s="98">
        <v>0.83</v>
      </c>
      <c r="L13" s="99">
        <v>-7.85E-2</v>
      </c>
      <c r="M13" s="100">
        <v>-0.14430000000000001</v>
      </c>
      <c r="N13" s="98">
        <v>-0.19489999999999999</v>
      </c>
      <c r="O13" s="99">
        <v>0.1341</v>
      </c>
      <c r="P13" s="100">
        <v>-0.12790000000000001</v>
      </c>
      <c r="Q13" s="98">
        <v>0.1168</v>
      </c>
      <c r="R13" s="99">
        <v>0.26469999999999999</v>
      </c>
      <c r="S13" s="100">
        <v>0.24</v>
      </c>
      <c r="T13" s="98">
        <v>0.32590000000000002</v>
      </c>
      <c r="U13" s="99">
        <v>0.21060000000000001</v>
      </c>
      <c r="V13" s="100">
        <v>0.19450000000000001</v>
      </c>
      <c r="W13" s="98">
        <v>-9.4399999999999998E-2</v>
      </c>
      <c r="X13" s="99">
        <v>-0.26579999999999998</v>
      </c>
      <c r="Y13" s="100">
        <v>-0.26469999999999999</v>
      </c>
      <c r="Z13" s="98">
        <v>-0.1573</v>
      </c>
      <c r="AA13" s="99">
        <v>4.9700000000000001E-2</v>
      </c>
      <c r="AB13" s="100">
        <v>3.44E-2</v>
      </c>
      <c r="AC13" s="98">
        <v>0.30809999999999998</v>
      </c>
      <c r="AD13" s="99">
        <v>0.26950000000000002</v>
      </c>
      <c r="AE13" s="100">
        <v>0.15840000000000001</v>
      </c>
      <c r="AF13" s="98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</row>
  </sheetData>
  <sheetProtection password="DF05" sheet="1" objects="1" scenarios="1" selectLockedCells="1"/>
  <mergeCells count="11">
    <mergeCell ref="A3:A4"/>
    <mergeCell ref="B1:D1"/>
    <mergeCell ref="AC1:AE1"/>
    <mergeCell ref="Z1:AB1"/>
    <mergeCell ref="W1:Y1"/>
    <mergeCell ref="T1:V1"/>
    <mergeCell ref="Q1:S1"/>
    <mergeCell ref="N1:P1"/>
    <mergeCell ref="K1:M1"/>
    <mergeCell ref="E1:G1"/>
    <mergeCell ref="H1:J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workbookViewId="0">
      <selection activeCell="V104" sqref="V104"/>
    </sheetView>
  </sheetViews>
  <sheetFormatPr defaultRowHeight="15" x14ac:dyDescent="0.25"/>
  <cols>
    <col min="1" max="1" width="14.85546875" bestFit="1" customWidth="1"/>
    <col min="2" max="2" width="20" bestFit="1" customWidth="1"/>
    <col min="3" max="3" width="41.42578125" bestFit="1" customWidth="1"/>
    <col min="4" max="4" width="17.5703125" bestFit="1" customWidth="1"/>
    <col min="5" max="5" width="13.5703125" bestFit="1" customWidth="1"/>
    <col min="9" max="9" width="17.7109375" bestFit="1" customWidth="1"/>
    <col min="10" max="10" width="20" bestFit="1" customWidth="1"/>
    <col min="11" max="11" width="26" bestFit="1" customWidth="1"/>
    <col min="12" max="12" width="17.5703125" bestFit="1" customWidth="1"/>
  </cols>
  <sheetData>
    <row r="1" spans="1:15" s="20" customFormat="1" ht="23.25" x14ac:dyDescent="0.35">
      <c r="A1" s="220" t="s">
        <v>277</v>
      </c>
      <c r="B1" s="221"/>
      <c r="C1" s="221"/>
    </row>
    <row r="2" spans="1:15" s="20" customFormat="1" ht="21" x14ac:dyDescent="0.35">
      <c r="A2" s="215" t="s">
        <v>271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8.75" x14ac:dyDescent="0.3">
      <c r="A3" s="214" t="s">
        <v>91</v>
      </c>
      <c r="B3" s="171"/>
      <c r="C3" s="171"/>
      <c r="D3" s="171"/>
      <c r="E3" s="171"/>
      <c r="F3" s="171"/>
      <c r="G3" s="171"/>
      <c r="H3" s="171"/>
      <c r="I3" s="214" t="s">
        <v>92</v>
      </c>
      <c r="J3" s="171"/>
      <c r="K3" s="171"/>
      <c r="L3" s="171"/>
      <c r="M3" s="171"/>
      <c r="N3" s="171"/>
      <c r="O3" s="171"/>
    </row>
    <row r="4" spans="1:15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x14ac:dyDescent="0.25">
      <c r="A5" s="171"/>
      <c r="B5" s="171"/>
      <c r="C5" s="171"/>
      <c r="D5" s="171" t="s">
        <v>97</v>
      </c>
      <c r="E5" s="171"/>
      <c r="F5" s="171" t="s">
        <v>93</v>
      </c>
      <c r="G5" s="171"/>
      <c r="H5" s="171"/>
      <c r="I5" s="171"/>
      <c r="J5" s="171"/>
      <c r="K5" s="171"/>
      <c r="L5" s="171" t="s">
        <v>97</v>
      </c>
      <c r="M5" s="171"/>
      <c r="N5" s="171" t="s">
        <v>93</v>
      </c>
      <c r="O5" s="171"/>
    </row>
    <row r="6" spans="1:15" x14ac:dyDescent="0.25">
      <c r="A6" s="171"/>
      <c r="B6" s="171"/>
      <c r="C6" s="171"/>
      <c r="D6" s="171" t="s">
        <v>94</v>
      </c>
      <c r="E6" s="171" t="s">
        <v>95</v>
      </c>
      <c r="F6" s="171"/>
      <c r="G6" s="171" t="s">
        <v>104</v>
      </c>
      <c r="H6" s="171"/>
      <c r="I6" s="171"/>
      <c r="J6" s="171"/>
      <c r="K6" s="171"/>
      <c r="L6" s="171" t="s">
        <v>94</v>
      </c>
      <c r="M6" s="171" t="s">
        <v>95</v>
      </c>
      <c r="N6" s="171"/>
      <c r="O6" s="171" t="s">
        <v>104</v>
      </c>
    </row>
    <row r="7" spans="1:15" x14ac:dyDescent="0.25">
      <c r="A7" s="171" t="s">
        <v>243</v>
      </c>
      <c r="B7" s="171" t="s">
        <v>99</v>
      </c>
      <c r="C7" s="171" t="s">
        <v>96</v>
      </c>
      <c r="D7" s="172">
        <v>182</v>
      </c>
      <c r="E7" s="172">
        <v>63</v>
      </c>
      <c r="F7" s="172">
        <v>245</v>
      </c>
      <c r="G7" s="171">
        <f>(285-D7)/(416-F7)</f>
        <v>0.60233918128654973</v>
      </c>
      <c r="H7" s="171"/>
      <c r="I7" s="171" t="s">
        <v>244</v>
      </c>
      <c r="J7" s="171" t="s">
        <v>99</v>
      </c>
      <c r="K7" s="171" t="s">
        <v>96</v>
      </c>
      <c r="L7" s="172">
        <v>50</v>
      </c>
      <c r="M7" s="172">
        <v>84</v>
      </c>
      <c r="N7" s="172">
        <v>134</v>
      </c>
      <c r="O7" s="171">
        <f>(80-L7)/(346-N7)</f>
        <v>0.14150943396226415</v>
      </c>
    </row>
    <row r="8" spans="1:15" x14ac:dyDescent="0.25">
      <c r="A8" s="171"/>
      <c r="B8" s="171"/>
      <c r="C8" s="171" t="s">
        <v>245</v>
      </c>
      <c r="D8" s="173">
        <v>0.74285714285714288</v>
      </c>
      <c r="E8" s="173">
        <v>0.25714285714285712</v>
      </c>
      <c r="F8" s="173">
        <v>1</v>
      </c>
      <c r="G8" s="171"/>
      <c r="H8" s="171"/>
      <c r="I8" s="171"/>
      <c r="J8" s="171"/>
      <c r="K8" s="171" t="s">
        <v>245</v>
      </c>
      <c r="L8" s="173">
        <v>0.37313432835820898</v>
      </c>
      <c r="M8" s="173">
        <v>0.62686567164179108</v>
      </c>
      <c r="N8" s="173">
        <v>1</v>
      </c>
      <c r="O8" s="171"/>
    </row>
    <row r="9" spans="1:15" x14ac:dyDescent="0.25">
      <c r="A9" s="171"/>
      <c r="B9" s="171"/>
      <c r="C9" s="171" t="s">
        <v>98</v>
      </c>
      <c r="D9" s="173">
        <v>0.64768683274021355</v>
      </c>
      <c r="E9" s="173">
        <v>0.46666666666666662</v>
      </c>
      <c r="F9" s="173">
        <v>0.58894230769230771</v>
      </c>
      <c r="G9" s="171"/>
      <c r="H9" s="171"/>
      <c r="I9" s="171"/>
      <c r="J9" s="171"/>
      <c r="K9" s="171" t="s">
        <v>98</v>
      </c>
      <c r="L9" s="173">
        <v>0.625</v>
      </c>
      <c r="M9" s="173">
        <v>0.35</v>
      </c>
      <c r="N9" s="173">
        <v>0.41875000000000001</v>
      </c>
      <c r="O9" s="171"/>
    </row>
    <row r="10" spans="1:15" x14ac:dyDescent="0.25">
      <c r="A10" s="171"/>
      <c r="B10" s="171" t="s">
        <v>100</v>
      </c>
      <c r="C10" s="171" t="s">
        <v>96</v>
      </c>
      <c r="D10" s="172">
        <v>76</v>
      </c>
      <c r="E10" s="172">
        <v>46</v>
      </c>
      <c r="F10" s="172">
        <v>122</v>
      </c>
      <c r="G10" s="171">
        <f>(285-D10)/(416-F10)</f>
        <v>0.71088435374149661</v>
      </c>
      <c r="H10" s="171"/>
      <c r="I10" s="171"/>
      <c r="J10" s="171" t="s">
        <v>100</v>
      </c>
      <c r="K10" s="171" t="s">
        <v>96</v>
      </c>
      <c r="L10" s="172">
        <v>22</v>
      </c>
      <c r="M10" s="172">
        <v>55</v>
      </c>
      <c r="N10" s="172">
        <v>77</v>
      </c>
      <c r="O10" s="171">
        <f>(80-L10)/(346-N10)</f>
        <v>0.21561338289962825</v>
      </c>
    </row>
    <row r="11" spans="1:15" x14ac:dyDescent="0.25">
      <c r="A11" s="171"/>
      <c r="B11" s="171"/>
      <c r="C11" s="171" t="s">
        <v>245</v>
      </c>
      <c r="D11" s="173">
        <v>0.62295081967213117</v>
      </c>
      <c r="E11" s="173">
        <v>0.37704918032786883</v>
      </c>
      <c r="F11" s="173">
        <v>1</v>
      </c>
      <c r="G11" s="171"/>
      <c r="H11" s="171"/>
      <c r="I11" s="171"/>
      <c r="J11" s="171"/>
      <c r="K11" s="171" t="s">
        <v>245</v>
      </c>
      <c r="L11" s="173">
        <v>0.2857142857142857</v>
      </c>
      <c r="M11" s="173">
        <v>0.7142857142857143</v>
      </c>
      <c r="N11" s="173">
        <v>1</v>
      </c>
      <c r="O11" s="171"/>
    </row>
    <row r="12" spans="1:15" x14ac:dyDescent="0.25">
      <c r="A12" s="171"/>
      <c r="B12" s="171"/>
      <c r="C12" s="171" t="s">
        <v>98</v>
      </c>
      <c r="D12" s="173">
        <v>0.27046263345195731</v>
      </c>
      <c r="E12" s="173">
        <v>0.34074074074074079</v>
      </c>
      <c r="F12" s="173">
        <v>0.29326923076923078</v>
      </c>
      <c r="G12" s="171"/>
      <c r="H12" s="171"/>
      <c r="I12" s="171"/>
      <c r="J12" s="171"/>
      <c r="K12" s="171" t="s">
        <v>98</v>
      </c>
      <c r="L12" s="173">
        <v>0.27500000000000002</v>
      </c>
      <c r="M12" s="173">
        <v>0.22916666666666663</v>
      </c>
      <c r="N12" s="173">
        <v>0.24062500000000001</v>
      </c>
      <c r="O12" s="171"/>
    </row>
    <row r="13" spans="1:15" x14ac:dyDescent="0.25">
      <c r="A13" s="171"/>
      <c r="B13" s="171" t="s">
        <v>101</v>
      </c>
      <c r="C13" s="171" t="s">
        <v>96</v>
      </c>
      <c r="D13" s="172">
        <v>15</v>
      </c>
      <c r="E13" s="172">
        <v>12</v>
      </c>
      <c r="F13" s="172">
        <v>27</v>
      </c>
      <c r="G13" s="171">
        <f>(285-D13)/(416-F13)</f>
        <v>0.6940874035989717</v>
      </c>
      <c r="H13" s="171"/>
      <c r="I13" s="171"/>
      <c r="J13" s="171" t="s">
        <v>101</v>
      </c>
      <c r="K13" s="171" t="s">
        <v>96</v>
      </c>
      <c r="L13" s="172">
        <v>4</v>
      </c>
      <c r="M13" s="172">
        <v>62</v>
      </c>
      <c r="N13" s="172">
        <v>66</v>
      </c>
      <c r="O13" s="171">
        <f>(80-L13)/(346-N13)</f>
        <v>0.27142857142857141</v>
      </c>
    </row>
    <row r="14" spans="1:15" x14ac:dyDescent="0.25">
      <c r="A14" s="171"/>
      <c r="B14" s="171"/>
      <c r="C14" s="171" t="s">
        <v>245</v>
      </c>
      <c r="D14" s="173">
        <v>0.55555555555555558</v>
      </c>
      <c r="E14" s="173">
        <v>0.44444444444444442</v>
      </c>
      <c r="F14" s="173">
        <v>1</v>
      </c>
      <c r="G14" s="171"/>
      <c r="H14" s="171"/>
      <c r="I14" s="171"/>
      <c r="J14" s="171"/>
      <c r="K14" s="171" t="s">
        <v>245</v>
      </c>
      <c r="L14" s="173">
        <v>6.0606060606060608E-2</v>
      </c>
      <c r="M14" s="173">
        <v>0.93939393939393934</v>
      </c>
      <c r="N14" s="173">
        <v>1</v>
      </c>
      <c r="O14" s="171"/>
    </row>
    <row r="15" spans="1:15" x14ac:dyDescent="0.25">
      <c r="A15" s="171"/>
      <c r="B15" s="171"/>
      <c r="C15" s="171" t="s">
        <v>98</v>
      </c>
      <c r="D15" s="173">
        <v>5.3380782918149468E-2</v>
      </c>
      <c r="E15" s="173">
        <v>8.8888888888888892E-2</v>
      </c>
      <c r="F15" s="173">
        <v>6.4903846153846159E-2</v>
      </c>
      <c r="G15" s="171"/>
      <c r="H15" s="171"/>
      <c r="I15" s="171"/>
      <c r="J15" s="171"/>
      <c r="K15" s="171" t="s">
        <v>98</v>
      </c>
      <c r="L15" s="173">
        <v>0.05</v>
      </c>
      <c r="M15" s="173">
        <v>0.25833333333333336</v>
      </c>
      <c r="N15" s="173">
        <v>0.20624999999999999</v>
      </c>
      <c r="O15" s="171"/>
    </row>
    <row r="16" spans="1:15" x14ac:dyDescent="0.25">
      <c r="A16" s="171"/>
      <c r="B16" s="171" t="s">
        <v>102</v>
      </c>
      <c r="C16" s="171" t="s">
        <v>96</v>
      </c>
      <c r="D16" s="172">
        <v>6</v>
      </c>
      <c r="E16" s="172">
        <v>11</v>
      </c>
      <c r="F16" s="172">
        <v>17</v>
      </c>
      <c r="G16" s="171">
        <f>(285-D16)/(416-F16)</f>
        <v>0.6992481203007519</v>
      </c>
      <c r="H16" s="171"/>
      <c r="I16" s="171"/>
      <c r="J16" s="171" t="s">
        <v>102</v>
      </c>
      <c r="K16" s="171" t="s">
        <v>96</v>
      </c>
      <c r="L16" s="172">
        <v>2</v>
      </c>
      <c r="M16" s="172">
        <v>23</v>
      </c>
      <c r="N16" s="172">
        <v>25</v>
      </c>
      <c r="O16" s="171">
        <f>(80-L16)/(346-N16)</f>
        <v>0.24299065420560748</v>
      </c>
    </row>
    <row r="17" spans="1:15" x14ac:dyDescent="0.25">
      <c r="A17" s="171"/>
      <c r="B17" s="171"/>
      <c r="C17" s="171" t="s">
        <v>245</v>
      </c>
      <c r="D17" s="173">
        <v>0.35294117647058826</v>
      </c>
      <c r="E17" s="173">
        <v>0.64705882352941169</v>
      </c>
      <c r="F17" s="173">
        <v>1</v>
      </c>
      <c r="G17" s="171"/>
      <c r="H17" s="171"/>
      <c r="I17" s="171"/>
      <c r="J17" s="171"/>
      <c r="K17" s="171" t="s">
        <v>245</v>
      </c>
      <c r="L17" s="173">
        <v>0.08</v>
      </c>
      <c r="M17" s="173">
        <v>0.92</v>
      </c>
      <c r="N17" s="173">
        <v>1</v>
      </c>
      <c r="O17" s="171"/>
    </row>
    <row r="18" spans="1:15" x14ac:dyDescent="0.25">
      <c r="A18" s="171"/>
      <c r="B18" s="171"/>
      <c r="C18" s="171" t="s">
        <v>98</v>
      </c>
      <c r="D18" s="173">
        <v>2.1352313167259787E-2</v>
      </c>
      <c r="E18" s="173">
        <v>8.1481481481481488E-2</v>
      </c>
      <c r="F18" s="173">
        <v>4.0865384615384616E-2</v>
      </c>
      <c r="G18" s="171"/>
      <c r="H18" s="171"/>
      <c r="I18" s="171"/>
      <c r="J18" s="171"/>
      <c r="K18" s="171" t="s">
        <v>98</v>
      </c>
      <c r="L18" s="173">
        <v>2.5000000000000001E-2</v>
      </c>
      <c r="M18" s="173">
        <v>9.583333333333334E-2</v>
      </c>
      <c r="N18" s="173">
        <v>7.8125E-2</v>
      </c>
      <c r="O18" s="171"/>
    </row>
    <row r="19" spans="1:15" x14ac:dyDescent="0.25">
      <c r="A19" s="171"/>
      <c r="B19" s="171" t="s">
        <v>103</v>
      </c>
      <c r="C19" s="171" t="s">
        <v>96</v>
      </c>
      <c r="D19" s="172">
        <v>2</v>
      </c>
      <c r="E19" s="172">
        <v>3</v>
      </c>
      <c r="F19" s="172">
        <v>5</v>
      </c>
      <c r="G19" s="171">
        <f>(285-D19)/(416-F19)</f>
        <v>0.68856447688564482</v>
      </c>
      <c r="H19" s="171"/>
      <c r="I19" s="171"/>
      <c r="J19" s="171" t="s">
        <v>103</v>
      </c>
      <c r="K19" s="171" t="s">
        <v>96</v>
      </c>
      <c r="L19" s="172">
        <v>2</v>
      </c>
      <c r="M19" s="172">
        <v>16</v>
      </c>
      <c r="N19" s="172">
        <v>18</v>
      </c>
      <c r="O19" s="171">
        <f>(80-L19)/(346-N19)</f>
        <v>0.23780487804878048</v>
      </c>
    </row>
    <row r="20" spans="1:15" x14ac:dyDescent="0.25">
      <c r="A20" s="171"/>
      <c r="B20" s="171"/>
      <c r="C20" s="171" t="s">
        <v>245</v>
      </c>
      <c r="D20" s="173">
        <v>0.4</v>
      </c>
      <c r="E20" s="173">
        <v>0.6</v>
      </c>
      <c r="F20" s="173">
        <v>1</v>
      </c>
      <c r="G20" s="171"/>
      <c r="H20" s="171"/>
      <c r="I20" s="171"/>
      <c r="J20" s="171"/>
      <c r="K20" s="171" t="s">
        <v>245</v>
      </c>
      <c r="L20" s="173">
        <v>0.1111111111111111</v>
      </c>
      <c r="M20" s="173">
        <v>0.88888888888888884</v>
      </c>
      <c r="N20" s="173">
        <v>1</v>
      </c>
      <c r="O20" s="171"/>
    </row>
    <row r="21" spans="1:15" x14ac:dyDescent="0.25">
      <c r="A21" s="171"/>
      <c r="B21" s="171"/>
      <c r="C21" s="171" t="s">
        <v>98</v>
      </c>
      <c r="D21" s="174">
        <v>7.1174377224199285E-3</v>
      </c>
      <c r="E21" s="173">
        <v>2.2222222222222223E-2</v>
      </c>
      <c r="F21" s="173">
        <v>1.2019230769230772E-2</v>
      </c>
      <c r="G21" s="171"/>
      <c r="H21" s="171"/>
      <c r="I21" s="171"/>
      <c r="J21" s="171"/>
      <c r="K21" s="171" t="s">
        <v>98</v>
      </c>
      <c r="L21" s="173">
        <v>2.5000000000000001E-2</v>
      </c>
      <c r="M21" s="173">
        <v>6.6666666666666666E-2</v>
      </c>
      <c r="N21" s="173">
        <v>5.6250000000000001E-2</v>
      </c>
      <c r="O21" s="171"/>
    </row>
    <row r="22" spans="1:15" x14ac:dyDescent="0.25">
      <c r="A22" s="171" t="s">
        <v>93</v>
      </c>
      <c r="B22" s="171"/>
      <c r="C22" s="171" t="s">
        <v>96</v>
      </c>
      <c r="D22" s="172">
        <v>281</v>
      </c>
      <c r="E22" s="172">
        <v>135</v>
      </c>
      <c r="F22" s="172">
        <v>416</v>
      </c>
      <c r="G22" s="171"/>
      <c r="H22" s="171"/>
      <c r="I22" s="171" t="s">
        <v>93</v>
      </c>
      <c r="J22" s="171"/>
      <c r="K22" s="171" t="s">
        <v>96</v>
      </c>
      <c r="L22" s="172">
        <v>80</v>
      </c>
      <c r="M22" s="172">
        <v>240</v>
      </c>
      <c r="N22" s="172">
        <v>320</v>
      </c>
      <c r="O22" s="171"/>
    </row>
    <row r="23" spans="1:15" x14ac:dyDescent="0.25">
      <c r="A23" s="171"/>
      <c r="B23" s="171"/>
      <c r="C23" s="171" t="s">
        <v>245</v>
      </c>
      <c r="D23" s="173">
        <v>0.67548076923076938</v>
      </c>
      <c r="E23" s="173">
        <v>0.32451923076923078</v>
      </c>
      <c r="F23" s="173">
        <v>1</v>
      </c>
      <c r="G23" s="171"/>
      <c r="H23" s="171"/>
      <c r="I23" s="171"/>
      <c r="J23" s="171"/>
      <c r="K23" s="171" t="s">
        <v>245</v>
      </c>
      <c r="L23" s="173">
        <v>0.25</v>
      </c>
      <c r="M23" s="173">
        <v>0.75</v>
      </c>
      <c r="N23" s="173">
        <v>1</v>
      </c>
      <c r="O23" s="171"/>
    </row>
    <row r="24" spans="1:15" x14ac:dyDescent="0.25">
      <c r="A24" s="171"/>
      <c r="B24" s="171"/>
      <c r="C24" s="171" t="s">
        <v>98</v>
      </c>
      <c r="D24" s="173">
        <v>1</v>
      </c>
      <c r="E24" s="173">
        <v>1</v>
      </c>
      <c r="F24" s="173">
        <v>1</v>
      </c>
      <c r="G24" s="171"/>
      <c r="H24" s="171"/>
      <c r="I24" s="171"/>
      <c r="J24" s="171"/>
      <c r="K24" s="171" t="s">
        <v>98</v>
      </c>
      <c r="L24" s="173">
        <v>1</v>
      </c>
      <c r="M24" s="173">
        <v>1</v>
      </c>
      <c r="N24" s="173">
        <v>1</v>
      </c>
      <c r="O24" s="171"/>
    </row>
    <row r="25" spans="1:15" x14ac:dyDescent="0.2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</row>
    <row r="26" spans="1:15" x14ac:dyDescent="0.25">
      <c r="A26" s="171"/>
      <c r="B26" s="171"/>
      <c r="C26" s="171"/>
      <c r="D26" s="171"/>
      <c r="E26" s="171"/>
      <c r="F26" s="171"/>
    </row>
    <row r="27" spans="1:15" x14ac:dyDescent="0.25">
      <c r="A27" s="171"/>
      <c r="B27" s="171"/>
      <c r="C27" s="171"/>
      <c r="D27" s="171"/>
      <c r="E27" s="171"/>
      <c r="F27" s="171"/>
    </row>
    <row r="28" spans="1:15" x14ac:dyDescent="0.25">
      <c r="A28" s="170"/>
      <c r="B28" s="171"/>
      <c r="C28" s="171"/>
      <c r="D28" s="171"/>
      <c r="E28" s="171"/>
      <c r="F28" s="171"/>
    </row>
    <row r="29" spans="1:15" ht="18.75" x14ac:dyDescent="0.3">
      <c r="A29" s="214" t="s">
        <v>279</v>
      </c>
      <c r="B29" s="171"/>
      <c r="C29" s="171"/>
      <c r="D29" s="171"/>
      <c r="E29" s="171"/>
      <c r="F29" s="171"/>
    </row>
    <row r="30" spans="1:15" x14ac:dyDescent="0.25">
      <c r="A30" s="303" t="s">
        <v>246</v>
      </c>
      <c r="B30" s="303"/>
      <c r="C30" s="303"/>
      <c r="D30" s="303"/>
      <c r="E30" s="303"/>
      <c r="F30" s="303"/>
    </row>
    <row r="31" spans="1:15" x14ac:dyDescent="0.25">
      <c r="A31" s="304" t="s">
        <v>247</v>
      </c>
      <c r="B31" s="304"/>
      <c r="C31" s="304"/>
      <c r="D31" s="305" t="s">
        <v>248</v>
      </c>
      <c r="E31" s="305"/>
      <c r="F31" s="305" t="s">
        <v>93</v>
      </c>
    </row>
    <row r="32" spans="1:15" x14ac:dyDescent="0.25">
      <c r="A32" s="304"/>
      <c r="B32" s="304"/>
      <c r="C32" s="304"/>
      <c r="D32" s="175" t="s">
        <v>94</v>
      </c>
      <c r="E32" s="175" t="s">
        <v>95</v>
      </c>
      <c r="F32" s="305"/>
    </row>
    <row r="33" spans="1:6" x14ac:dyDescent="0.25">
      <c r="A33" s="289" t="s">
        <v>249</v>
      </c>
      <c r="B33" s="289" t="s">
        <v>99</v>
      </c>
      <c r="C33" s="176" t="s">
        <v>96</v>
      </c>
      <c r="D33" s="172">
        <v>232</v>
      </c>
      <c r="E33" s="172">
        <v>147</v>
      </c>
      <c r="F33" s="172">
        <v>379</v>
      </c>
    </row>
    <row r="34" spans="1:6" x14ac:dyDescent="0.25">
      <c r="A34" s="289"/>
      <c r="B34" s="289"/>
      <c r="C34" s="176" t="s">
        <v>250</v>
      </c>
      <c r="D34" s="173">
        <v>0.61213720316622688</v>
      </c>
      <c r="E34" s="173">
        <v>0.38786279683377312</v>
      </c>
      <c r="F34" s="173">
        <v>1</v>
      </c>
    </row>
    <row r="35" spans="1:6" x14ac:dyDescent="0.25">
      <c r="A35" s="289"/>
      <c r="B35" s="289"/>
      <c r="C35" s="176" t="s">
        <v>251</v>
      </c>
      <c r="D35" s="173">
        <v>0.64265927977839321</v>
      </c>
      <c r="E35" s="173">
        <v>0.38992042440318303</v>
      </c>
      <c r="F35" s="173">
        <v>0.51355013550135498</v>
      </c>
    </row>
    <row r="36" spans="1:6" x14ac:dyDescent="0.25">
      <c r="A36" s="289"/>
      <c r="B36" s="289" t="s">
        <v>100</v>
      </c>
      <c r="C36" s="176" t="s">
        <v>96</v>
      </c>
      <c r="D36" s="172">
        <v>98</v>
      </c>
      <c r="E36" s="172">
        <v>102</v>
      </c>
      <c r="F36" s="172">
        <v>200</v>
      </c>
    </row>
    <row r="37" spans="1:6" x14ac:dyDescent="0.25">
      <c r="A37" s="289"/>
      <c r="B37" s="289"/>
      <c r="C37" s="176" t="s">
        <v>250</v>
      </c>
      <c r="D37" s="173">
        <v>0.49</v>
      </c>
      <c r="E37" s="173">
        <v>0.51</v>
      </c>
      <c r="F37" s="173">
        <v>1</v>
      </c>
    </row>
    <row r="38" spans="1:6" x14ac:dyDescent="0.25">
      <c r="A38" s="289"/>
      <c r="B38" s="289"/>
      <c r="C38" s="176" t="s">
        <v>251</v>
      </c>
      <c r="D38" s="173">
        <v>0.27146814404432135</v>
      </c>
      <c r="E38" s="173">
        <v>0.27055702917771884</v>
      </c>
      <c r="F38" s="173">
        <v>0.27100271002710025</v>
      </c>
    </row>
    <row r="39" spans="1:6" x14ac:dyDescent="0.25">
      <c r="A39" s="289"/>
      <c r="B39" s="289" t="s">
        <v>101</v>
      </c>
      <c r="C39" s="176" t="s">
        <v>96</v>
      </c>
      <c r="D39" s="172">
        <v>19</v>
      </c>
      <c r="E39" s="172">
        <v>74</v>
      </c>
      <c r="F39" s="172">
        <v>93</v>
      </c>
    </row>
    <row r="40" spans="1:6" x14ac:dyDescent="0.25">
      <c r="A40" s="289"/>
      <c r="B40" s="289"/>
      <c r="C40" s="176" t="s">
        <v>250</v>
      </c>
      <c r="D40" s="173">
        <v>0.20430107526881719</v>
      </c>
      <c r="E40" s="173">
        <v>0.79569892473118276</v>
      </c>
      <c r="F40" s="173">
        <v>1</v>
      </c>
    </row>
    <row r="41" spans="1:6" x14ac:dyDescent="0.25">
      <c r="A41" s="289"/>
      <c r="B41" s="289"/>
      <c r="C41" s="176" t="s">
        <v>251</v>
      </c>
      <c r="D41" s="173">
        <v>5.2631578947368418E-2</v>
      </c>
      <c r="E41" s="173">
        <v>0.19628647214854111</v>
      </c>
      <c r="F41" s="173">
        <v>0.12601626016260162</v>
      </c>
    </row>
    <row r="42" spans="1:6" x14ac:dyDescent="0.25">
      <c r="A42" s="289"/>
      <c r="B42" s="289" t="s">
        <v>102</v>
      </c>
      <c r="C42" s="176" t="s">
        <v>96</v>
      </c>
      <c r="D42" s="172">
        <v>8</v>
      </c>
      <c r="E42" s="172">
        <v>35</v>
      </c>
      <c r="F42" s="172">
        <v>43</v>
      </c>
    </row>
    <row r="43" spans="1:6" x14ac:dyDescent="0.25">
      <c r="A43" s="289"/>
      <c r="B43" s="289"/>
      <c r="C43" s="176" t="s">
        <v>250</v>
      </c>
      <c r="D43" s="173">
        <v>0.18604651162790697</v>
      </c>
      <c r="E43" s="173">
        <v>0.81395348837209303</v>
      </c>
      <c r="F43" s="173">
        <v>1</v>
      </c>
    </row>
    <row r="44" spans="1:6" x14ac:dyDescent="0.25">
      <c r="A44" s="289"/>
      <c r="B44" s="289"/>
      <c r="C44" s="176" t="s">
        <v>251</v>
      </c>
      <c r="D44" s="173">
        <v>2.2160664819944598E-2</v>
      </c>
      <c r="E44" s="173">
        <v>9.2838196286472149E-2</v>
      </c>
      <c r="F44" s="173">
        <v>5.8265582655826556E-2</v>
      </c>
    </row>
    <row r="45" spans="1:6" x14ac:dyDescent="0.25">
      <c r="A45" s="289"/>
      <c r="B45" s="289" t="s">
        <v>103</v>
      </c>
      <c r="C45" s="176" t="s">
        <v>96</v>
      </c>
      <c r="D45" s="172">
        <v>4</v>
      </c>
      <c r="E45" s="172">
        <v>19</v>
      </c>
      <c r="F45" s="172">
        <v>23</v>
      </c>
    </row>
    <row r="46" spans="1:6" x14ac:dyDescent="0.25">
      <c r="A46" s="289"/>
      <c r="B46" s="289"/>
      <c r="C46" s="176" t="s">
        <v>250</v>
      </c>
      <c r="D46" s="173">
        <v>0.17391304347826086</v>
      </c>
      <c r="E46" s="173">
        <v>0.82608695652173902</v>
      </c>
      <c r="F46" s="173">
        <v>1</v>
      </c>
    </row>
    <row r="47" spans="1:6" x14ac:dyDescent="0.25">
      <c r="A47" s="289"/>
      <c r="B47" s="289"/>
      <c r="C47" s="176" t="s">
        <v>251</v>
      </c>
      <c r="D47" s="173">
        <v>1.1080332409972299E-2</v>
      </c>
      <c r="E47" s="173">
        <v>5.0397877984084884E-2</v>
      </c>
      <c r="F47" s="173">
        <v>3.1165311653116531E-2</v>
      </c>
    </row>
    <row r="48" spans="1:6" x14ac:dyDescent="0.25">
      <c r="A48" s="289" t="s">
        <v>93</v>
      </c>
      <c r="B48" s="289"/>
      <c r="C48" s="176" t="s">
        <v>96</v>
      </c>
      <c r="D48" s="172">
        <v>361</v>
      </c>
      <c r="E48" s="172">
        <v>377</v>
      </c>
      <c r="F48" s="172">
        <v>738</v>
      </c>
    </row>
    <row r="49" spans="1:22" x14ac:dyDescent="0.25">
      <c r="A49" s="289"/>
      <c r="B49" s="289"/>
      <c r="C49" s="176" t="s">
        <v>250</v>
      </c>
      <c r="D49" s="173">
        <v>0.48915989159891604</v>
      </c>
      <c r="E49" s="173">
        <v>0.51084010840108396</v>
      </c>
      <c r="F49" s="173">
        <v>1</v>
      </c>
    </row>
    <row r="50" spans="1:22" x14ac:dyDescent="0.25">
      <c r="A50" s="289"/>
      <c r="B50" s="289"/>
      <c r="C50" s="176" t="s">
        <v>251</v>
      </c>
      <c r="D50" s="173">
        <v>1</v>
      </c>
      <c r="E50" s="173">
        <v>1</v>
      </c>
      <c r="F50" s="173">
        <v>1</v>
      </c>
    </row>
    <row r="51" spans="1:22" ht="23.25" x14ac:dyDescent="0.35">
      <c r="A51" s="216" t="s">
        <v>272</v>
      </c>
      <c r="B51" s="177"/>
      <c r="C51" s="184"/>
      <c r="D51" s="187" t="s">
        <v>262</v>
      </c>
      <c r="E51" s="187" t="s">
        <v>85</v>
      </c>
      <c r="F51" s="185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</row>
    <row r="52" spans="1:22" x14ac:dyDescent="0.25">
      <c r="A52" s="177"/>
      <c r="B52" s="177"/>
      <c r="C52" s="177"/>
      <c r="D52" s="186"/>
      <c r="E52" s="186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</row>
    <row r="53" spans="1:22" ht="21" x14ac:dyDescent="0.35">
      <c r="A53" s="218" t="s">
        <v>91</v>
      </c>
      <c r="B53" s="177"/>
      <c r="C53" s="177"/>
      <c r="D53" s="177"/>
      <c r="E53" s="177"/>
      <c r="F53" s="177"/>
      <c r="G53" s="177"/>
      <c r="H53" s="177"/>
      <c r="I53" s="218" t="s">
        <v>252</v>
      </c>
      <c r="J53" s="177"/>
      <c r="K53" s="177"/>
      <c r="L53" s="177"/>
      <c r="M53" s="177"/>
      <c r="N53" s="177"/>
      <c r="O53" s="177"/>
      <c r="P53" s="177"/>
      <c r="Q53" s="218" t="s">
        <v>253</v>
      </c>
      <c r="R53" s="177"/>
      <c r="S53" s="177"/>
      <c r="T53" s="177"/>
      <c r="U53" s="177"/>
      <c r="V53" s="177"/>
    </row>
    <row r="54" spans="1:22" ht="18.75" x14ac:dyDescent="0.3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217" t="s">
        <v>278</v>
      </c>
      <c r="R54" s="177"/>
      <c r="S54" s="177"/>
      <c r="T54" s="177"/>
      <c r="U54" s="177"/>
      <c r="V54" s="177"/>
    </row>
    <row r="55" spans="1:22" ht="15" customHeight="1" x14ac:dyDescent="0.25">
      <c r="A55" s="290" t="s">
        <v>254</v>
      </c>
      <c r="B55" s="291"/>
      <c r="C55" s="291"/>
      <c r="D55" s="291"/>
      <c r="E55" s="291"/>
      <c r="F55" s="292"/>
      <c r="G55" s="178"/>
      <c r="H55" s="177"/>
      <c r="I55" s="290" t="s">
        <v>254</v>
      </c>
      <c r="J55" s="291"/>
      <c r="K55" s="291"/>
      <c r="L55" s="291"/>
      <c r="M55" s="291"/>
      <c r="N55" s="292"/>
      <c r="O55" s="178"/>
      <c r="P55" s="177"/>
      <c r="Q55" s="290" t="s">
        <v>254</v>
      </c>
      <c r="R55" s="291"/>
      <c r="S55" s="291"/>
      <c r="T55" s="291"/>
      <c r="U55" s="291"/>
      <c r="V55" s="292"/>
    </row>
    <row r="56" spans="1:22" ht="15" customHeight="1" x14ac:dyDescent="0.25">
      <c r="A56" s="293" t="s">
        <v>247</v>
      </c>
      <c r="B56" s="294"/>
      <c r="C56" s="295"/>
      <c r="D56" s="299" t="s">
        <v>248</v>
      </c>
      <c r="E56" s="300"/>
      <c r="F56" s="301" t="s">
        <v>93</v>
      </c>
      <c r="G56" s="178"/>
      <c r="H56" s="177"/>
      <c r="I56" s="293" t="s">
        <v>247</v>
      </c>
      <c r="J56" s="294"/>
      <c r="K56" s="295"/>
      <c r="L56" s="299" t="s">
        <v>248</v>
      </c>
      <c r="M56" s="300"/>
      <c r="N56" s="301" t="s">
        <v>93</v>
      </c>
      <c r="O56" s="178"/>
      <c r="P56" s="177"/>
      <c r="Q56" s="293" t="s">
        <v>247</v>
      </c>
      <c r="R56" s="294"/>
      <c r="S56" s="295"/>
      <c r="T56" s="299" t="s">
        <v>248</v>
      </c>
      <c r="U56" s="300"/>
      <c r="V56" s="301" t="s">
        <v>93</v>
      </c>
    </row>
    <row r="57" spans="1:22" ht="24.75" x14ac:dyDescent="0.25">
      <c r="A57" s="296"/>
      <c r="B57" s="297"/>
      <c r="C57" s="298"/>
      <c r="D57" s="179" t="s">
        <v>94</v>
      </c>
      <c r="E57" s="179" t="s">
        <v>95</v>
      </c>
      <c r="F57" s="302"/>
      <c r="G57" s="178"/>
      <c r="H57" s="177"/>
      <c r="I57" s="296"/>
      <c r="J57" s="297"/>
      <c r="K57" s="298"/>
      <c r="L57" s="179" t="s">
        <v>94</v>
      </c>
      <c r="M57" s="179" t="s">
        <v>95</v>
      </c>
      <c r="N57" s="302"/>
      <c r="O57" s="178"/>
      <c r="P57" s="177"/>
      <c r="Q57" s="296"/>
      <c r="R57" s="297"/>
      <c r="S57" s="298"/>
      <c r="T57" s="179" t="s">
        <v>94</v>
      </c>
      <c r="U57" s="179" t="s">
        <v>95</v>
      </c>
      <c r="V57" s="302"/>
    </row>
    <row r="58" spans="1:22" ht="15" customHeight="1" x14ac:dyDescent="0.25">
      <c r="A58" s="288" t="s">
        <v>255</v>
      </c>
      <c r="B58" s="285" t="s">
        <v>256</v>
      </c>
      <c r="C58" s="180" t="s">
        <v>96</v>
      </c>
      <c r="D58" s="181">
        <v>299</v>
      </c>
      <c r="E58" s="181">
        <v>119</v>
      </c>
      <c r="F58" s="181">
        <v>418</v>
      </c>
      <c r="G58" s="178"/>
      <c r="H58" s="177"/>
      <c r="I58" s="288" t="s">
        <v>255</v>
      </c>
      <c r="J58" s="285" t="s">
        <v>256</v>
      </c>
      <c r="K58" s="180" t="s">
        <v>96</v>
      </c>
      <c r="L58" s="181">
        <v>83</v>
      </c>
      <c r="M58" s="181">
        <v>163</v>
      </c>
      <c r="N58" s="181">
        <v>246</v>
      </c>
      <c r="O58" s="178"/>
      <c r="P58" s="177"/>
      <c r="Q58" s="288" t="s">
        <v>255</v>
      </c>
      <c r="R58" s="285" t="s">
        <v>256</v>
      </c>
      <c r="S58" s="180" t="s">
        <v>96</v>
      </c>
      <c r="T58" s="181">
        <v>385</v>
      </c>
      <c r="U58" s="181">
        <v>290</v>
      </c>
      <c r="V58" s="181">
        <v>675</v>
      </c>
    </row>
    <row r="59" spans="1:22" ht="24.75" customHeight="1" x14ac:dyDescent="0.25">
      <c r="A59" s="286"/>
      <c r="B59" s="286"/>
      <c r="C59" s="180" t="s">
        <v>257</v>
      </c>
      <c r="D59" s="182">
        <v>0.71531100478468901</v>
      </c>
      <c r="E59" s="182">
        <v>0.28468899521531099</v>
      </c>
      <c r="F59" s="182">
        <v>1</v>
      </c>
      <c r="G59" s="178"/>
      <c r="H59" s="177"/>
      <c r="I59" s="286"/>
      <c r="J59" s="286"/>
      <c r="K59" s="180" t="s">
        <v>257</v>
      </c>
      <c r="L59" s="182">
        <v>0.33739837398373984</v>
      </c>
      <c r="M59" s="182">
        <v>0.66260162601626016</v>
      </c>
      <c r="N59" s="182">
        <v>1</v>
      </c>
      <c r="O59" s="178"/>
      <c r="P59" s="177"/>
      <c r="Q59" s="286"/>
      <c r="R59" s="286"/>
      <c r="S59" s="180" t="s">
        <v>257</v>
      </c>
      <c r="T59" s="182">
        <v>0.57037037037037042</v>
      </c>
      <c r="U59" s="182">
        <v>0.42962962962962964</v>
      </c>
      <c r="V59" s="182">
        <v>1</v>
      </c>
    </row>
    <row r="60" spans="1:22" ht="21" customHeight="1" x14ac:dyDescent="0.25">
      <c r="A60" s="286"/>
      <c r="B60" s="287"/>
      <c r="C60" s="180" t="s">
        <v>251</v>
      </c>
      <c r="D60" s="182">
        <v>0.88461538461538458</v>
      </c>
      <c r="E60" s="182">
        <v>0.7579617834394905</v>
      </c>
      <c r="F60" s="182">
        <v>0.84444444444444444</v>
      </c>
      <c r="G60" s="178"/>
      <c r="H60" s="177"/>
      <c r="I60" s="286"/>
      <c r="J60" s="287"/>
      <c r="K60" s="180" t="s">
        <v>251</v>
      </c>
      <c r="L60" s="182">
        <v>0.86458333333333348</v>
      </c>
      <c r="M60" s="182">
        <v>0.60370370370370374</v>
      </c>
      <c r="N60" s="182">
        <v>0.67213114754098358</v>
      </c>
      <c r="O60" s="178"/>
      <c r="P60" s="177"/>
      <c r="Q60" s="286"/>
      <c r="R60" s="287"/>
      <c r="S60" s="180" t="s">
        <v>251</v>
      </c>
      <c r="T60" s="182">
        <v>0.8810068649885584</v>
      </c>
      <c r="U60" s="182">
        <v>0.66210045662100458</v>
      </c>
      <c r="V60" s="182">
        <v>0.77142857142857157</v>
      </c>
    </row>
    <row r="61" spans="1:22" x14ac:dyDescent="0.25">
      <c r="A61" s="286"/>
      <c r="B61" s="285" t="s">
        <v>258</v>
      </c>
      <c r="C61" s="180" t="s">
        <v>96</v>
      </c>
      <c r="D61" s="181">
        <v>16</v>
      </c>
      <c r="E61" s="181">
        <v>6</v>
      </c>
      <c r="F61" s="181">
        <v>22</v>
      </c>
      <c r="G61" s="178"/>
      <c r="H61" s="177"/>
      <c r="I61" s="286"/>
      <c r="J61" s="285" t="s">
        <v>258</v>
      </c>
      <c r="K61" s="180" t="s">
        <v>96</v>
      </c>
      <c r="L61" s="181">
        <v>6</v>
      </c>
      <c r="M61" s="181">
        <v>20</v>
      </c>
      <c r="N61" s="181">
        <v>26</v>
      </c>
      <c r="O61" s="178"/>
      <c r="P61" s="177"/>
      <c r="Q61" s="286"/>
      <c r="R61" s="285" t="s">
        <v>258</v>
      </c>
      <c r="S61" s="180" t="s">
        <v>96</v>
      </c>
      <c r="T61" s="181">
        <v>22</v>
      </c>
      <c r="U61" s="181">
        <v>26</v>
      </c>
      <c r="V61" s="181">
        <v>48</v>
      </c>
    </row>
    <row r="62" spans="1:22" ht="18" customHeight="1" x14ac:dyDescent="0.25">
      <c r="A62" s="286"/>
      <c r="B62" s="286"/>
      <c r="C62" s="180" t="s">
        <v>257</v>
      </c>
      <c r="D62" s="182">
        <v>0.72727272727272729</v>
      </c>
      <c r="E62" s="182">
        <v>0.27272727272727271</v>
      </c>
      <c r="F62" s="182">
        <v>1</v>
      </c>
      <c r="G62" s="178"/>
      <c r="H62" s="177"/>
      <c r="I62" s="286"/>
      <c r="J62" s="286"/>
      <c r="K62" s="180" t="s">
        <v>257</v>
      </c>
      <c r="L62" s="182">
        <v>0.23076923076923075</v>
      </c>
      <c r="M62" s="182">
        <v>0.76923076923076938</v>
      </c>
      <c r="N62" s="182">
        <v>1</v>
      </c>
      <c r="O62" s="178"/>
      <c r="P62" s="177"/>
      <c r="Q62" s="286"/>
      <c r="R62" s="286"/>
      <c r="S62" s="180" t="s">
        <v>257</v>
      </c>
      <c r="T62" s="182">
        <v>0.45833333333333326</v>
      </c>
      <c r="U62" s="182">
        <v>0.54166666666666663</v>
      </c>
      <c r="V62" s="182">
        <v>1</v>
      </c>
    </row>
    <row r="63" spans="1:22" ht="18.75" customHeight="1" x14ac:dyDescent="0.25">
      <c r="A63" s="286"/>
      <c r="B63" s="287"/>
      <c r="C63" s="180" t="s">
        <v>251</v>
      </c>
      <c r="D63" s="182">
        <v>4.7337278106508875E-2</v>
      </c>
      <c r="E63" s="182">
        <v>3.8216560509554139E-2</v>
      </c>
      <c r="F63" s="182">
        <v>4.4444444444444446E-2</v>
      </c>
      <c r="G63" s="178"/>
      <c r="H63" s="177"/>
      <c r="I63" s="286"/>
      <c r="J63" s="287"/>
      <c r="K63" s="180" t="s">
        <v>251</v>
      </c>
      <c r="L63" s="182">
        <v>6.25E-2</v>
      </c>
      <c r="M63" s="182">
        <v>7.407407407407407E-2</v>
      </c>
      <c r="N63" s="182">
        <v>7.1038251366120214E-2</v>
      </c>
      <c r="O63" s="178"/>
      <c r="P63" s="177"/>
      <c r="Q63" s="286"/>
      <c r="R63" s="287"/>
      <c r="S63" s="180" t="s">
        <v>251</v>
      </c>
      <c r="T63" s="182">
        <v>5.0343249427917618E-2</v>
      </c>
      <c r="U63" s="182">
        <v>5.9360730593607303E-2</v>
      </c>
      <c r="V63" s="182">
        <v>5.4857142857142854E-2</v>
      </c>
    </row>
    <row r="64" spans="1:22" x14ac:dyDescent="0.25">
      <c r="A64" s="286"/>
      <c r="B64" s="285" t="s">
        <v>259</v>
      </c>
      <c r="C64" s="180" t="s">
        <v>96</v>
      </c>
      <c r="D64" s="181">
        <v>18</v>
      </c>
      <c r="E64" s="181">
        <v>21</v>
      </c>
      <c r="F64" s="181">
        <v>39</v>
      </c>
      <c r="G64" s="178"/>
      <c r="H64" s="177"/>
      <c r="I64" s="286"/>
      <c r="J64" s="285" t="s">
        <v>259</v>
      </c>
      <c r="K64" s="180" t="s">
        <v>96</v>
      </c>
      <c r="L64" s="181">
        <v>7</v>
      </c>
      <c r="M64" s="181">
        <v>53</v>
      </c>
      <c r="N64" s="181">
        <v>60</v>
      </c>
      <c r="O64" s="178"/>
      <c r="P64" s="177"/>
      <c r="Q64" s="286"/>
      <c r="R64" s="285" t="s">
        <v>259</v>
      </c>
      <c r="S64" s="180" t="s">
        <v>96</v>
      </c>
      <c r="T64" s="181">
        <v>25</v>
      </c>
      <c r="U64" s="181">
        <v>77</v>
      </c>
      <c r="V64" s="181">
        <v>102</v>
      </c>
    </row>
    <row r="65" spans="1:23" ht="18.75" customHeight="1" x14ac:dyDescent="0.25">
      <c r="A65" s="286"/>
      <c r="B65" s="286"/>
      <c r="C65" s="180" t="s">
        <v>257</v>
      </c>
      <c r="D65" s="182">
        <v>0.46153846153846151</v>
      </c>
      <c r="E65" s="182">
        <v>0.53846153846153844</v>
      </c>
      <c r="F65" s="182">
        <v>1</v>
      </c>
      <c r="G65" s="178"/>
      <c r="H65" s="177"/>
      <c r="I65" s="286"/>
      <c r="J65" s="286"/>
      <c r="K65" s="180" t="s">
        <v>257</v>
      </c>
      <c r="L65" s="182">
        <v>0.11666666666666665</v>
      </c>
      <c r="M65" s="182">
        <v>0.8833333333333333</v>
      </c>
      <c r="N65" s="182">
        <v>1</v>
      </c>
      <c r="O65" s="178"/>
      <c r="P65" s="177"/>
      <c r="Q65" s="286"/>
      <c r="R65" s="286"/>
      <c r="S65" s="180" t="s">
        <v>257</v>
      </c>
      <c r="T65" s="182">
        <v>0.24509803921568626</v>
      </c>
      <c r="U65" s="182">
        <v>0.75490196078431371</v>
      </c>
      <c r="V65" s="182">
        <v>1</v>
      </c>
    </row>
    <row r="66" spans="1:23" ht="20.25" customHeight="1" x14ac:dyDescent="0.25">
      <c r="A66" s="286"/>
      <c r="B66" s="287"/>
      <c r="C66" s="180" t="s">
        <v>251</v>
      </c>
      <c r="D66" s="182">
        <v>5.3254437869822494E-2</v>
      </c>
      <c r="E66" s="182">
        <v>0.13375796178343949</v>
      </c>
      <c r="F66" s="182">
        <v>7.8787878787878782E-2</v>
      </c>
      <c r="G66" s="178"/>
      <c r="H66" s="177"/>
      <c r="I66" s="286"/>
      <c r="J66" s="287"/>
      <c r="K66" s="180" t="s">
        <v>251</v>
      </c>
      <c r="L66" s="182">
        <v>7.2916666666666671E-2</v>
      </c>
      <c r="M66" s="182">
        <v>0.1962962962962963</v>
      </c>
      <c r="N66" s="182">
        <v>0.16393442622950818</v>
      </c>
      <c r="O66" s="178"/>
      <c r="P66" s="177"/>
      <c r="Q66" s="286"/>
      <c r="R66" s="287"/>
      <c r="S66" s="180" t="s">
        <v>251</v>
      </c>
      <c r="T66" s="182">
        <v>5.7208237986270033E-2</v>
      </c>
      <c r="U66" s="182">
        <v>0.17579908675799086</v>
      </c>
      <c r="V66" s="182">
        <v>0.11657142857142859</v>
      </c>
    </row>
    <row r="67" spans="1:23" x14ac:dyDescent="0.25">
      <c r="A67" s="286"/>
      <c r="B67" s="285" t="s">
        <v>260</v>
      </c>
      <c r="C67" s="180" t="s">
        <v>96</v>
      </c>
      <c r="D67" s="181">
        <v>3</v>
      </c>
      <c r="E67" s="181">
        <v>6</v>
      </c>
      <c r="F67" s="181">
        <v>9</v>
      </c>
      <c r="G67" s="178"/>
      <c r="H67" s="177"/>
      <c r="I67" s="286"/>
      <c r="J67" s="285" t="s">
        <v>260</v>
      </c>
      <c r="K67" s="180" t="s">
        <v>96</v>
      </c>
      <c r="L67" s="181">
        <v>0</v>
      </c>
      <c r="M67" s="181">
        <v>17</v>
      </c>
      <c r="N67" s="181">
        <v>17</v>
      </c>
      <c r="O67" s="178"/>
      <c r="P67" s="177"/>
      <c r="Q67" s="286"/>
      <c r="R67" s="285" t="s">
        <v>260</v>
      </c>
      <c r="S67" s="180" t="s">
        <v>96</v>
      </c>
      <c r="T67" s="181">
        <v>3</v>
      </c>
      <c r="U67" s="181">
        <v>23</v>
      </c>
      <c r="V67" s="181">
        <v>26</v>
      </c>
    </row>
    <row r="68" spans="1:23" ht="20.25" customHeight="1" x14ac:dyDescent="0.25">
      <c r="A68" s="286"/>
      <c r="B68" s="286"/>
      <c r="C68" s="180" t="s">
        <v>257</v>
      </c>
      <c r="D68" s="182">
        <v>0.33333333333333326</v>
      </c>
      <c r="E68" s="182">
        <v>0.66666666666666652</v>
      </c>
      <c r="F68" s="182">
        <v>1</v>
      </c>
      <c r="G68" s="178"/>
      <c r="H68" s="177"/>
      <c r="I68" s="286"/>
      <c r="J68" s="286"/>
      <c r="K68" s="180" t="s">
        <v>257</v>
      </c>
      <c r="L68" s="182">
        <v>0</v>
      </c>
      <c r="M68" s="182">
        <v>1</v>
      </c>
      <c r="N68" s="182">
        <v>1</v>
      </c>
      <c r="O68" s="178"/>
      <c r="P68" s="177"/>
      <c r="Q68" s="286"/>
      <c r="R68" s="286"/>
      <c r="S68" s="180" t="s">
        <v>257</v>
      </c>
      <c r="T68" s="182">
        <v>0.11538461538461538</v>
      </c>
      <c r="U68" s="182">
        <v>0.88461538461538458</v>
      </c>
      <c r="V68" s="182">
        <v>1</v>
      </c>
    </row>
    <row r="69" spans="1:23" ht="21" customHeight="1" x14ac:dyDescent="0.25">
      <c r="A69" s="286"/>
      <c r="B69" s="287"/>
      <c r="C69" s="180" t="s">
        <v>251</v>
      </c>
      <c r="D69" s="183">
        <v>8.8757396449704144E-3</v>
      </c>
      <c r="E69" s="182">
        <v>3.8216560509554139E-2</v>
      </c>
      <c r="F69" s="182">
        <v>1.8181818181818181E-2</v>
      </c>
      <c r="G69" s="178"/>
      <c r="H69" s="177"/>
      <c r="I69" s="286"/>
      <c r="J69" s="287"/>
      <c r="K69" s="180" t="s">
        <v>251</v>
      </c>
      <c r="L69" s="182">
        <v>0</v>
      </c>
      <c r="M69" s="182">
        <v>6.2962962962962957E-2</v>
      </c>
      <c r="N69" s="182">
        <v>4.6448087431693992E-2</v>
      </c>
      <c r="O69" s="178"/>
      <c r="P69" s="177"/>
      <c r="Q69" s="286"/>
      <c r="R69" s="287"/>
      <c r="S69" s="180" t="s">
        <v>251</v>
      </c>
      <c r="T69" s="183">
        <v>6.8649885583524032E-3</v>
      </c>
      <c r="U69" s="182">
        <v>5.2511415525114152E-2</v>
      </c>
      <c r="V69" s="182">
        <v>2.9714285714285714E-2</v>
      </c>
    </row>
    <row r="70" spans="1:23" x14ac:dyDescent="0.25">
      <c r="A70" s="286"/>
      <c r="B70" s="285" t="s">
        <v>261</v>
      </c>
      <c r="C70" s="180" t="s">
        <v>96</v>
      </c>
      <c r="D70" s="181">
        <v>2</v>
      </c>
      <c r="E70" s="181">
        <v>5</v>
      </c>
      <c r="F70" s="181">
        <v>7</v>
      </c>
      <c r="G70" s="178"/>
      <c r="H70" s="177"/>
      <c r="I70" s="286"/>
      <c r="J70" s="285" t="s">
        <v>261</v>
      </c>
      <c r="K70" s="180" t="s">
        <v>96</v>
      </c>
      <c r="L70" s="181">
        <v>0</v>
      </c>
      <c r="M70" s="181">
        <v>17</v>
      </c>
      <c r="N70" s="181">
        <v>17</v>
      </c>
      <c r="O70" s="178"/>
      <c r="P70" s="177"/>
      <c r="Q70" s="286"/>
      <c r="R70" s="285" t="s">
        <v>261</v>
      </c>
      <c r="S70" s="180" t="s">
        <v>96</v>
      </c>
      <c r="T70" s="181">
        <v>2</v>
      </c>
      <c r="U70" s="181">
        <v>22</v>
      </c>
      <c r="V70" s="181">
        <v>24</v>
      </c>
    </row>
    <row r="71" spans="1:23" ht="19.5" customHeight="1" x14ac:dyDescent="0.25">
      <c r="A71" s="286"/>
      <c r="B71" s="286"/>
      <c r="C71" s="180" t="s">
        <v>257</v>
      </c>
      <c r="D71" s="182">
        <v>0.2857142857142857</v>
      </c>
      <c r="E71" s="182">
        <v>0.7142857142857143</v>
      </c>
      <c r="F71" s="182">
        <v>1</v>
      </c>
      <c r="G71" s="178"/>
      <c r="H71" s="177"/>
      <c r="I71" s="286"/>
      <c r="J71" s="286"/>
      <c r="K71" s="180" t="s">
        <v>257</v>
      </c>
      <c r="L71" s="182">
        <v>0</v>
      </c>
      <c r="M71" s="182">
        <v>1</v>
      </c>
      <c r="N71" s="182">
        <v>1</v>
      </c>
      <c r="O71" s="178"/>
      <c r="P71" s="177"/>
      <c r="Q71" s="286"/>
      <c r="R71" s="286"/>
      <c r="S71" s="180" t="s">
        <v>257</v>
      </c>
      <c r="T71" s="182">
        <v>8.3333333333333315E-2</v>
      </c>
      <c r="U71" s="182">
        <v>0.91666666666666652</v>
      </c>
      <c r="V71" s="182">
        <v>1</v>
      </c>
    </row>
    <row r="72" spans="1:23" ht="19.5" customHeight="1" x14ac:dyDescent="0.25">
      <c r="A72" s="287"/>
      <c r="B72" s="287"/>
      <c r="C72" s="180" t="s">
        <v>251</v>
      </c>
      <c r="D72" s="183">
        <v>5.9171597633136093E-3</v>
      </c>
      <c r="E72" s="182">
        <v>3.1847133757961783E-2</v>
      </c>
      <c r="F72" s="182">
        <v>1.4141414141414142E-2</v>
      </c>
      <c r="G72" s="178"/>
      <c r="H72" s="177"/>
      <c r="I72" s="287"/>
      <c r="J72" s="287"/>
      <c r="K72" s="180" t="s">
        <v>251</v>
      </c>
      <c r="L72" s="182">
        <v>0</v>
      </c>
      <c r="M72" s="182">
        <v>6.2962962962962957E-2</v>
      </c>
      <c r="N72" s="182">
        <v>4.6448087431693992E-2</v>
      </c>
      <c r="O72" s="178"/>
      <c r="P72" s="177"/>
      <c r="Q72" s="287"/>
      <c r="R72" s="287"/>
      <c r="S72" s="180" t="s">
        <v>251</v>
      </c>
      <c r="T72" s="183">
        <v>4.5766590389016018E-3</v>
      </c>
      <c r="U72" s="182">
        <v>5.0228310502283102E-2</v>
      </c>
      <c r="V72" s="182">
        <v>2.7428571428571427E-2</v>
      </c>
    </row>
    <row r="73" spans="1:23" x14ac:dyDescent="0.25">
      <c r="A73" s="279" t="s">
        <v>93</v>
      </c>
      <c r="B73" s="280"/>
      <c r="C73" s="180" t="s">
        <v>96</v>
      </c>
      <c r="D73" s="181">
        <v>338</v>
      </c>
      <c r="E73" s="181">
        <v>157</v>
      </c>
      <c r="F73" s="181">
        <v>495</v>
      </c>
      <c r="G73" s="178"/>
      <c r="H73" s="177"/>
      <c r="I73" s="279" t="s">
        <v>93</v>
      </c>
      <c r="J73" s="280"/>
      <c r="K73" s="180" t="s">
        <v>96</v>
      </c>
      <c r="L73" s="181">
        <v>96</v>
      </c>
      <c r="M73" s="181">
        <v>270</v>
      </c>
      <c r="N73" s="181">
        <v>366</v>
      </c>
      <c r="O73" s="178"/>
      <c r="P73" s="177"/>
      <c r="Q73" s="279" t="s">
        <v>93</v>
      </c>
      <c r="R73" s="280"/>
      <c r="S73" s="180" t="s">
        <v>96</v>
      </c>
      <c r="T73" s="181">
        <v>437</v>
      </c>
      <c r="U73" s="181">
        <v>438</v>
      </c>
      <c r="V73" s="181">
        <v>875</v>
      </c>
    </row>
    <row r="74" spans="1:23" ht="17.25" customHeight="1" x14ac:dyDescent="0.25">
      <c r="A74" s="281"/>
      <c r="B74" s="282"/>
      <c r="C74" s="180" t="s">
        <v>257</v>
      </c>
      <c r="D74" s="182">
        <v>0.68282828282828278</v>
      </c>
      <c r="E74" s="182">
        <v>0.31717171717171716</v>
      </c>
      <c r="F74" s="182">
        <v>1</v>
      </c>
      <c r="G74" s="178"/>
      <c r="H74" s="177"/>
      <c r="I74" s="281"/>
      <c r="J74" s="282"/>
      <c r="K74" s="180" t="s">
        <v>257</v>
      </c>
      <c r="L74" s="182">
        <v>0.26229508196721313</v>
      </c>
      <c r="M74" s="182">
        <v>0.73770491803278693</v>
      </c>
      <c r="N74" s="182">
        <v>1</v>
      </c>
      <c r="O74" s="178"/>
      <c r="P74" s="177"/>
      <c r="Q74" s="281"/>
      <c r="R74" s="282"/>
      <c r="S74" s="180" t="s">
        <v>257</v>
      </c>
      <c r="T74" s="182">
        <v>0.49942857142857144</v>
      </c>
      <c r="U74" s="182">
        <v>0.50057142857142856</v>
      </c>
      <c r="V74" s="182">
        <v>1</v>
      </c>
    </row>
    <row r="75" spans="1:23" ht="21.75" customHeight="1" x14ac:dyDescent="0.25">
      <c r="A75" s="283"/>
      <c r="B75" s="284"/>
      <c r="C75" s="180" t="s">
        <v>251</v>
      </c>
      <c r="D75" s="182">
        <v>1</v>
      </c>
      <c r="E75" s="182">
        <v>1</v>
      </c>
      <c r="F75" s="182">
        <v>1</v>
      </c>
      <c r="G75" s="178"/>
      <c r="H75" s="177"/>
      <c r="I75" s="283"/>
      <c r="J75" s="284"/>
      <c r="K75" s="180" t="s">
        <v>251</v>
      </c>
      <c r="L75" s="182">
        <v>1</v>
      </c>
      <c r="M75" s="182">
        <v>1</v>
      </c>
      <c r="N75" s="182">
        <v>1</v>
      </c>
      <c r="O75" s="178"/>
      <c r="P75" s="177"/>
      <c r="Q75" s="283"/>
      <c r="R75" s="284"/>
      <c r="S75" s="180" t="s">
        <v>251</v>
      </c>
      <c r="T75" s="182">
        <v>1</v>
      </c>
      <c r="U75" s="182">
        <v>1</v>
      </c>
      <c r="V75" s="182">
        <v>1</v>
      </c>
    </row>
    <row r="77" spans="1:23" ht="23.25" x14ac:dyDescent="0.35">
      <c r="A77" s="220" t="s">
        <v>270</v>
      </c>
      <c r="B77" s="221"/>
      <c r="C77" s="221"/>
    </row>
    <row r="78" spans="1:23" s="20" customFormat="1" ht="23.25" x14ac:dyDescent="0.35">
      <c r="A78" s="219" t="s">
        <v>271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</row>
    <row r="79" spans="1:23" s="20" customFormat="1" x14ac:dyDescent="0.2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</row>
    <row r="80" spans="1:23" ht="18.75" x14ac:dyDescent="0.3">
      <c r="A80" s="222" t="s">
        <v>91</v>
      </c>
      <c r="B80" s="188"/>
      <c r="C80" s="188"/>
      <c r="D80" s="188"/>
      <c r="E80" s="188"/>
      <c r="F80" s="188"/>
      <c r="G80" s="188"/>
      <c r="H80" s="188"/>
      <c r="I80" s="222" t="s">
        <v>263</v>
      </c>
      <c r="J80" s="188"/>
      <c r="K80" s="188"/>
      <c r="L80" s="188"/>
      <c r="M80" s="188"/>
      <c r="N80" s="188"/>
      <c r="O80" s="188"/>
      <c r="P80" s="188"/>
      <c r="Q80" s="222" t="s">
        <v>253</v>
      </c>
      <c r="R80" s="188"/>
      <c r="S80" s="188"/>
      <c r="T80" s="188"/>
      <c r="U80" s="188"/>
      <c r="V80" s="188"/>
      <c r="W80" s="20"/>
    </row>
    <row r="81" spans="1:23" ht="18.75" x14ac:dyDescent="0.3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222" t="s">
        <v>280</v>
      </c>
      <c r="R81" s="188"/>
      <c r="S81" s="188"/>
      <c r="T81" s="188"/>
      <c r="U81" s="188"/>
      <c r="V81" s="188"/>
      <c r="W81" s="20"/>
    </row>
    <row r="82" spans="1:23" x14ac:dyDescent="0.25">
      <c r="A82" s="274" t="s">
        <v>264</v>
      </c>
      <c r="B82" s="274"/>
      <c r="C82" s="274"/>
      <c r="D82" s="274"/>
      <c r="E82" s="274"/>
      <c r="F82" s="274"/>
      <c r="G82" s="189"/>
      <c r="H82" s="188"/>
      <c r="I82" s="275" t="s">
        <v>264</v>
      </c>
      <c r="J82" s="275"/>
      <c r="K82" s="275"/>
      <c r="L82" s="275"/>
      <c r="M82" s="275"/>
      <c r="N82" s="275"/>
      <c r="O82" s="190"/>
      <c r="P82" s="188"/>
      <c r="Q82" s="275" t="s">
        <v>264</v>
      </c>
      <c r="R82" s="275"/>
      <c r="S82" s="275"/>
      <c r="T82" s="275"/>
      <c r="U82" s="275"/>
      <c r="V82" s="275"/>
      <c r="W82" s="128"/>
    </row>
    <row r="83" spans="1:23" x14ac:dyDescent="0.25">
      <c r="A83" s="276" t="s">
        <v>247</v>
      </c>
      <c r="B83" s="276"/>
      <c r="C83" s="276"/>
      <c r="D83" s="277" t="s">
        <v>265</v>
      </c>
      <c r="E83" s="277"/>
      <c r="F83" s="277" t="s">
        <v>93</v>
      </c>
      <c r="G83" s="189"/>
      <c r="H83" s="188"/>
      <c r="I83" s="278" t="s">
        <v>247</v>
      </c>
      <c r="J83" s="278"/>
      <c r="K83" s="278"/>
      <c r="L83" s="273" t="s">
        <v>265</v>
      </c>
      <c r="M83" s="273"/>
      <c r="N83" s="273" t="s">
        <v>93</v>
      </c>
      <c r="O83" s="190"/>
      <c r="P83" s="188"/>
      <c r="Q83" s="278" t="s">
        <v>247</v>
      </c>
      <c r="R83" s="278"/>
      <c r="S83" s="278"/>
      <c r="T83" s="273" t="s">
        <v>265</v>
      </c>
      <c r="U83" s="273"/>
      <c r="V83" s="273" t="s">
        <v>93</v>
      </c>
      <c r="W83" s="128"/>
    </row>
    <row r="84" spans="1:23" ht="24.75" x14ac:dyDescent="0.25">
      <c r="A84" s="276"/>
      <c r="B84" s="276"/>
      <c r="C84" s="276"/>
      <c r="D84" s="191" t="s">
        <v>266</v>
      </c>
      <c r="E84" s="191" t="s">
        <v>267</v>
      </c>
      <c r="F84" s="277"/>
      <c r="G84" s="189"/>
      <c r="H84" s="188"/>
      <c r="I84" s="278"/>
      <c r="J84" s="278"/>
      <c r="K84" s="278"/>
      <c r="L84" s="192" t="s">
        <v>266</v>
      </c>
      <c r="M84" s="192" t="s">
        <v>267</v>
      </c>
      <c r="N84" s="273"/>
      <c r="O84" s="190"/>
      <c r="P84" s="188"/>
      <c r="Q84" s="278"/>
      <c r="R84" s="278"/>
      <c r="S84" s="278"/>
      <c r="T84" s="192" t="s">
        <v>266</v>
      </c>
      <c r="U84" s="192" t="s">
        <v>267</v>
      </c>
      <c r="V84" s="273"/>
      <c r="W84" s="128"/>
    </row>
    <row r="85" spans="1:23" x14ac:dyDescent="0.25">
      <c r="A85" s="269" t="s">
        <v>249</v>
      </c>
      <c r="B85" s="269" t="s">
        <v>99</v>
      </c>
      <c r="C85" s="193" t="s">
        <v>96</v>
      </c>
      <c r="D85" s="194">
        <v>232</v>
      </c>
      <c r="E85" s="194">
        <v>53</v>
      </c>
      <c r="F85" s="194">
        <v>285</v>
      </c>
      <c r="G85" s="189"/>
      <c r="H85" s="188"/>
      <c r="I85" s="270" t="s">
        <v>249</v>
      </c>
      <c r="J85" s="270" t="s">
        <v>99</v>
      </c>
      <c r="K85" s="195" t="s">
        <v>96</v>
      </c>
      <c r="L85" s="196">
        <v>69</v>
      </c>
      <c r="M85" s="196">
        <v>77</v>
      </c>
      <c r="N85" s="196">
        <v>146</v>
      </c>
      <c r="O85" s="190"/>
      <c r="P85" s="188"/>
      <c r="Q85" s="270" t="s">
        <v>249</v>
      </c>
      <c r="R85" s="270" t="s">
        <v>99</v>
      </c>
      <c r="S85" s="195" t="s">
        <v>96</v>
      </c>
      <c r="T85" s="196">
        <v>301</v>
      </c>
      <c r="U85" s="196">
        <v>130</v>
      </c>
      <c r="V85" s="196">
        <v>431</v>
      </c>
      <c r="W85" s="128"/>
    </row>
    <row r="86" spans="1:23" ht="22.5" customHeight="1" x14ac:dyDescent="0.25">
      <c r="A86" s="269"/>
      <c r="B86" s="269"/>
      <c r="C86" s="193" t="s">
        <v>250</v>
      </c>
      <c r="D86" s="197">
        <v>0.81403508771929822</v>
      </c>
      <c r="E86" s="197">
        <v>0.18596491228070175</v>
      </c>
      <c r="F86" s="197">
        <v>1</v>
      </c>
      <c r="G86" s="189"/>
      <c r="H86" s="188"/>
      <c r="I86" s="270"/>
      <c r="J86" s="270"/>
      <c r="K86" s="195" t="s">
        <v>250</v>
      </c>
      <c r="L86" s="198">
        <v>0.4726027397260274</v>
      </c>
      <c r="M86" s="198">
        <v>0.5273972602739726</v>
      </c>
      <c r="N86" s="198">
        <v>1</v>
      </c>
      <c r="O86" s="190"/>
      <c r="P86" s="188"/>
      <c r="Q86" s="270"/>
      <c r="R86" s="270"/>
      <c r="S86" s="195" t="s">
        <v>250</v>
      </c>
      <c r="T86" s="198">
        <v>0.69837587006960566</v>
      </c>
      <c r="U86" s="198">
        <v>0.30162412993039445</v>
      </c>
      <c r="V86" s="198">
        <v>1</v>
      </c>
      <c r="W86" s="128"/>
    </row>
    <row r="87" spans="1:23" ht="21" customHeight="1" x14ac:dyDescent="0.25">
      <c r="A87" s="269"/>
      <c r="B87" s="269"/>
      <c r="C87" s="193" t="s">
        <v>268</v>
      </c>
      <c r="D87" s="197">
        <v>0.59948320413436695</v>
      </c>
      <c r="E87" s="197">
        <v>0.31927710843373491</v>
      </c>
      <c r="F87" s="197">
        <v>0.51537070524412298</v>
      </c>
      <c r="G87" s="189"/>
      <c r="H87" s="188"/>
      <c r="I87" s="270"/>
      <c r="J87" s="270"/>
      <c r="K87" s="195" t="s">
        <v>268</v>
      </c>
      <c r="L87" s="198">
        <v>0.66346153846153844</v>
      </c>
      <c r="M87" s="198">
        <v>0.22647058823529412</v>
      </c>
      <c r="N87" s="198">
        <v>0.32882882882882891</v>
      </c>
      <c r="O87" s="190"/>
      <c r="P87" s="188"/>
      <c r="Q87" s="270"/>
      <c r="R87" s="270"/>
      <c r="S87" s="195" t="s">
        <v>268</v>
      </c>
      <c r="T87" s="198">
        <v>0.61303462321792257</v>
      </c>
      <c r="U87" s="198">
        <v>0.25691699604743085</v>
      </c>
      <c r="V87" s="198">
        <v>0.43229689067201604</v>
      </c>
      <c r="W87" s="128"/>
    </row>
    <row r="88" spans="1:23" x14ac:dyDescent="0.25">
      <c r="A88" s="269"/>
      <c r="B88" s="269" t="s">
        <v>100</v>
      </c>
      <c r="C88" s="193" t="s">
        <v>96</v>
      </c>
      <c r="D88" s="194">
        <v>116</v>
      </c>
      <c r="E88" s="194">
        <v>55</v>
      </c>
      <c r="F88" s="194">
        <v>171</v>
      </c>
      <c r="G88" s="189"/>
      <c r="H88" s="188"/>
      <c r="I88" s="270"/>
      <c r="J88" s="270" t="s">
        <v>100</v>
      </c>
      <c r="K88" s="195" t="s">
        <v>96</v>
      </c>
      <c r="L88" s="196">
        <v>19</v>
      </c>
      <c r="M88" s="196">
        <v>79</v>
      </c>
      <c r="N88" s="196">
        <v>98</v>
      </c>
      <c r="O88" s="190"/>
      <c r="P88" s="188"/>
      <c r="Q88" s="270"/>
      <c r="R88" s="270" t="s">
        <v>100</v>
      </c>
      <c r="S88" s="195" t="s">
        <v>96</v>
      </c>
      <c r="T88" s="196">
        <v>135</v>
      </c>
      <c r="U88" s="196">
        <v>134</v>
      </c>
      <c r="V88" s="196">
        <v>269</v>
      </c>
      <c r="W88" s="128"/>
    </row>
    <row r="89" spans="1:23" ht="19.5" customHeight="1" x14ac:dyDescent="0.25">
      <c r="A89" s="269"/>
      <c r="B89" s="269"/>
      <c r="C89" s="193" t="s">
        <v>250</v>
      </c>
      <c r="D89" s="197">
        <v>0.67836257309941517</v>
      </c>
      <c r="E89" s="197">
        <v>0.32163742690058478</v>
      </c>
      <c r="F89" s="197">
        <v>1</v>
      </c>
      <c r="G89" s="189"/>
      <c r="H89" s="188"/>
      <c r="I89" s="270"/>
      <c r="J89" s="270"/>
      <c r="K89" s="195" t="s">
        <v>250</v>
      </c>
      <c r="L89" s="198">
        <v>0.19387755102040816</v>
      </c>
      <c r="M89" s="198">
        <v>0.80612244897959184</v>
      </c>
      <c r="N89" s="198">
        <v>1</v>
      </c>
      <c r="O89" s="190"/>
      <c r="P89" s="188"/>
      <c r="Q89" s="270"/>
      <c r="R89" s="270"/>
      <c r="S89" s="195" t="s">
        <v>250</v>
      </c>
      <c r="T89" s="198">
        <v>0.5018587360594795</v>
      </c>
      <c r="U89" s="198">
        <v>0.49814126394052044</v>
      </c>
      <c r="V89" s="198">
        <v>1</v>
      </c>
      <c r="W89" s="128"/>
    </row>
    <row r="90" spans="1:23" ht="20.25" customHeight="1" x14ac:dyDescent="0.25">
      <c r="A90" s="269"/>
      <c r="B90" s="269"/>
      <c r="C90" s="193" t="s">
        <v>268</v>
      </c>
      <c r="D90" s="197">
        <v>0.29974160206718348</v>
      </c>
      <c r="E90" s="197">
        <v>0.33132530120481929</v>
      </c>
      <c r="F90" s="197">
        <v>0.3092224231464738</v>
      </c>
      <c r="G90" s="189"/>
      <c r="H90" s="188"/>
      <c r="I90" s="270"/>
      <c r="J90" s="270"/>
      <c r="K90" s="195" t="s">
        <v>268</v>
      </c>
      <c r="L90" s="198">
        <v>0.18269230769230765</v>
      </c>
      <c r="M90" s="198">
        <v>0.23235294117647057</v>
      </c>
      <c r="N90" s="198">
        <v>0.22072072072072071</v>
      </c>
      <c r="O90" s="190"/>
      <c r="P90" s="188"/>
      <c r="Q90" s="270"/>
      <c r="R90" s="270"/>
      <c r="S90" s="195" t="s">
        <v>268</v>
      </c>
      <c r="T90" s="198">
        <v>0.27494908350305497</v>
      </c>
      <c r="U90" s="198">
        <v>0.2648221343873518</v>
      </c>
      <c r="V90" s="198">
        <v>0.26980942828485455</v>
      </c>
      <c r="W90" s="128"/>
    </row>
    <row r="91" spans="1:23" x14ac:dyDescent="0.25">
      <c r="A91" s="269"/>
      <c r="B91" s="269" t="s">
        <v>101</v>
      </c>
      <c r="C91" s="193" t="s">
        <v>96</v>
      </c>
      <c r="D91" s="194">
        <v>26</v>
      </c>
      <c r="E91" s="194">
        <v>31</v>
      </c>
      <c r="F91" s="194">
        <v>57</v>
      </c>
      <c r="G91" s="189"/>
      <c r="H91" s="188"/>
      <c r="I91" s="270"/>
      <c r="J91" s="270" t="s">
        <v>101</v>
      </c>
      <c r="K91" s="195" t="s">
        <v>96</v>
      </c>
      <c r="L91" s="196">
        <v>12</v>
      </c>
      <c r="M91" s="196">
        <v>98</v>
      </c>
      <c r="N91" s="196">
        <v>110</v>
      </c>
      <c r="O91" s="190"/>
      <c r="P91" s="188"/>
      <c r="Q91" s="270"/>
      <c r="R91" s="270" t="s">
        <v>101</v>
      </c>
      <c r="S91" s="195" t="s">
        <v>96</v>
      </c>
      <c r="T91" s="196">
        <v>38</v>
      </c>
      <c r="U91" s="196">
        <v>129</v>
      </c>
      <c r="V91" s="196">
        <v>167</v>
      </c>
      <c r="W91" s="128"/>
    </row>
    <row r="92" spans="1:23" ht="22.5" customHeight="1" x14ac:dyDescent="0.25">
      <c r="A92" s="269"/>
      <c r="B92" s="269"/>
      <c r="C92" s="193" t="s">
        <v>250</v>
      </c>
      <c r="D92" s="197">
        <v>0.45614035087719296</v>
      </c>
      <c r="E92" s="197">
        <v>0.54385964912280704</v>
      </c>
      <c r="F92" s="197">
        <v>1</v>
      </c>
      <c r="G92" s="189"/>
      <c r="H92" s="188"/>
      <c r="I92" s="270"/>
      <c r="J92" s="270"/>
      <c r="K92" s="195" t="s">
        <v>250</v>
      </c>
      <c r="L92" s="198">
        <v>0.10909090909090909</v>
      </c>
      <c r="M92" s="198">
        <v>0.89090909090909098</v>
      </c>
      <c r="N92" s="198">
        <v>1</v>
      </c>
      <c r="O92" s="190"/>
      <c r="P92" s="188"/>
      <c r="Q92" s="270"/>
      <c r="R92" s="270"/>
      <c r="S92" s="195" t="s">
        <v>250</v>
      </c>
      <c r="T92" s="198">
        <v>0.22754491017964071</v>
      </c>
      <c r="U92" s="198">
        <v>0.77245508982035926</v>
      </c>
      <c r="V92" s="198">
        <v>1</v>
      </c>
      <c r="W92" s="128"/>
    </row>
    <row r="93" spans="1:23" ht="20.25" customHeight="1" x14ac:dyDescent="0.25">
      <c r="A93" s="269"/>
      <c r="B93" s="269"/>
      <c r="C93" s="193" t="s">
        <v>268</v>
      </c>
      <c r="D93" s="197">
        <v>6.7183462532299745E-2</v>
      </c>
      <c r="E93" s="197">
        <v>0.18674698795180722</v>
      </c>
      <c r="F93" s="197">
        <v>0.10307414104882459</v>
      </c>
      <c r="G93" s="189"/>
      <c r="H93" s="188"/>
      <c r="I93" s="270"/>
      <c r="J93" s="270"/>
      <c r="K93" s="195" t="s">
        <v>268</v>
      </c>
      <c r="L93" s="198">
        <v>0.11538461538461538</v>
      </c>
      <c r="M93" s="198">
        <v>0.28823529411764703</v>
      </c>
      <c r="N93" s="198">
        <v>0.24774774774774774</v>
      </c>
      <c r="O93" s="190"/>
      <c r="P93" s="188"/>
      <c r="Q93" s="270"/>
      <c r="R93" s="270"/>
      <c r="S93" s="195" t="s">
        <v>268</v>
      </c>
      <c r="T93" s="198">
        <v>7.7393075356415472E-2</v>
      </c>
      <c r="U93" s="198">
        <v>0.25494071146245062</v>
      </c>
      <c r="V93" s="198">
        <v>0.16750250752256771</v>
      </c>
      <c r="W93" s="128"/>
    </row>
    <row r="94" spans="1:23" x14ac:dyDescent="0.25">
      <c r="A94" s="269"/>
      <c r="B94" s="269" t="s">
        <v>102</v>
      </c>
      <c r="C94" s="193" t="s">
        <v>96</v>
      </c>
      <c r="D94" s="194">
        <v>12</v>
      </c>
      <c r="E94" s="194">
        <v>19</v>
      </c>
      <c r="F94" s="194">
        <v>31</v>
      </c>
      <c r="G94" s="189"/>
      <c r="H94" s="188"/>
      <c r="I94" s="270"/>
      <c r="J94" s="270" t="s">
        <v>102</v>
      </c>
      <c r="K94" s="195" t="s">
        <v>96</v>
      </c>
      <c r="L94" s="196">
        <v>3</v>
      </c>
      <c r="M94" s="196">
        <v>58</v>
      </c>
      <c r="N94" s="196">
        <v>61</v>
      </c>
      <c r="O94" s="190"/>
      <c r="P94" s="188"/>
      <c r="Q94" s="270"/>
      <c r="R94" s="270" t="s">
        <v>102</v>
      </c>
      <c r="S94" s="195" t="s">
        <v>96</v>
      </c>
      <c r="T94" s="196">
        <v>15</v>
      </c>
      <c r="U94" s="196">
        <v>77</v>
      </c>
      <c r="V94" s="196">
        <v>92</v>
      </c>
      <c r="W94" s="128"/>
    </row>
    <row r="95" spans="1:23" ht="21.75" customHeight="1" x14ac:dyDescent="0.25">
      <c r="A95" s="269"/>
      <c r="B95" s="269"/>
      <c r="C95" s="193" t="s">
        <v>250</v>
      </c>
      <c r="D95" s="197">
        <v>0.38709677419354838</v>
      </c>
      <c r="E95" s="197">
        <v>0.61290322580645162</v>
      </c>
      <c r="F95" s="197">
        <v>1</v>
      </c>
      <c r="G95" s="189"/>
      <c r="H95" s="188"/>
      <c r="I95" s="270"/>
      <c r="J95" s="270"/>
      <c r="K95" s="195" t="s">
        <v>250</v>
      </c>
      <c r="L95" s="198">
        <v>4.9180327868852458E-2</v>
      </c>
      <c r="M95" s="198">
        <v>0.95081967213114749</v>
      </c>
      <c r="N95" s="198">
        <v>1</v>
      </c>
      <c r="O95" s="190"/>
      <c r="P95" s="188"/>
      <c r="Q95" s="270"/>
      <c r="R95" s="270"/>
      <c r="S95" s="195" t="s">
        <v>250</v>
      </c>
      <c r="T95" s="198">
        <v>0.16304347826086957</v>
      </c>
      <c r="U95" s="198">
        <v>0.83695652173913049</v>
      </c>
      <c r="V95" s="198">
        <v>1</v>
      </c>
      <c r="W95" s="128"/>
    </row>
    <row r="96" spans="1:23" ht="19.5" customHeight="1" x14ac:dyDescent="0.25">
      <c r="A96" s="269"/>
      <c r="B96" s="269"/>
      <c r="C96" s="193" t="s">
        <v>268</v>
      </c>
      <c r="D96" s="197">
        <v>3.1007751937984499E-2</v>
      </c>
      <c r="E96" s="197">
        <v>0.11445783132530121</v>
      </c>
      <c r="F96" s="197">
        <v>5.6057866184448454E-2</v>
      </c>
      <c r="G96" s="189"/>
      <c r="H96" s="188"/>
      <c r="I96" s="270"/>
      <c r="J96" s="270"/>
      <c r="K96" s="195" t="s">
        <v>268</v>
      </c>
      <c r="L96" s="198">
        <v>2.8846153846153844E-2</v>
      </c>
      <c r="M96" s="198">
        <v>0.17058823529411765</v>
      </c>
      <c r="N96" s="198">
        <v>0.1373873873873874</v>
      </c>
      <c r="O96" s="190"/>
      <c r="P96" s="188"/>
      <c r="Q96" s="270"/>
      <c r="R96" s="270"/>
      <c r="S96" s="195" t="s">
        <v>268</v>
      </c>
      <c r="T96" s="198">
        <v>3.0549898167006109E-2</v>
      </c>
      <c r="U96" s="198">
        <v>0.15217391304347827</v>
      </c>
      <c r="V96" s="198">
        <v>9.2276830491474421E-2</v>
      </c>
      <c r="W96" s="128"/>
    </row>
    <row r="97" spans="1:23" x14ac:dyDescent="0.25">
      <c r="A97" s="269"/>
      <c r="B97" s="269" t="s">
        <v>103</v>
      </c>
      <c r="C97" s="193" t="s">
        <v>96</v>
      </c>
      <c r="D97" s="194">
        <v>1</v>
      </c>
      <c r="E97" s="194">
        <v>8</v>
      </c>
      <c r="F97" s="194">
        <v>9</v>
      </c>
      <c r="G97" s="189"/>
      <c r="H97" s="188"/>
      <c r="I97" s="270"/>
      <c r="J97" s="270" t="s">
        <v>103</v>
      </c>
      <c r="K97" s="195" t="s">
        <v>96</v>
      </c>
      <c r="L97" s="196">
        <v>1</v>
      </c>
      <c r="M97" s="196">
        <v>28</v>
      </c>
      <c r="N97" s="196">
        <v>29</v>
      </c>
      <c r="O97" s="190"/>
      <c r="P97" s="188"/>
      <c r="Q97" s="270"/>
      <c r="R97" s="270" t="s">
        <v>103</v>
      </c>
      <c r="S97" s="195" t="s">
        <v>96</v>
      </c>
      <c r="T97" s="196">
        <v>2</v>
      </c>
      <c r="U97" s="196">
        <v>36</v>
      </c>
      <c r="V97" s="196">
        <v>38</v>
      </c>
      <c r="W97" s="128"/>
    </row>
    <row r="98" spans="1:23" ht="18" customHeight="1" x14ac:dyDescent="0.25">
      <c r="A98" s="269"/>
      <c r="B98" s="269"/>
      <c r="C98" s="193" t="s">
        <v>250</v>
      </c>
      <c r="D98" s="197">
        <v>0.1111111111111111</v>
      </c>
      <c r="E98" s="197">
        <v>0.88888888888888884</v>
      </c>
      <c r="F98" s="197">
        <v>1</v>
      </c>
      <c r="G98" s="189"/>
      <c r="H98" s="188"/>
      <c r="I98" s="270"/>
      <c r="J98" s="270"/>
      <c r="K98" s="195" t="s">
        <v>250</v>
      </c>
      <c r="L98" s="198">
        <v>3.4482758620689655E-2</v>
      </c>
      <c r="M98" s="198">
        <v>0.96551724137931028</v>
      </c>
      <c r="N98" s="198">
        <v>1</v>
      </c>
      <c r="O98" s="190"/>
      <c r="P98" s="188"/>
      <c r="Q98" s="270"/>
      <c r="R98" s="270"/>
      <c r="S98" s="195" t="s">
        <v>250</v>
      </c>
      <c r="T98" s="198">
        <v>5.2631578947368418E-2</v>
      </c>
      <c r="U98" s="198">
        <v>0.94736842105263153</v>
      </c>
      <c r="V98" s="198">
        <v>1</v>
      </c>
      <c r="W98" s="128"/>
    </row>
    <row r="99" spans="1:23" ht="21.75" customHeight="1" x14ac:dyDescent="0.25">
      <c r="A99" s="269"/>
      <c r="B99" s="269"/>
      <c r="C99" s="193" t="s">
        <v>268</v>
      </c>
      <c r="D99" s="199">
        <v>2.5839793281653752E-3</v>
      </c>
      <c r="E99" s="197">
        <v>4.8192771084337352E-2</v>
      </c>
      <c r="F99" s="197">
        <v>1.62748643761302E-2</v>
      </c>
      <c r="G99" s="189"/>
      <c r="H99" s="188"/>
      <c r="I99" s="270"/>
      <c r="J99" s="270"/>
      <c r="K99" s="195" t="s">
        <v>268</v>
      </c>
      <c r="L99" s="200">
        <v>9.6153846153846159E-3</v>
      </c>
      <c r="M99" s="198">
        <v>8.2352941176470573E-2</v>
      </c>
      <c r="N99" s="198">
        <v>6.5315315315315314E-2</v>
      </c>
      <c r="O99" s="190"/>
      <c r="P99" s="188"/>
      <c r="Q99" s="270"/>
      <c r="R99" s="270"/>
      <c r="S99" s="195" t="s">
        <v>268</v>
      </c>
      <c r="T99" s="200">
        <v>4.0733197556008143E-3</v>
      </c>
      <c r="U99" s="198">
        <v>7.1146245059288543E-2</v>
      </c>
      <c r="V99" s="198">
        <v>3.8114343029087262E-2</v>
      </c>
      <c r="W99" s="128"/>
    </row>
    <row r="100" spans="1:23" x14ac:dyDescent="0.25">
      <c r="A100" s="269" t="s">
        <v>93</v>
      </c>
      <c r="B100" s="269"/>
      <c r="C100" s="193" t="s">
        <v>96</v>
      </c>
      <c r="D100" s="194">
        <v>387</v>
      </c>
      <c r="E100" s="194">
        <v>166</v>
      </c>
      <c r="F100" s="194">
        <v>553</v>
      </c>
      <c r="G100" s="189"/>
      <c r="H100" s="188"/>
      <c r="I100" s="270" t="s">
        <v>93</v>
      </c>
      <c r="J100" s="270"/>
      <c r="K100" s="195" t="s">
        <v>96</v>
      </c>
      <c r="L100" s="196">
        <v>104</v>
      </c>
      <c r="M100" s="196">
        <v>340</v>
      </c>
      <c r="N100" s="196">
        <v>444</v>
      </c>
      <c r="O100" s="190"/>
      <c r="P100" s="188"/>
      <c r="Q100" s="270" t="s">
        <v>93</v>
      </c>
      <c r="R100" s="270"/>
      <c r="S100" s="195" t="s">
        <v>96</v>
      </c>
      <c r="T100" s="196">
        <v>491</v>
      </c>
      <c r="U100" s="196">
        <v>506</v>
      </c>
      <c r="V100" s="196">
        <v>997</v>
      </c>
      <c r="W100" s="128"/>
    </row>
    <row r="101" spans="1:23" ht="21.75" customHeight="1" x14ac:dyDescent="0.25">
      <c r="A101" s="269"/>
      <c r="B101" s="269"/>
      <c r="C101" s="193" t="s">
        <v>250</v>
      </c>
      <c r="D101" s="197">
        <v>0.69981916817359857</v>
      </c>
      <c r="E101" s="197">
        <v>0.30018083182640143</v>
      </c>
      <c r="F101" s="197">
        <v>1</v>
      </c>
      <c r="G101" s="189"/>
      <c r="H101" s="188"/>
      <c r="I101" s="270"/>
      <c r="J101" s="270"/>
      <c r="K101" s="195" t="s">
        <v>250</v>
      </c>
      <c r="L101" s="198">
        <v>0.23423423423423423</v>
      </c>
      <c r="M101" s="198">
        <v>0.76576576576576572</v>
      </c>
      <c r="N101" s="198">
        <v>1</v>
      </c>
      <c r="O101" s="190"/>
      <c r="P101" s="188"/>
      <c r="Q101" s="270"/>
      <c r="R101" s="270"/>
      <c r="S101" s="195" t="s">
        <v>250</v>
      </c>
      <c r="T101" s="198">
        <v>0.49247743229689062</v>
      </c>
      <c r="U101" s="198">
        <v>0.50752256770310933</v>
      </c>
      <c r="V101" s="198">
        <v>1</v>
      </c>
      <c r="W101" s="128"/>
    </row>
    <row r="102" spans="1:23" ht="20.25" customHeight="1" x14ac:dyDescent="0.25">
      <c r="A102" s="269"/>
      <c r="B102" s="269"/>
      <c r="C102" s="193" t="s">
        <v>268</v>
      </c>
      <c r="D102" s="197">
        <v>1</v>
      </c>
      <c r="E102" s="197">
        <v>1</v>
      </c>
      <c r="F102" s="197">
        <v>1</v>
      </c>
      <c r="G102" s="189"/>
      <c r="H102" s="188"/>
      <c r="I102" s="270"/>
      <c r="J102" s="270"/>
      <c r="K102" s="195" t="s">
        <v>268</v>
      </c>
      <c r="L102" s="198">
        <v>1</v>
      </c>
      <c r="M102" s="198">
        <v>1</v>
      </c>
      <c r="N102" s="198">
        <v>1</v>
      </c>
      <c r="O102" s="190"/>
      <c r="P102" s="188"/>
      <c r="Q102" s="270"/>
      <c r="R102" s="270"/>
      <c r="S102" s="195" t="s">
        <v>268</v>
      </c>
      <c r="T102" s="198">
        <v>1</v>
      </c>
      <c r="U102" s="198">
        <v>1</v>
      </c>
      <c r="V102" s="198">
        <v>1</v>
      </c>
      <c r="W102" s="128"/>
    </row>
    <row r="103" spans="1:23" s="20" customFormat="1" ht="23.25" x14ac:dyDescent="0.35">
      <c r="A103" s="223" t="s">
        <v>272</v>
      </c>
      <c r="B103" s="201"/>
      <c r="C103" s="201"/>
      <c r="D103" s="201"/>
      <c r="E103" s="201"/>
      <c r="F103" s="201"/>
      <c r="G103" s="201"/>
      <c r="H103" s="202"/>
      <c r="I103" s="203"/>
      <c r="J103" s="203"/>
      <c r="K103" s="203"/>
      <c r="L103" s="203"/>
      <c r="M103" s="203"/>
      <c r="N103" s="203"/>
      <c r="O103" s="203"/>
      <c r="P103" s="202"/>
      <c r="Q103" s="224" t="s">
        <v>253</v>
      </c>
      <c r="R103" s="203"/>
      <c r="S103" s="203"/>
      <c r="T103" s="203"/>
      <c r="U103" s="203"/>
      <c r="V103" s="203"/>
      <c r="W103" s="128"/>
    </row>
    <row r="104" spans="1:23" s="20" customFormat="1" ht="18.75" x14ac:dyDescent="0.3">
      <c r="A104" s="224" t="s">
        <v>91</v>
      </c>
      <c r="B104" s="201"/>
      <c r="C104" s="201"/>
      <c r="D104" s="201"/>
      <c r="E104" s="201"/>
      <c r="F104" s="201"/>
      <c r="G104" s="201"/>
      <c r="H104" s="202"/>
      <c r="I104" s="224" t="s">
        <v>263</v>
      </c>
      <c r="J104" s="203"/>
      <c r="K104" s="203"/>
      <c r="L104" s="203"/>
      <c r="M104" s="203"/>
      <c r="N104" s="203"/>
      <c r="O104" s="203"/>
      <c r="P104" s="202"/>
      <c r="Q104" s="224" t="s">
        <v>280</v>
      </c>
      <c r="R104" s="203"/>
      <c r="S104" s="203"/>
      <c r="T104" s="203"/>
      <c r="U104" s="203"/>
      <c r="V104" s="203"/>
      <c r="W104" s="128"/>
    </row>
    <row r="105" spans="1:23" x14ac:dyDescent="0.25">
      <c r="A105" s="271" t="s">
        <v>269</v>
      </c>
      <c r="B105" s="271"/>
      <c r="C105" s="271"/>
      <c r="D105" s="271"/>
      <c r="E105" s="271"/>
      <c r="F105" s="271"/>
      <c r="G105" s="201"/>
      <c r="H105" s="202"/>
      <c r="I105" s="272" t="s">
        <v>269</v>
      </c>
      <c r="J105" s="272"/>
      <c r="K105" s="272"/>
      <c r="L105" s="272"/>
      <c r="M105" s="272"/>
      <c r="N105" s="272"/>
      <c r="O105" s="203"/>
      <c r="P105" s="202"/>
      <c r="Q105" s="272" t="s">
        <v>269</v>
      </c>
      <c r="R105" s="272"/>
      <c r="S105" s="272"/>
      <c r="T105" s="272"/>
      <c r="U105" s="272"/>
      <c r="V105" s="272"/>
      <c r="W105" s="128"/>
    </row>
    <row r="106" spans="1:23" x14ac:dyDescent="0.25">
      <c r="A106" s="267" t="s">
        <v>247</v>
      </c>
      <c r="B106" s="267"/>
      <c r="C106" s="267"/>
      <c r="D106" s="268" t="s">
        <v>265</v>
      </c>
      <c r="E106" s="268"/>
      <c r="F106" s="268" t="s">
        <v>93</v>
      </c>
      <c r="G106" s="201"/>
      <c r="H106" s="202"/>
      <c r="I106" s="265" t="s">
        <v>247</v>
      </c>
      <c r="J106" s="265"/>
      <c r="K106" s="265"/>
      <c r="L106" s="266" t="s">
        <v>265</v>
      </c>
      <c r="M106" s="266"/>
      <c r="N106" s="266" t="s">
        <v>93</v>
      </c>
      <c r="O106" s="203"/>
      <c r="P106" s="202"/>
      <c r="Q106" s="265" t="s">
        <v>247</v>
      </c>
      <c r="R106" s="265"/>
      <c r="S106" s="265"/>
      <c r="T106" s="266" t="s">
        <v>265</v>
      </c>
      <c r="U106" s="266"/>
      <c r="V106" s="266" t="s">
        <v>93</v>
      </c>
      <c r="W106" s="128"/>
    </row>
    <row r="107" spans="1:23" ht="24.75" x14ac:dyDescent="0.25">
      <c r="A107" s="267"/>
      <c r="B107" s="267"/>
      <c r="C107" s="267"/>
      <c r="D107" s="204" t="s">
        <v>266</v>
      </c>
      <c r="E107" s="204" t="s">
        <v>267</v>
      </c>
      <c r="F107" s="268"/>
      <c r="G107" s="201"/>
      <c r="H107" s="202"/>
      <c r="I107" s="265"/>
      <c r="J107" s="265"/>
      <c r="K107" s="265"/>
      <c r="L107" s="205" t="s">
        <v>266</v>
      </c>
      <c r="M107" s="205" t="s">
        <v>267</v>
      </c>
      <c r="N107" s="266"/>
      <c r="O107" s="203"/>
      <c r="P107" s="202"/>
      <c r="Q107" s="265"/>
      <c r="R107" s="265"/>
      <c r="S107" s="265"/>
      <c r="T107" s="205" t="s">
        <v>266</v>
      </c>
      <c r="U107" s="205" t="s">
        <v>267</v>
      </c>
      <c r="V107" s="266"/>
      <c r="W107" s="128"/>
    </row>
    <row r="108" spans="1:23" x14ac:dyDescent="0.25">
      <c r="A108" s="261" t="s">
        <v>255</v>
      </c>
      <c r="B108" s="264" t="s">
        <v>256</v>
      </c>
      <c r="C108" s="206" t="s">
        <v>96</v>
      </c>
      <c r="D108" s="207">
        <v>337</v>
      </c>
      <c r="E108" s="207">
        <v>104</v>
      </c>
      <c r="F108" s="207">
        <v>441</v>
      </c>
      <c r="G108" s="201"/>
      <c r="H108" s="202"/>
      <c r="I108" s="262" t="s">
        <v>255</v>
      </c>
      <c r="J108" s="263" t="s">
        <v>256</v>
      </c>
      <c r="K108" s="208" t="s">
        <v>96</v>
      </c>
      <c r="L108" s="209">
        <v>87</v>
      </c>
      <c r="M108" s="209">
        <v>155</v>
      </c>
      <c r="N108" s="209">
        <v>242</v>
      </c>
      <c r="O108" s="203"/>
      <c r="P108" s="202"/>
      <c r="Q108" s="262" t="s">
        <v>255</v>
      </c>
      <c r="R108" s="263" t="s">
        <v>256</v>
      </c>
      <c r="S108" s="208" t="s">
        <v>96</v>
      </c>
      <c r="T108" s="209">
        <v>424</v>
      </c>
      <c r="U108" s="209">
        <v>259</v>
      </c>
      <c r="V108" s="209">
        <v>683</v>
      </c>
      <c r="W108" s="128"/>
    </row>
    <row r="109" spans="1:23" ht="18.75" customHeight="1" x14ac:dyDescent="0.25">
      <c r="A109" s="261"/>
      <c r="B109" s="261"/>
      <c r="C109" s="206" t="s">
        <v>257</v>
      </c>
      <c r="D109" s="210">
        <v>0.76417233560090703</v>
      </c>
      <c r="E109" s="210">
        <v>0.23582766439909297</v>
      </c>
      <c r="F109" s="210">
        <v>1</v>
      </c>
      <c r="G109" s="201"/>
      <c r="H109" s="202"/>
      <c r="I109" s="262"/>
      <c r="J109" s="262"/>
      <c r="K109" s="208" t="s">
        <v>257</v>
      </c>
      <c r="L109" s="211">
        <v>0.35950413223140498</v>
      </c>
      <c r="M109" s="211">
        <v>0.64049586776859502</v>
      </c>
      <c r="N109" s="211">
        <v>1</v>
      </c>
      <c r="O109" s="203"/>
      <c r="P109" s="202"/>
      <c r="Q109" s="262"/>
      <c r="R109" s="262"/>
      <c r="S109" s="208" t="s">
        <v>257</v>
      </c>
      <c r="T109" s="211">
        <v>0.62079062957540265</v>
      </c>
      <c r="U109" s="211">
        <v>0.37920937042459735</v>
      </c>
      <c r="V109" s="211">
        <v>1</v>
      </c>
      <c r="W109" s="128"/>
    </row>
    <row r="110" spans="1:23" ht="20.25" customHeight="1" x14ac:dyDescent="0.25">
      <c r="A110" s="261"/>
      <c r="B110" s="261"/>
      <c r="C110" s="206" t="s">
        <v>268</v>
      </c>
      <c r="D110" s="210">
        <v>0.85969387755102045</v>
      </c>
      <c r="E110" s="210">
        <v>0.61176470588235299</v>
      </c>
      <c r="F110" s="210">
        <v>0.78469750889679712</v>
      </c>
      <c r="G110" s="201"/>
      <c r="H110" s="202"/>
      <c r="I110" s="262"/>
      <c r="J110" s="262"/>
      <c r="K110" s="208" t="s">
        <v>268</v>
      </c>
      <c r="L110" s="211">
        <v>0.820754716981132</v>
      </c>
      <c r="M110" s="211">
        <v>0.44285714285714284</v>
      </c>
      <c r="N110" s="211">
        <v>0.5307017543859649</v>
      </c>
      <c r="O110" s="203"/>
      <c r="P110" s="202"/>
      <c r="Q110" s="262"/>
      <c r="R110" s="262"/>
      <c r="S110" s="208" t="s">
        <v>268</v>
      </c>
      <c r="T110" s="211">
        <v>0.85140562248995988</v>
      </c>
      <c r="U110" s="211">
        <v>0.49807692307692308</v>
      </c>
      <c r="V110" s="211">
        <v>0.67092337917485267</v>
      </c>
      <c r="W110" s="128"/>
    </row>
    <row r="111" spans="1:23" x14ac:dyDescent="0.25">
      <c r="A111" s="261"/>
      <c r="B111" s="264" t="s">
        <v>258</v>
      </c>
      <c r="C111" s="206" t="s">
        <v>96</v>
      </c>
      <c r="D111" s="207">
        <v>15</v>
      </c>
      <c r="E111" s="207">
        <v>10</v>
      </c>
      <c r="F111" s="207">
        <v>25</v>
      </c>
      <c r="G111" s="201"/>
      <c r="H111" s="202"/>
      <c r="I111" s="262"/>
      <c r="J111" s="263" t="s">
        <v>258</v>
      </c>
      <c r="K111" s="208" t="s">
        <v>96</v>
      </c>
      <c r="L111" s="209">
        <v>7</v>
      </c>
      <c r="M111" s="209">
        <v>30</v>
      </c>
      <c r="N111" s="209">
        <v>37</v>
      </c>
      <c r="O111" s="203"/>
      <c r="P111" s="202"/>
      <c r="Q111" s="262"/>
      <c r="R111" s="263" t="s">
        <v>258</v>
      </c>
      <c r="S111" s="208" t="s">
        <v>96</v>
      </c>
      <c r="T111" s="209">
        <v>22</v>
      </c>
      <c r="U111" s="209">
        <v>40</v>
      </c>
      <c r="V111" s="209">
        <v>62</v>
      </c>
      <c r="W111" s="128"/>
    </row>
    <row r="112" spans="1:23" ht="18.75" customHeight="1" x14ac:dyDescent="0.25">
      <c r="A112" s="261"/>
      <c r="B112" s="261"/>
      <c r="C112" s="206" t="s">
        <v>257</v>
      </c>
      <c r="D112" s="210">
        <v>0.6</v>
      </c>
      <c r="E112" s="210">
        <v>0.4</v>
      </c>
      <c r="F112" s="210">
        <v>1</v>
      </c>
      <c r="G112" s="201"/>
      <c r="H112" s="202"/>
      <c r="I112" s="262"/>
      <c r="J112" s="262"/>
      <c r="K112" s="208" t="s">
        <v>257</v>
      </c>
      <c r="L112" s="211">
        <v>0.1891891891891892</v>
      </c>
      <c r="M112" s="211">
        <v>0.81081081081081086</v>
      </c>
      <c r="N112" s="211">
        <v>1</v>
      </c>
      <c r="O112" s="203"/>
      <c r="P112" s="202"/>
      <c r="Q112" s="262"/>
      <c r="R112" s="262"/>
      <c r="S112" s="208" t="s">
        <v>257</v>
      </c>
      <c r="T112" s="211">
        <v>0.35483870967741937</v>
      </c>
      <c r="U112" s="211">
        <v>0.64516129032258063</v>
      </c>
      <c r="V112" s="211">
        <v>1</v>
      </c>
      <c r="W112" s="128"/>
    </row>
    <row r="113" spans="1:23" ht="18.75" customHeight="1" x14ac:dyDescent="0.25">
      <c r="A113" s="261"/>
      <c r="B113" s="261"/>
      <c r="C113" s="206" t="s">
        <v>268</v>
      </c>
      <c r="D113" s="210">
        <v>3.826530612244898E-2</v>
      </c>
      <c r="E113" s="210">
        <v>5.8823529411764698E-2</v>
      </c>
      <c r="F113" s="210">
        <v>4.4483985765124558E-2</v>
      </c>
      <c r="G113" s="201"/>
      <c r="H113" s="202"/>
      <c r="I113" s="262"/>
      <c r="J113" s="262"/>
      <c r="K113" s="208" t="s">
        <v>268</v>
      </c>
      <c r="L113" s="211">
        <v>6.6037735849056603E-2</v>
      </c>
      <c r="M113" s="211">
        <v>8.5714285714285715E-2</v>
      </c>
      <c r="N113" s="211">
        <v>8.1140350877192985E-2</v>
      </c>
      <c r="O113" s="203"/>
      <c r="P113" s="202"/>
      <c r="Q113" s="262"/>
      <c r="R113" s="262"/>
      <c r="S113" s="208" t="s">
        <v>268</v>
      </c>
      <c r="T113" s="211">
        <v>4.4176706827309238E-2</v>
      </c>
      <c r="U113" s="211">
        <v>7.6923076923076927E-2</v>
      </c>
      <c r="V113" s="211">
        <v>6.0903732809430261E-2</v>
      </c>
      <c r="W113" s="128"/>
    </row>
    <row r="114" spans="1:23" x14ac:dyDescent="0.25">
      <c r="A114" s="261"/>
      <c r="B114" s="264" t="s">
        <v>259</v>
      </c>
      <c r="C114" s="206" t="s">
        <v>96</v>
      </c>
      <c r="D114" s="207">
        <v>32</v>
      </c>
      <c r="E114" s="207">
        <v>39</v>
      </c>
      <c r="F114" s="207">
        <v>71</v>
      </c>
      <c r="G114" s="201"/>
      <c r="H114" s="202"/>
      <c r="I114" s="262"/>
      <c r="J114" s="263" t="s">
        <v>259</v>
      </c>
      <c r="K114" s="208" t="s">
        <v>96</v>
      </c>
      <c r="L114" s="209">
        <v>12</v>
      </c>
      <c r="M114" s="209">
        <v>97</v>
      </c>
      <c r="N114" s="209">
        <v>109</v>
      </c>
      <c r="O114" s="203"/>
      <c r="P114" s="202"/>
      <c r="Q114" s="262"/>
      <c r="R114" s="263" t="s">
        <v>259</v>
      </c>
      <c r="S114" s="208" t="s">
        <v>96</v>
      </c>
      <c r="T114" s="209">
        <v>44</v>
      </c>
      <c r="U114" s="209">
        <v>136</v>
      </c>
      <c r="V114" s="209">
        <v>180</v>
      </c>
      <c r="W114" s="128"/>
    </row>
    <row r="115" spans="1:23" ht="23.25" customHeight="1" x14ac:dyDescent="0.25">
      <c r="A115" s="261"/>
      <c r="B115" s="261"/>
      <c r="C115" s="206" t="s">
        <v>257</v>
      </c>
      <c r="D115" s="210">
        <v>0.45070422535211274</v>
      </c>
      <c r="E115" s="210">
        <v>0.54929577464788737</v>
      </c>
      <c r="F115" s="210">
        <v>1</v>
      </c>
      <c r="G115" s="201"/>
      <c r="H115" s="202"/>
      <c r="I115" s="262"/>
      <c r="J115" s="262"/>
      <c r="K115" s="208" t="s">
        <v>257</v>
      </c>
      <c r="L115" s="211">
        <v>0.11009174311926608</v>
      </c>
      <c r="M115" s="211">
        <v>0.88990825688073405</v>
      </c>
      <c r="N115" s="211">
        <v>1</v>
      </c>
      <c r="O115" s="203"/>
      <c r="P115" s="202"/>
      <c r="Q115" s="262"/>
      <c r="R115" s="262"/>
      <c r="S115" s="208" t="s">
        <v>257</v>
      </c>
      <c r="T115" s="211">
        <v>0.24444444444444444</v>
      </c>
      <c r="U115" s="211">
        <v>0.75555555555555554</v>
      </c>
      <c r="V115" s="211">
        <v>1</v>
      </c>
      <c r="W115" s="128"/>
    </row>
    <row r="116" spans="1:23" ht="20.25" customHeight="1" x14ac:dyDescent="0.25">
      <c r="A116" s="261"/>
      <c r="B116" s="261"/>
      <c r="C116" s="206" t="s">
        <v>268</v>
      </c>
      <c r="D116" s="210">
        <v>8.1632653061224497E-2</v>
      </c>
      <c r="E116" s="210">
        <v>0.22941176470588234</v>
      </c>
      <c r="F116" s="210">
        <v>0.12633451957295375</v>
      </c>
      <c r="G116" s="201"/>
      <c r="H116" s="202"/>
      <c r="I116" s="262"/>
      <c r="J116" s="262"/>
      <c r="K116" s="208" t="s">
        <v>268</v>
      </c>
      <c r="L116" s="211">
        <v>0.11320754716981134</v>
      </c>
      <c r="M116" s="211">
        <v>0.27714285714285714</v>
      </c>
      <c r="N116" s="211">
        <v>0.23903508771929827</v>
      </c>
      <c r="O116" s="203"/>
      <c r="P116" s="202"/>
      <c r="Q116" s="262"/>
      <c r="R116" s="262"/>
      <c r="S116" s="208" t="s">
        <v>268</v>
      </c>
      <c r="T116" s="211">
        <v>8.8353413654618476E-2</v>
      </c>
      <c r="U116" s="211">
        <v>0.26153846153846155</v>
      </c>
      <c r="V116" s="211">
        <v>0.17681728880157169</v>
      </c>
      <c r="W116" s="128"/>
    </row>
    <row r="117" spans="1:23" x14ac:dyDescent="0.25">
      <c r="A117" s="261"/>
      <c r="B117" s="264" t="s">
        <v>260</v>
      </c>
      <c r="C117" s="206" t="s">
        <v>96</v>
      </c>
      <c r="D117" s="207">
        <v>6</v>
      </c>
      <c r="E117" s="207">
        <v>9</v>
      </c>
      <c r="F117" s="207">
        <v>15</v>
      </c>
      <c r="G117" s="201"/>
      <c r="H117" s="202"/>
      <c r="I117" s="262"/>
      <c r="J117" s="263" t="s">
        <v>260</v>
      </c>
      <c r="K117" s="208" t="s">
        <v>96</v>
      </c>
      <c r="L117" s="209">
        <v>0</v>
      </c>
      <c r="M117" s="209">
        <v>32</v>
      </c>
      <c r="N117" s="209">
        <v>32</v>
      </c>
      <c r="O117" s="203"/>
      <c r="P117" s="202"/>
      <c r="Q117" s="262"/>
      <c r="R117" s="263" t="s">
        <v>260</v>
      </c>
      <c r="S117" s="208" t="s">
        <v>96</v>
      </c>
      <c r="T117" s="209">
        <v>6</v>
      </c>
      <c r="U117" s="209">
        <v>41</v>
      </c>
      <c r="V117" s="209">
        <v>47</v>
      </c>
      <c r="W117" s="128"/>
    </row>
    <row r="118" spans="1:23" ht="19.5" customHeight="1" x14ac:dyDescent="0.25">
      <c r="A118" s="261"/>
      <c r="B118" s="261"/>
      <c r="C118" s="206" t="s">
        <v>257</v>
      </c>
      <c r="D118" s="210">
        <v>0.4</v>
      </c>
      <c r="E118" s="210">
        <v>0.6</v>
      </c>
      <c r="F118" s="210">
        <v>1</v>
      </c>
      <c r="G118" s="201"/>
      <c r="H118" s="202"/>
      <c r="I118" s="262"/>
      <c r="J118" s="262"/>
      <c r="K118" s="208" t="s">
        <v>257</v>
      </c>
      <c r="L118" s="211">
        <v>0</v>
      </c>
      <c r="M118" s="211">
        <v>1</v>
      </c>
      <c r="N118" s="211">
        <v>1</v>
      </c>
      <c r="O118" s="203"/>
      <c r="P118" s="202"/>
      <c r="Q118" s="262"/>
      <c r="R118" s="262"/>
      <c r="S118" s="208" t="s">
        <v>257</v>
      </c>
      <c r="T118" s="211">
        <v>0.1276595744680851</v>
      </c>
      <c r="U118" s="211">
        <v>0.87234042553191504</v>
      </c>
      <c r="V118" s="211">
        <v>1</v>
      </c>
      <c r="W118" s="128"/>
    </row>
    <row r="119" spans="1:23" ht="22.5" customHeight="1" x14ac:dyDescent="0.25">
      <c r="A119" s="261"/>
      <c r="B119" s="261"/>
      <c r="C119" s="206" t="s">
        <v>268</v>
      </c>
      <c r="D119" s="210">
        <v>1.5306122448979591E-2</v>
      </c>
      <c r="E119" s="210">
        <v>5.2941176470588235E-2</v>
      </c>
      <c r="F119" s="210">
        <v>2.6690391459074734E-2</v>
      </c>
      <c r="G119" s="201"/>
      <c r="H119" s="202"/>
      <c r="I119" s="262"/>
      <c r="J119" s="262"/>
      <c r="K119" s="208" t="s">
        <v>268</v>
      </c>
      <c r="L119" s="211">
        <v>0</v>
      </c>
      <c r="M119" s="211">
        <v>9.1428571428571428E-2</v>
      </c>
      <c r="N119" s="211">
        <v>7.0175438596491224E-2</v>
      </c>
      <c r="O119" s="203"/>
      <c r="P119" s="202"/>
      <c r="Q119" s="262"/>
      <c r="R119" s="262"/>
      <c r="S119" s="208" t="s">
        <v>268</v>
      </c>
      <c r="T119" s="211">
        <v>1.2048192771084338E-2</v>
      </c>
      <c r="U119" s="211">
        <v>7.8846153846153844E-2</v>
      </c>
      <c r="V119" s="211">
        <v>4.6168958742632611E-2</v>
      </c>
      <c r="W119" s="128"/>
    </row>
    <row r="120" spans="1:23" x14ac:dyDescent="0.25">
      <c r="A120" s="261"/>
      <c r="B120" s="264" t="s">
        <v>261</v>
      </c>
      <c r="C120" s="206" t="s">
        <v>96</v>
      </c>
      <c r="D120" s="207">
        <v>2</v>
      </c>
      <c r="E120" s="207">
        <v>8</v>
      </c>
      <c r="F120" s="207">
        <v>10</v>
      </c>
      <c r="G120" s="201"/>
      <c r="H120" s="202"/>
      <c r="I120" s="262"/>
      <c r="J120" s="263" t="s">
        <v>261</v>
      </c>
      <c r="K120" s="208" t="s">
        <v>96</v>
      </c>
      <c r="L120" s="209">
        <v>0</v>
      </c>
      <c r="M120" s="209">
        <v>36</v>
      </c>
      <c r="N120" s="209">
        <v>36</v>
      </c>
      <c r="O120" s="203"/>
      <c r="P120" s="202"/>
      <c r="Q120" s="262"/>
      <c r="R120" s="263" t="s">
        <v>261</v>
      </c>
      <c r="S120" s="208" t="s">
        <v>96</v>
      </c>
      <c r="T120" s="209">
        <v>2</v>
      </c>
      <c r="U120" s="209">
        <v>44</v>
      </c>
      <c r="V120" s="209">
        <v>46</v>
      </c>
      <c r="W120" s="128"/>
    </row>
    <row r="121" spans="1:23" ht="21" customHeight="1" x14ac:dyDescent="0.25">
      <c r="A121" s="261"/>
      <c r="B121" s="261"/>
      <c r="C121" s="206" t="s">
        <v>257</v>
      </c>
      <c r="D121" s="210">
        <v>0.2</v>
      </c>
      <c r="E121" s="210">
        <v>0.8</v>
      </c>
      <c r="F121" s="210">
        <v>1</v>
      </c>
      <c r="G121" s="201"/>
      <c r="H121" s="202"/>
      <c r="I121" s="262"/>
      <c r="J121" s="262"/>
      <c r="K121" s="208" t="s">
        <v>257</v>
      </c>
      <c r="L121" s="211">
        <v>0</v>
      </c>
      <c r="M121" s="211">
        <v>1</v>
      </c>
      <c r="N121" s="211">
        <v>1</v>
      </c>
      <c r="O121" s="203"/>
      <c r="P121" s="202"/>
      <c r="Q121" s="262"/>
      <c r="R121" s="262"/>
      <c r="S121" s="208" t="s">
        <v>257</v>
      </c>
      <c r="T121" s="211">
        <v>4.3478260869565216E-2</v>
      </c>
      <c r="U121" s="211">
        <v>0.95652173913043481</v>
      </c>
      <c r="V121" s="211">
        <v>1</v>
      </c>
      <c r="W121" s="128"/>
    </row>
    <row r="122" spans="1:23" ht="21.75" customHeight="1" x14ac:dyDescent="0.25">
      <c r="A122" s="261"/>
      <c r="B122" s="261"/>
      <c r="C122" s="206" t="s">
        <v>268</v>
      </c>
      <c r="D122" s="212">
        <v>5.1020408163265311E-3</v>
      </c>
      <c r="E122" s="210">
        <v>4.7058823529411764E-2</v>
      </c>
      <c r="F122" s="210">
        <v>1.7793594306049824E-2</v>
      </c>
      <c r="G122" s="201"/>
      <c r="H122" s="202"/>
      <c r="I122" s="262"/>
      <c r="J122" s="262"/>
      <c r="K122" s="208" t="s">
        <v>268</v>
      </c>
      <c r="L122" s="211">
        <v>0</v>
      </c>
      <c r="M122" s="211">
        <v>0.10285714285714284</v>
      </c>
      <c r="N122" s="211">
        <v>7.8947368421052627E-2</v>
      </c>
      <c r="O122" s="203"/>
      <c r="P122" s="202"/>
      <c r="Q122" s="262"/>
      <c r="R122" s="262"/>
      <c r="S122" s="208" t="s">
        <v>268</v>
      </c>
      <c r="T122" s="213">
        <v>4.0160642570281121E-3</v>
      </c>
      <c r="U122" s="211">
        <v>8.461538461538462E-2</v>
      </c>
      <c r="V122" s="211">
        <v>4.518664047151278E-2</v>
      </c>
      <c r="W122" s="128"/>
    </row>
    <row r="123" spans="1:23" x14ac:dyDescent="0.25">
      <c r="A123" s="261" t="s">
        <v>93</v>
      </c>
      <c r="B123" s="261"/>
      <c r="C123" s="206" t="s">
        <v>96</v>
      </c>
      <c r="D123" s="207">
        <v>392</v>
      </c>
      <c r="E123" s="207">
        <v>170</v>
      </c>
      <c r="F123" s="207">
        <v>562</v>
      </c>
      <c r="G123" s="201"/>
      <c r="H123" s="202"/>
      <c r="I123" s="262" t="s">
        <v>93</v>
      </c>
      <c r="J123" s="262"/>
      <c r="K123" s="208" t="s">
        <v>96</v>
      </c>
      <c r="L123" s="209">
        <v>106</v>
      </c>
      <c r="M123" s="209">
        <v>350</v>
      </c>
      <c r="N123" s="209">
        <v>456</v>
      </c>
      <c r="O123" s="203"/>
      <c r="P123" s="202"/>
      <c r="Q123" s="262" t="s">
        <v>93</v>
      </c>
      <c r="R123" s="262"/>
      <c r="S123" s="208" t="s">
        <v>96</v>
      </c>
      <c r="T123" s="209">
        <v>498</v>
      </c>
      <c r="U123" s="209">
        <v>520</v>
      </c>
      <c r="V123" s="209">
        <v>1018</v>
      </c>
      <c r="W123" s="128"/>
    </row>
    <row r="124" spans="1:23" ht="23.25" customHeight="1" x14ac:dyDescent="0.25">
      <c r="A124" s="261"/>
      <c r="B124" s="261"/>
      <c r="C124" s="206" t="s">
        <v>257</v>
      </c>
      <c r="D124" s="210">
        <v>0.697508896797153</v>
      </c>
      <c r="E124" s="210">
        <v>0.302491103202847</v>
      </c>
      <c r="F124" s="210">
        <v>1</v>
      </c>
      <c r="G124" s="201"/>
      <c r="H124" s="202"/>
      <c r="I124" s="262"/>
      <c r="J124" s="262"/>
      <c r="K124" s="208" t="s">
        <v>257</v>
      </c>
      <c r="L124" s="211">
        <v>0.23245614035087719</v>
      </c>
      <c r="M124" s="211">
        <v>0.76754385964912286</v>
      </c>
      <c r="N124" s="211">
        <v>1</v>
      </c>
      <c r="O124" s="203"/>
      <c r="P124" s="202"/>
      <c r="Q124" s="262"/>
      <c r="R124" s="262"/>
      <c r="S124" s="208" t="s">
        <v>257</v>
      </c>
      <c r="T124" s="211">
        <v>0.48919449901768175</v>
      </c>
      <c r="U124" s="211">
        <v>0.51080550098231825</v>
      </c>
      <c r="V124" s="211">
        <v>1</v>
      </c>
      <c r="W124" s="128"/>
    </row>
    <row r="125" spans="1:23" ht="22.5" customHeight="1" x14ac:dyDescent="0.25">
      <c r="A125" s="261"/>
      <c r="B125" s="261"/>
      <c r="C125" s="206" t="s">
        <v>268</v>
      </c>
      <c r="D125" s="210">
        <v>1</v>
      </c>
      <c r="E125" s="210">
        <v>1</v>
      </c>
      <c r="F125" s="210">
        <v>1</v>
      </c>
      <c r="G125" s="201"/>
      <c r="H125" s="202"/>
      <c r="I125" s="262"/>
      <c r="J125" s="262"/>
      <c r="K125" s="208" t="s">
        <v>268</v>
      </c>
      <c r="L125" s="211">
        <v>1</v>
      </c>
      <c r="M125" s="211">
        <v>1</v>
      </c>
      <c r="N125" s="211">
        <v>1</v>
      </c>
      <c r="O125" s="203"/>
      <c r="P125" s="202"/>
      <c r="Q125" s="262"/>
      <c r="R125" s="262"/>
      <c r="S125" s="208" t="s">
        <v>268</v>
      </c>
      <c r="T125" s="211">
        <v>1</v>
      </c>
      <c r="U125" s="211">
        <v>1</v>
      </c>
      <c r="V125" s="211">
        <v>1</v>
      </c>
      <c r="W125" s="128"/>
    </row>
  </sheetData>
  <sheetProtection password="DF05" sheet="1" objects="1" scenarios="1"/>
  <mergeCells count="110">
    <mergeCell ref="A30:F30"/>
    <mergeCell ref="A31:C32"/>
    <mergeCell ref="D31:E31"/>
    <mergeCell ref="F31:F32"/>
    <mergeCell ref="A33:A47"/>
    <mergeCell ref="B33:B35"/>
    <mergeCell ref="B36:B38"/>
    <mergeCell ref="B39:B41"/>
    <mergeCell ref="B42:B44"/>
    <mergeCell ref="B45:B47"/>
    <mergeCell ref="A48:B50"/>
    <mergeCell ref="A55:F55"/>
    <mergeCell ref="I55:N55"/>
    <mergeCell ref="Q55:V55"/>
    <mergeCell ref="A56:C57"/>
    <mergeCell ref="D56:E56"/>
    <mergeCell ref="F56:F57"/>
    <mergeCell ref="I56:K57"/>
    <mergeCell ref="L56:M56"/>
    <mergeCell ref="N56:N57"/>
    <mergeCell ref="Q56:S57"/>
    <mergeCell ref="T56:U56"/>
    <mergeCell ref="V56:V57"/>
    <mergeCell ref="A73:B75"/>
    <mergeCell ref="I73:J75"/>
    <mergeCell ref="Q73:R75"/>
    <mergeCell ref="J61:J63"/>
    <mergeCell ref="R61:R63"/>
    <mergeCell ref="B64:B66"/>
    <mergeCell ref="J64:J66"/>
    <mergeCell ref="R64:R66"/>
    <mergeCell ref="B67:B69"/>
    <mergeCell ref="J67:J69"/>
    <mergeCell ref="R67:R69"/>
    <mergeCell ref="A58:A72"/>
    <mergeCell ref="B58:B60"/>
    <mergeCell ref="I58:I72"/>
    <mergeCell ref="J58:J60"/>
    <mergeCell ref="Q58:Q72"/>
    <mergeCell ref="R58:R60"/>
    <mergeCell ref="B61:B63"/>
    <mergeCell ref="B70:B72"/>
    <mergeCell ref="J70:J72"/>
    <mergeCell ref="R70:R72"/>
    <mergeCell ref="V83:V84"/>
    <mergeCell ref="A85:A99"/>
    <mergeCell ref="B85:B87"/>
    <mergeCell ref="I85:I99"/>
    <mergeCell ref="J85:J87"/>
    <mergeCell ref="Q85:Q99"/>
    <mergeCell ref="R85:R87"/>
    <mergeCell ref="A82:F82"/>
    <mergeCell ref="I82:N82"/>
    <mergeCell ref="Q82:V82"/>
    <mergeCell ref="A83:C84"/>
    <mergeCell ref="D83:E83"/>
    <mergeCell ref="F83:F84"/>
    <mergeCell ref="I83:K84"/>
    <mergeCell ref="L83:M83"/>
    <mergeCell ref="B88:B90"/>
    <mergeCell ref="J88:J90"/>
    <mergeCell ref="R88:R90"/>
    <mergeCell ref="B91:B93"/>
    <mergeCell ref="J91:J93"/>
    <mergeCell ref="R91:R93"/>
    <mergeCell ref="N83:N84"/>
    <mergeCell ref="Q83:S84"/>
    <mergeCell ref="T83:U83"/>
    <mergeCell ref="A100:B102"/>
    <mergeCell ref="I100:J102"/>
    <mergeCell ref="Q100:R102"/>
    <mergeCell ref="A105:F105"/>
    <mergeCell ref="I105:N105"/>
    <mergeCell ref="Q105:V105"/>
    <mergeCell ref="B94:B96"/>
    <mergeCell ref="J94:J96"/>
    <mergeCell ref="R94:R96"/>
    <mergeCell ref="B97:B99"/>
    <mergeCell ref="J97:J99"/>
    <mergeCell ref="R97:R99"/>
    <mergeCell ref="Q106:S107"/>
    <mergeCell ref="T106:U106"/>
    <mergeCell ref="V106:V107"/>
    <mergeCell ref="A108:A122"/>
    <mergeCell ref="B108:B110"/>
    <mergeCell ref="I108:I122"/>
    <mergeCell ref="J108:J110"/>
    <mergeCell ref="Q108:Q122"/>
    <mergeCell ref="R108:R110"/>
    <mergeCell ref="B111:B113"/>
    <mergeCell ref="A106:C107"/>
    <mergeCell ref="D106:E106"/>
    <mergeCell ref="F106:F107"/>
    <mergeCell ref="I106:K107"/>
    <mergeCell ref="L106:M106"/>
    <mergeCell ref="N106:N107"/>
    <mergeCell ref="B120:B122"/>
    <mergeCell ref="J120:J122"/>
    <mergeCell ref="R120:R122"/>
    <mergeCell ref="A123:B125"/>
    <mergeCell ref="I123:J125"/>
    <mergeCell ref="Q123:R125"/>
    <mergeCell ref="J111:J113"/>
    <mergeCell ref="R111:R113"/>
    <mergeCell ref="B114:B116"/>
    <mergeCell ref="J114:J116"/>
    <mergeCell ref="R114:R116"/>
    <mergeCell ref="B117:B119"/>
    <mergeCell ref="J117:J119"/>
    <mergeCell ref="R117:R1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selection activeCell="G31" sqref="G31"/>
    </sheetView>
  </sheetViews>
  <sheetFormatPr defaultRowHeight="15" x14ac:dyDescent="0.25"/>
  <sheetData>
    <row r="1" spans="1:22" x14ac:dyDescent="0.25">
      <c r="A1" s="168"/>
      <c r="B1" s="168"/>
      <c r="C1" s="169"/>
      <c r="D1" s="169" t="s">
        <v>116</v>
      </c>
      <c r="E1" s="169"/>
      <c r="F1" s="169"/>
      <c r="G1" s="169"/>
      <c r="H1" s="169"/>
      <c r="I1" s="168"/>
      <c r="J1" s="20"/>
      <c r="K1" s="20"/>
      <c r="L1" s="20"/>
      <c r="M1" s="20"/>
      <c r="N1" s="20"/>
      <c r="O1" s="20"/>
      <c r="P1" s="20"/>
      <c r="Q1" s="20"/>
      <c r="R1" s="20"/>
    </row>
    <row r="2" spans="1:22" x14ac:dyDescent="0.25">
      <c r="A2" s="168"/>
      <c r="B2" s="168" t="s">
        <v>117</v>
      </c>
      <c r="C2" s="169" t="s">
        <v>175</v>
      </c>
      <c r="D2" s="169">
        <v>0</v>
      </c>
      <c r="E2" s="169" t="s">
        <v>112</v>
      </c>
      <c r="F2" s="169" t="s">
        <v>113</v>
      </c>
      <c r="G2" s="169" t="s">
        <v>114</v>
      </c>
      <c r="H2" s="169" t="s">
        <v>115</v>
      </c>
      <c r="I2" s="168"/>
      <c r="J2" s="124"/>
      <c r="K2" s="124"/>
      <c r="L2" s="124"/>
      <c r="M2" s="124"/>
      <c r="N2" s="124"/>
      <c r="O2" s="124"/>
      <c r="P2" s="115"/>
      <c r="Q2" s="115"/>
      <c r="R2" s="114"/>
      <c r="S2" s="114"/>
      <c r="T2" s="114"/>
    </row>
    <row r="3" spans="1:22" x14ac:dyDescent="0.25">
      <c r="A3" s="168"/>
      <c r="B3" s="168">
        <v>499</v>
      </c>
      <c r="C3" s="169">
        <v>0</v>
      </c>
      <c r="D3" s="169" t="s">
        <v>176</v>
      </c>
      <c r="E3" s="169" t="s">
        <v>179</v>
      </c>
      <c r="F3" s="169" t="s">
        <v>118</v>
      </c>
      <c r="G3" s="169" t="s">
        <v>119</v>
      </c>
      <c r="H3" s="169" t="s">
        <v>119</v>
      </c>
      <c r="I3" s="168"/>
      <c r="J3" s="125"/>
      <c r="K3" s="125"/>
      <c r="L3" s="116"/>
      <c r="M3" s="116"/>
      <c r="N3" s="116"/>
      <c r="O3" s="116"/>
      <c r="P3" s="115"/>
      <c r="Q3" s="115"/>
      <c r="R3" s="115"/>
      <c r="S3" s="114"/>
      <c r="T3" s="114"/>
    </row>
    <row r="4" spans="1:22" x14ac:dyDescent="0.25">
      <c r="A4" s="168"/>
      <c r="B4" s="168">
        <v>320</v>
      </c>
      <c r="C4" s="169" t="s">
        <v>120</v>
      </c>
      <c r="D4" s="169" t="s">
        <v>189</v>
      </c>
      <c r="E4" s="169" t="s">
        <v>190</v>
      </c>
      <c r="F4" s="169" t="s">
        <v>191</v>
      </c>
      <c r="G4" s="169" t="s">
        <v>121</v>
      </c>
      <c r="H4" s="169" t="s">
        <v>119</v>
      </c>
      <c r="I4" s="168"/>
      <c r="J4" s="123"/>
      <c r="K4" s="117"/>
      <c r="L4" s="118"/>
      <c r="M4" s="124"/>
      <c r="N4" s="124"/>
      <c r="O4" s="124"/>
      <c r="P4" s="124"/>
      <c r="Q4" s="124"/>
      <c r="R4" s="124"/>
      <c r="S4" s="115"/>
      <c r="T4" s="114"/>
      <c r="U4" s="114"/>
    </row>
    <row r="5" spans="1:22" x14ac:dyDescent="0.25">
      <c r="A5" s="168"/>
      <c r="B5" s="168">
        <v>217</v>
      </c>
      <c r="C5" s="169" t="s">
        <v>122</v>
      </c>
      <c r="D5" s="169" t="s">
        <v>205</v>
      </c>
      <c r="E5" s="169" t="s">
        <v>206</v>
      </c>
      <c r="F5" s="169" t="s">
        <v>207</v>
      </c>
      <c r="G5" s="169" t="s">
        <v>208</v>
      </c>
      <c r="H5" s="169" t="s">
        <v>132</v>
      </c>
      <c r="I5" s="168"/>
      <c r="J5" s="123"/>
      <c r="K5" s="117"/>
      <c r="L5" s="118"/>
      <c r="M5" s="125"/>
      <c r="N5" s="125"/>
      <c r="O5" s="116"/>
      <c r="P5" s="116"/>
      <c r="Q5" s="116"/>
      <c r="R5" s="116"/>
      <c r="S5" s="118"/>
      <c r="T5" s="114"/>
      <c r="U5" s="114"/>
    </row>
    <row r="6" spans="1:22" x14ac:dyDescent="0.25">
      <c r="A6" s="168"/>
      <c r="B6" s="168">
        <v>123</v>
      </c>
      <c r="C6" s="169" t="s">
        <v>124</v>
      </c>
      <c r="D6" s="169" t="s">
        <v>133</v>
      </c>
      <c r="E6" s="169" t="s">
        <v>221</v>
      </c>
      <c r="F6" s="169" t="s">
        <v>222</v>
      </c>
      <c r="G6" s="169" t="s">
        <v>123</v>
      </c>
      <c r="H6" s="169" t="s">
        <v>119</v>
      </c>
      <c r="I6" s="168"/>
      <c r="J6" s="123"/>
      <c r="K6" s="117"/>
      <c r="L6" s="118"/>
      <c r="M6" s="124"/>
      <c r="N6" s="124"/>
      <c r="O6" s="124"/>
      <c r="P6" s="124"/>
      <c r="Q6" s="124"/>
      <c r="R6" s="124"/>
      <c r="S6" s="115"/>
      <c r="T6" s="115"/>
      <c r="U6" s="114"/>
      <c r="V6" s="114"/>
    </row>
    <row r="7" spans="1:22" x14ac:dyDescent="0.25">
      <c r="A7" s="168"/>
      <c r="B7" s="168">
        <v>49</v>
      </c>
      <c r="C7" s="169" t="s">
        <v>125</v>
      </c>
      <c r="D7" s="169" t="s">
        <v>119</v>
      </c>
      <c r="E7" s="169" t="s">
        <v>232</v>
      </c>
      <c r="F7" s="169" t="s">
        <v>233</v>
      </c>
      <c r="G7" s="169" t="s">
        <v>234</v>
      </c>
      <c r="H7" s="169" t="s">
        <v>119</v>
      </c>
      <c r="I7" s="168"/>
      <c r="J7" s="123"/>
      <c r="K7" s="117"/>
      <c r="L7" s="118"/>
      <c r="M7" s="124"/>
      <c r="N7" s="124"/>
      <c r="O7" s="124"/>
      <c r="P7" s="124"/>
      <c r="Q7" s="124"/>
      <c r="R7" s="124"/>
      <c r="S7" s="115"/>
      <c r="T7" s="115"/>
      <c r="U7" s="114"/>
      <c r="V7" s="114"/>
    </row>
    <row r="8" spans="1:22" x14ac:dyDescent="0.25">
      <c r="A8" s="168"/>
      <c r="B8" s="168"/>
      <c r="C8" s="168"/>
      <c r="D8" s="168"/>
      <c r="E8" s="168"/>
      <c r="F8" s="168"/>
      <c r="G8" s="168"/>
      <c r="H8" s="168"/>
      <c r="I8" s="168"/>
      <c r="J8" s="123"/>
      <c r="K8" s="117"/>
      <c r="L8" s="118"/>
      <c r="M8" s="124"/>
      <c r="N8" s="124"/>
      <c r="O8" s="124"/>
      <c r="P8" s="124"/>
      <c r="Q8" s="124"/>
      <c r="R8" s="124"/>
      <c r="S8" s="115"/>
      <c r="T8" s="115"/>
      <c r="U8" s="114"/>
      <c r="V8" s="114"/>
    </row>
    <row r="9" spans="1:22" x14ac:dyDescent="0.25">
      <c r="A9" s="168"/>
      <c r="B9" s="168"/>
      <c r="C9" s="168"/>
      <c r="D9" s="168"/>
      <c r="E9" s="168"/>
      <c r="F9" s="168"/>
      <c r="G9" s="168"/>
      <c r="H9" s="168"/>
      <c r="I9" s="168"/>
      <c r="J9" s="123"/>
      <c r="K9" s="117"/>
      <c r="L9" s="118"/>
      <c r="M9" s="124"/>
      <c r="N9" s="124"/>
      <c r="O9" s="124"/>
      <c r="P9" s="124"/>
      <c r="Q9" s="124"/>
      <c r="R9" s="124"/>
      <c r="S9" s="115"/>
      <c r="T9" s="124"/>
      <c r="U9" s="124"/>
      <c r="V9" s="115"/>
    </row>
    <row r="10" spans="1:22" x14ac:dyDescent="0.25">
      <c r="A10" s="168"/>
      <c r="B10" s="168"/>
      <c r="C10" s="169"/>
      <c r="D10" s="169" t="s">
        <v>126</v>
      </c>
      <c r="E10" s="169"/>
      <c r="F10" s="169"/>
      <c r="G10" s="169"/>
      <c r="H10" s="169"/>
      <c r="I10" s="168"/>
      <c r="J10" s="123"/>
      <c r="K10" s="117"/>
      <c r="L10" s="118"/>
      <c r="M10" s="124"/>
      <c r="N10" s="124"/>
      <c r="O10" s="124"/>
      <c r="P10" s="124"/>
      <c r="Q10" s="124"/>
      <c r="R10" s="124"/>
      <c r="S10" s="115"/>
      <c r="T10" s="124"/>
      <c r="U10" s="124"/>
      <c r="V10" s="115"/>
    </row>
    <row r="11" spans="1:22" x14ac:dyDescent="0.25">
      <c r="A11" s="168"/>
      <c r="B11" s="168" t="s">
        <v>117</v>
      </c>
      <c r="C11" s="169" t="s">
        <v>175</v>
      </c>
      <c r="D11" s="169">
        <v>0</v>
      </c>
      <c r="E11" s="169" t="s">
        <v>112</v>
      </c>
      <c r="F11" s="169" t="s">
        <v>113</v>
      </c>
      <c r="G11" s="169" t="s">
        <v>114</v>
      </c>
      <c r="H11" s="169" t="s">
        <v>115</v>
      </c>
      <c r="I11" s="168"/>
      <c r="J11" s="123"/>
      <c r="K11" s="117"/>
      <c r="L11" s="118"/>
      <c r="M11" s="125"/>
      <c r="N11" s="125"/>
      <c r="O11" s="116"/>
      <c r="P11" s="116"/>
      <c r="Q11" s="116"/>
      <c r="R11" s="116"/>
      <c r="S11" s="115"/>
      <c r="T11" s="124"/>
      <c r="U11" s="124"/>
      <c r="V11" s="115"/>
    </row>
    <row r="12" spans="1:22" x14ac:dyDescent="0.25">
      <c r="A12" s="168"/>
      <c r="B12" s="168">
        <v>508</v>
      </c>
      <c r="C12" s="169">
        <v>0</v>
      </c>
      <c r="D12" s="169" t="s">
        <v>180</v>
      </c>
      <c r="E12" s="169" t="s">
        <v>181</v>
      </c>
      <c r="F12" s="169" t="s">
        <v>136</v>
      </c>
      <c r="G12" s="169" t="s">
        <v>119</v>
      </c>
      <c r="H12" s="169" t="s">
        <v>119</v>
      </c>
      <c r="I12" s="168"/>
      <c r="J12" s="123"/>
      <c r="K12" s="117"/>
      <c r="L12" s="118"/>
      <c r="M12" s="123"/>
      <c r="N12" s="117"/>
      <c r="O12" s="118"/>
      <c r="P12" s="119"/>
      <c r="Q12" s="119"/>
      <c r="R12" s="119"/>
      <c r="S12" s="115"/>
      <c r="T12" s="124"/>
      <c r="U12" s="124"/>
      <c r="V12" s="115"/>
    </row>
    <row r="13" spans="1:22" x14ac:dyDescent="0.25">
      <c r="A13" s="168"/>
      <c r="B13" s="168">
        <v>289</v>
      </c>
      <c r="C13" s="169" t="s">
        <v>120</v>
      </c>
      <c r="D13" s="169" t="s">
        <v>192</v>
      </c>
      <c r="E13" s="169" t="s">
        <v>193</v>
      </c>
      <c r="F13" s="169" t="s">
        <v>194</v>
      </c>
      <c r="G13" s="169" t="s">
        <v>128</v>
      </c>
      <c r="H13" s="169" t="s">
        <v>121</v>
      </c>
      <c r="I13" s="168"/>
      <c r="J13" s="123"/>
      <c r="K13" s="117"/>
      <c r="L13" s="118"/>
      <c r="M13" s="123"/>
      <c r="N13" s="117"/>
      <c r="O13" s="118"/>
      <c r="P13" s="119"/>
      <c r="Q13" s="119"/>
      <c r="R13" s="119"/>
      <c r="S13" s="115"/>
      <c r="T13" s="124"/>
      <c r="U13" s="124"/>
      <c r="V13" s="115"/>
    </row>
    <row r="14" spans="1:22" x14ac:dyDescent="0.25">
      <c r="A14" s="168"/>
      <c r="B14" s="168">
        <v>171</v>
      </c>
      <c r="C14" s="169" t="s">
        <v>122</v>
      </c>
      <c r="D14" s="169" t="s">
        <v>186</v>
      </c>
      <c r="E14" s="169" t="s">
        <v>209</v>
      </c>
      <c r="F14" s="169" t="s">
        <v>210</v>
      </c>
      <c r="G14" s="169" t="s">
        <v>186</v>
      </c>
      <c r="H14" s="169" t="s">
        <v>118</v>
      </c>
      <c r="I14" s="168"/>
      <c r="J14" s="123"/>
      <c r="K14" s="117"/>
      <c r="L14" s="118"/>
      <c r="M14" s="123"/>
      <c r="N14" s="117"/>
      <c r="O14" s="118"/>
      <c r="P14" s="119"/>
      <c r="Q14" s="119"/>
      <c r="R14" s="119"/>
      <c r="S14" s="115"/>
      <c r="T14" s="124"/>
      <c r="U14" s="124"/>
      <c r="V14" s="115"/>
    </row>
    <row r="15" spans="1:22" x14ac:dyDescent="0.25">
      <c r="A15" s="168"/>
      <c r="B15" s="168">
        <v>102</v>
      </c>
      <c r="C15" s="169" t="s">
        <v>124</v>
      </c>
      <c r="D15" s="169" t="s">
        <v>119</v>
      </c>
      <c r="E15" s="169" t="s">
        <v>223</v>
      </c>
      <c r="F15" s="169" t="s">
        <v>224</v>
      </c>
      <c r="G15" s="169" t="s">
        <v>225</v>
      </c>
      <c r="H15" s="169" t="s">
        <v>119</v>
      </c>
      <c r="I15" s="168"/>
      <c r="J15" s="123"/>
      <c r="K15" s="117"/>
      <c r="L15" s="118"/>
      <c r="M15" s="123"/>
      <c r="N15" s="117"/>
      <c r="O15" s="118"/>
      <c r="P15" s="119"/>
      <c r="Q15" s="119"/>
      <c r="R15" s="119"/>
      <c r="S15" s="115"/>
      <c r="T15" s="124"/>
      <c r="U15" s="124"/>
      <c r="V15" s="115"/>
    </row>
    <row r="16" spans="1:22" x14ac:dyDescent="0.25">
      <c r="A16" s="168"/>
      <c r="B16" s="168">
        <v>34</v>
      </c>
      <c r="C16" s="169" t="s">
        <v>125</v>
      </c>
      <c r="D16" s="169" t="s">
        <v>131</v>
      </c>
      <c r="E16" s="169" t="s">
        <v>235</v>
      </c>
      <c r="F16" s="169" t="s">
        <v>236</v>
      </c>
      <c r="G16" s="169" t="s">
        <v>237</v>
      </c>
      <c r="H16" s="169" t="s">
        <v>119</v>
      </c>
      <c r="I16" s="168"/>
      <c r="J16" s="123"/>
      <c r="K16" s="117"/>
      <c r="L16" s="118"/>
      <c r="M16" s="123"/>
      <c r="N16" s="117"/>
      <c r="O16" s="118"/>
      <c r="P16" s="119"/>
      <c r="Q16" s="119"/>
      <c r="R16" s="119"/>
      <c r="S16" s="115"/>
      <c r="T16" s="116"/>
      <c r="U16" s="116"/>
      <c r="V16" s="115"/>
    </row>
    <row r="17" spans="1:22" x14ac:dyDescent="0.25">
      <c r="A17" s="168"/>
      <c r="B17" s="168"/>
      <c r="C17" s="168"/>
      <c r="D17" s="168"/>
      <c r="E17" s="168"/>
      <c r="F17" s="168"/>
      <c r="G17" s="168"/>
      <c r="H17" s="168"/>
      <c r="I17" s="168"/>
      <c r="J17" s="123"/>
      <c r="K17" s="117"/>
      <c r="L17" s="118"/>
      <c r="M17" s="123"/>
      <c r="N17" s="117"/>
      <c r="O17" s="118"/>
      <c r="P17" s="119"/>
      <c r="Q17" s="119"/>
      <c r="R17" s="119"/>
      <c r="S17" s="115"/>
      <c r="T17" s="119"/>
      <c r="U17" s="119"/>
      <c r="V17" s="115"/>
    </row>
    <row r="18" spans="1:22" x14ac:dyDescent="0.25">
      <c r="A18" s="168"/>
      <c r="B18" s="168"/>
      <c r="C18" s="168"/>
      <c r="D18" s="168"/>
      <c r="E18" s="168"/>
      <c r="F18" s="168"/>
      <c r="G18" s="168"/>
      <c r="H18" s="168"/>
      <c r="I18" s="168"/>
      <c r="J18" s="123"/>
      <c r="K18" s="117"/>
      <c r="L18" s="118"/>
      <c r="M18" s="123"/>
      <c r="N18" s="117"/>
      <c r="O18" s="118"/>
      <c r="P18" s="119"/>
      <c r="Q18" s="119"/>
      <c r="R18" s="119"/>
      <c r="S18" s="115"/>
      <c r="T18" s="119"/>
      <c r="U18" s="119"/>
      <c r="V18" s="115"/>
    </row>
    <row r="19" spans="1:22" x14ac:dyDescent="0.25">
      <c r="A19" s="168"/>
      <c r="B19" s="168"/>
      <c r="C19" s="169"/>
      <c r="D19" s="169" t="s">
        <v>130</v>
      </c>
      <c r="E19" s="169"/>
      <c r="F19" s="169"/>
      <c r="G19" s="169"/>
      <c r="H19" s="169"/>
      <c r="I19" s="168"/>
      <c r="J19" s="123"/>
      <c r="K19" s="117"/>
      <c r="L19" s="118"/>
      <c r="M19" s="123"/>
      <c r="N19" s="121"/>
      <c r="O19" s="118"/>
      <c r="P19" s="119"/>
      <c r="Q19" s="119"/>
      <c r="R19" s="122"/>
      <c r="S19" s="115"/>
      <c r="T19" s="119"/>
      <c r="U19" s="119"/>
      <c r="V19" s="115"/>
    </row>
    <row r="20" spans="1:22" x14ac:dyDescent="0.25">
      <c r="A20" s="168"/>
      <c r="B20" s="168" t="s">
        <v>117</v>
      </c>
      <c r="C20" s="169" t="s">
        <v>175</v>
      </c>
      <c r="D20" s="169">
        <v>0</v>
      </c>
      <c r="E20" s="169" t="s">
        <v>112</v>
      </c>
      <c r="F20" s="169" t="s">
        <v>113</v>
      </c>
      <c r="G20" s="169" t="s">
        <v>114</v>
      </c>
      <c r="H20" s="169" t="s">
        <v>115</v>
      </c>
      <c r="I20" s="168"/>
      <c r="J20" s="123"/>
      <c r="K20" s="117"/>
      <c r="L20" s="118"/>
      <c r="M20" s="121"/>
      <c r="N20" s="121"/>
      <c r="O20" s="118"/>
      <c r="P20" s="119"/>
      <c r="Q20" s="122"/>
      <c r="R20" s="122"/>
      <c r="S20" s="115"/>
      <c r="T20" s="119"/>
      <c r="U20" s="119"/>
      <c r="V20" s="115"/>
    </row>
    <row r="21" spans="1:22" x14ac:dyDescent="0.25">
      <c r="A21" s="168"/>
      <c r="B21" s="168">
        <v>321</v>
      </c>
      <c r="C21" s="169">
        <v>0</v>
      </c>
      <c r="D21" s="169" t="s">
        <v>138</v>
      </c>
      <c r="E21" s="169" t="s">
        <v>182</v>
      </c>
      <c r="F21" s="169" t="s">
        <v>183</v>
      </c>
      <c r="G21" s="169" t="s">
        <v>121</v>
      </c>
      <c r="H21" s="169" t="s">
        <v>119</v>
      </c>
      <c r="I21" s="168"/>
      <c r="J21" s="123"/>
      <c r="K21" s="117"/>
      <c r="L21" s="118"/>
      <c r="M21" s="123"/>
      <c r="N21" s="123"/>
      <c r="O21" s="118"/>
      <c r="P21" s="119"/>
      <c r="Q21" s="122"/>
      <c r="R21" s="122"/>
      <c r="S21" s="115"/>
      <c r="T21" s="119"/>
      <c r="U21" s="119"/>
      <c r="V21" s="115"/>
    </row>
    <row r="22" spans="1:22" x14ac:dyDescent="0.25">
      <c r="A22" s="168"/>
      <c r="B22" s="168">
        <v>215</v>
      </c>
      <c r="C22" s="169" t="s">
        <v>120</v>
      </c>
      <c r="D22" s="169" t="s">
        <v>196</v>
      </c>
      <c r="E22" s="169" t="s">
        <v>193</v>
      </c>
      <c r="F22" s="169" t="s">
        <v>197</v>
      </c>
      <c r="G22" s="169" t="s">
        <v>198</v>
      </c>
      <c r="H22" s="169" t="s">
        <v>132</v>
      </c>
      <c r="I22" s="168"/>
      <c r="J22" s="123"/>
      <c r="K22" s="117"/>
      <c r="L22" s="118"/>
      <c r="M22" s="123"/>
      <c r="N22" s="117"/>
      <c r="O22" s="118"/>
      <c r="P22" s="119"/>
      <c r="Q22" s="119"/>
      <c r="R22" s="119"/>
      <c r="S22" s="115"/>
      <c r="T22" s="119"/>
      <c r="U22" s="119"/>
      <c r="V22" s="115"/>
    </row>
    <row r="23" spans="1:22" x14ac:dyDescent="0.25">
      <c r="A23" s="168"/>
      <c r="B23" s="168">
        <v>118</v>
      </c>
      <c r="C23" s="169" t="s">
        <v>122</v>
      </c>
      <c r="D23" s="169" t="s">
        <v>205</v>
      </c>
      <c r="E23" s="169" t="s">
        <v>211</v>
      </c>
      <c r="F23" s="169" t="s">
        <v>212</v>
      </c>
      <c r="G23" s="169" t="s">
        <v>139</v>
      </c>
      <c r="H23" s="169" t="s">
        <v>133</v>
      </c>
      <c r="I23" s="168"/>
      <c r="J23" s="123"/>
      <c r="K23" s="117"/>
      <c r="L23" s="118"/>
      <c r="M23" s="123"/>
      <c r="N23" s="117"/>
      <c r="O23" s="118"/>
      <c r="P23" s="119"/>
      <c r="Q23" s="119"/>
      <c r="R23" s="119"/>
      <c r="S23" s="115"/>
      <c r="T23" s="119"/>
      <c r="U23" s="119"/>
      <c r="V23" s="115"/>
    </row>
    <row r="24" spans="1:22" x14ac:dyDescent="0.25">
      <c r="A24" s="168"/>
      <c r="B24" s="168">
        <v>44</v>
      </c>
      <c r="C24" s="169" t="s">
        <v>124</v>
      </c>
      <c r="D24" s="169" t="s">
        <v>119</v>
      </c>
      <c r="E24" s="169" t="s">
        <v>214</v>
      </c>
      <c r="F24" s="169" t="s">
        <v>214</v>
      </c>
      <c r="G24" s="169" t="s">
        <v>226</v>
      </c>
      <c r="H24" s="169" t="s">
        <v>119</v>
      </c>
      <c r="I24" s="168"/>
      <c r="J24" s="123"/>
      <c r="K24" s="121"/>
      <c r="L24" s="118"/>
      <c r="M24" s="123"/>
      <c r="N24" s="117"/>
      <c r="O24" s="118"/>
      <c r="P24" s="119"/>
      <c r="Q24" s="119"/>
      <c r="R24" s="119"/>
      <c r="S24" s="115"/>
      <c r="T24" s="119"/>
      <c r="U24" s="119"/>
      <c r="V24" s="115"/>
    </row>
    <row r="25" spans="1:22" x14ac:dyDescent="0.25">
      <c r="A25" s="168"/>
      <c r="B25" s="168">
        <v>11</v>
      </c>
      <c r="C25" s="169" t="s">
        <v>125</v>
      </c>
      <c r="D25" s="169" t="s">
        <v>119</v>
      </c>
      <c r="E25" s="169" t="s">
        <v>238</v>
      </c>
      <c r="F25" s="169" t="s">
        <v>239</v>
      </c>
      <c r="G25" s="169" t="s">
        <v>240</v>
      </c>
      <c r="H25" s="169" t="s">
        <v>238</v>
      </c>
      <c r="I25" s="168"/>
      <c r="J25" s="121"/>
      <c r="K25" s="121"/>
      <c r="L25" s="118"/>
      <c r="M25" s="123"/>
      <c r="N25" s="117"/>
      <c r="O25" s="118"/>
      <c r="P25" s="119"/>
      <c r="Q25" s="119"/>
      <c r="R25" s="119"/>
      <c r="S25" s="115"/>
      <c r="T25" s="119"/>
      <c r="U25" s="119"/>
      <c r="V25" s="115"/>
    </row>
    <row r="26" spans="1:22" x14ac:dyDescent="0.25">
      <c r="A26" s="168"/>
      <c r="B26" s="168"/>
      <c r="C26" s="168"/>
      <c r="D26" s="168"/>
      <c r="E26" s="168"/>
      <c r="F26" s="168"/>
      <c r="G26" s="168"/>
      <c r="H26" s="168"/>
      <c r="I26" s="168"/>
      <c r="J26" s="123"/>
      <c r="K26" s="123"/>
      <c r="L26" s="118"/>
      <c r="M26" s="123"/>
      <c r="N26" s="117"/>
      <c r="O26" s="118"/>
      <c r="P26" s="119"/>
      <c r="Q26" s="119"/>
      <c r="R26" s="119"/>
      <c r="S26" s="115"/>
      <c r="T26" s="119"/>
      <c r="U26" s="119"/>
      <c r="V26" s="115"/>
    </row>
    <row r="27" spans="1:22" x14ac:dyDescent="0.25">
      <c r="A27" s="168"/>
      <c r="B27" s="168"/>
      <c r="C27" s="168"/>
      <c r="D27" s="168"/>
      <c r="E27" s="168"/>
      <c r="F27" s="168"/>
      <c r="G27" s="168"/>
      <c r="H27" s="168"/>
      <c r="I27" s="168"/>
      <c r="J27" s="114"/>
      <c r="K27" s="114"/>
      <c r="L27" s="114"/>
      <c r="M27" s="123"/>
      <c r="N27" s="117"/>
      <c r="O27" s="118"/>
      <c r="P27" s="119"/>
      <c r="Q27" s="119"/>
      <c r="R27" s="119"/>
      <c r="S27" s="115"/>
      <c r="T27" s="119"/>
      <c r="U27" s="119"/>
      <c r="V27" s="115"/>
    </row>
    <row r="28" spans="1:22" x14ac:dyDescent="0.25">
      <c r="A28" s="168"/>
      <c r="B28" s="168"/>
      <c r="C28" s="169"/>
      <c r="D28" s="169" t="s">
        <v>134</v>
      </c>
      <c r="E28" s="169"/>
      <c r="F28" s="169"/>
      <c r="G28" s="169"/>
      <c r="H28" s="169"/>
      <c r="I28" s="168"/>
      <c r="J28" s="114"/>
      <c r="K28" s="114"/>
      <c r="L28" s="114"/>
      <c r="M28" s="123"/>
      <c r="N28" s="117"/>
      <c r="O28" s="118"/>
      <c r="P28" s="119"/>
      <c r="Q28" s="119"/>
      <c r="R28" s="119"/>
      <c r="S28" s="115"/>
      <c r="T28" s="119"/>
      <c r="U28" s="119"/>
      <c r="V28" s="115"/>
    </row>
    <row r="29" spans="1:22" x14ac:dyDescent="0.25">
      <c r="A29" s="168"/>
      <c r="B29" s="168" t="s">
        <v>117</v>
      </c>
      <c r="C29" s="169" t="s">
        <v>175</v>
      </c>
      <c r="D29" s="169">
        <v>0</v>
      </c>
      <c r="E29" s="169" t="s">
        <v>112</v>
      </c>
      <c r="F29" s="169" t="s">
        <v>113</v>
      </c>
      <c r="G29" s="169" t="s">
        <v>114</v>
      </c>
      <c r="H29" s="169" t="s">
        <v>115</v>
      </c>
      <c r="I29" s="168"/>
      <c r="J29" s="114"/>
      <c r="K29" s="114"/>
      <c r="L29" s="114"/>
      <c r="M29" s="123"/>
      <c r="N29" s="121"/>
      <c r="O29" s="118"/>
      <c r="P29" s="119"/>
      <c r="Q29" s="119"/>
      <c r="R29" s="122"/>
      <c r="S29" s="115"/>
      <c r="T29" s="119"/>
      <c r="U29" s="119"/>
      <c r="V29" s="115"/>
    </row>
    <row r="30" spans="1:22" x14ac:dyDescent="0.25">
      <c r="A30" s="168"/>
      <c r="B30" s="168">
        <v>340</v>
      </c>
      <c r="C30" s="169">
        <v>0</v>
      </c>
      <c r="D30" s="169" t="s">
        <v>184</v>
      </c>
      <c r="E30" s="169" t="s">
        <v>185</v>
      </c>
      <c r="F30" s="169" t="s">
        <v>186</v>
      </c>
      <c r="G30" s="169" t="s">
        <v>119</v>
      </c>
      <c r="H30" s="169" t="s">
        <v>121</v>
      </c>
      <c r="I30" s="168"/>
      <c r="J30" s="114"/>
      <c r="K30" s="114"/>
      <c r="L30" s="114"/>
      <c r="M30" s="121"/>
      <c r="N30" s="121"/>
      <c r="O30" s="118"/>
      <c r="P30" s="119"/>
      <c r="Q30" s="122"/>
      <c r="R30" s="122"/>
      <c r="S30" s="115"/>
      <c r="T30" s="119"/>
      <c r="U30" s="119"/>
      <c r="V30" s="115"/>
    </row>
    <row r="31" spans="1:22" x14ac:dyDescent="0.25">
      <c r="A31" s="168"/>
      <c r="B31" s="168">
        <v>172</v>
      </c>
      <c r="C31" s="169" t="s">
        <v>120</v>
      </c>
      <c r="D31" s="169" t="s">
        <v>199</v>
      </c>
      <c r="E31" s="169" t="s">
        <v>200</v>
      </c>
      <c r="F31" s="169" t="s">
        <v>201</v>
      </c>
      <c r="G31" s="169" t="s">
        <v>123</v>
      </c>
      <c r="H31" s="169" t="s">
        <v>135</v>
      </c>
      <c r="I31" s="168"/>
      <c r="J31" s="114"/>
      <c r="K31" s="114"/>
      <c r="L31" s="114"/>
      <c r="M31" s="123"/>
      <c r="N31" s="123"/>
      <c r="O31" s="118"/>
      <c r="P31" s="119"/>
      <c r="Q31" s="122"/>
      <c r="R31" s="122"/>
      <c r="S31" s="115"/>
      <c r="T31" s="119"/>
      <c r="U31" s="119"/>
      <c r="V31" s="115"/>
    </row>
    <row r="32" spans="1:22" x14ac:dyDescent="0.25">
      <c r="A32" s="168"/>
      <c r="B32" s="168">
        <v>74</v>
      </c>
      <c r="C32" s="169" t="s">
        <v>122</v>
      </c>
      <c r="D32" s="169" t="s">
        <v>213</v>
      </c>
      <c r="E32" s="169" t="s">
        <v>214</v>
      </c>
      <c r="F32" s="169" t="s">
        <v>215</v>
      </c>
      <c r="G32" s="169" t="s">
        <v>195</v>
      </c>
      <c r="H32" s="169" t="s">
        <v>216</v>
      </c>
      <c r="I32" s="168"/>
      <c r="J32" s="114"/>
      <c r="K32" s="114"/>
      <c r="L32" s="114"/>
      <c r="M32" s="114"/>
      <c r="N32" s="114"/>
      <c r="O32" s="114"/>
      <c r="P32" s="123"/>
      <c r="Q32" s="117"/>
      <c r="R32" s="118"/>
      <c r="S32" s="120"/>
      <c r="T32" s="119"/>
      <c r="U32" s="119"/>
      <c r="V32" s="115"/>
    </row>
    <row r="33" spans="1:22" x14ac:dyDescent="0.25">
      <c r="A33" s="168"/>
      <c r="B33" s="168">
        <v>27</v>
      </c>
      <c r="C33" s="169" t="s">
        <v>124</v>
      </c>
      <c r="D33" s="169" t="s">
        <v>119</v>
      </c>
      <c r="E33" s="169" t="s">
        <v>127</v>
      </c>
      <c r="F33" s="169" t="s">
        <v>227</v>
      </c>
      <c r="G33" s="169" t="s">
        <v>228</v>
      </c>
      <c r="H33" s="169" t="s">
        <v>119</v>
      </c>
      <c r="I33" s="168"/>
      <c r="J33" s="114"/>
      <c r="K33" s="114"/>
      <c r="L33" s="114"/>
      <c r="M33" s="114"/>
      <c r="N33" s="114"/>
      <c r="O33" s="114"/>
      <c r="P33" s="123"/>
      <c r="Q33" s="117"/>
      <c r="R33" s="118"/>
      <c r="S33" s="120"/>
      <c r="T33" s="119"/>
      <c r="U33" s="119"/>
      <c r="V33" s="115"/>
    </row>
    <row r="34" spans="1:22" x14ac:dyDescent="0.25">
      <c r="A34" s="168"/>
      <c r="B34" s="168">
        <v>8</v>
      </c>
      <c r="C34" s="169" t="s">
        <v>125</v>
      </c>
      <c r="D34" s="169" t="s">
        <v>141</v>
      </c>
      <c r="E34" s="169" t="s">
        <v>141</v>
      </c>
      <c r="F34" s="169" t="s">
        <v>141</v>
      </c>
      <c r="G34" s="169" t="s">
        <v>141</v>
      </c>
      <c r="H34" s="169" t="s">
        <v>141</v>
      </c>
      <c r="I34" s="168"/>
      <c r="M34" s="114"/>
      <c r="N34" s="114"/>
      <c r="O34" s="114"/>
      <c r="P34" s="123"/>
      <c r="Q34" s="117"/>
      <c r="R34" s="118"/>
      <c r="S34" s="120"/>
      <c r="T34" s="119"/>
      <c r="U34" s="119"/>
      <c r="V34" s="115"/>
    </row>
    <row r="35" spans="1:22" x14ac:dyDescent="0.25">
      <c r="A35" s="168"/>
      <c r="B35" s="168"/>
      <c r="C35" s="168"/>
      <c r="D35" s="168"/>
      <c r="E35" s="168"/>
      <c r="F35" s="168"/>
      <c r="G35" s="168"/>
      <c r="H35" s="168"/>
      <c r="I35" s="168"/>
      <c r="M35" s="114"/>
      <c r="N35" s="114"/>
      <c r="O35" s="114"/>
      <c r="P35" s="123"/>
      <c r="Q35" s="117"/>
      <c r="R35" s="118"/>
      <c r="S35" s="119"/>
      <c r="T35" s="119"/>
      <c r="U35" s="119"/>
      <c r="V35" s="115"/>
    </row>
    <row r="36" spans="1:22" x14ac:dyDescent="0.25">
      <c r="A36" s="168"/>
      <c r="B36" s="168"/>
      <c r="C36" s="168"/>
      <c r="D36" s="168"/>
      <c r="E36" s="168"/>
      <c r="F36" s="168"/>
      <c r="G36" s="168"/>
      <c r="H36" s="168"/>
      <c r="I36" s="168"/>
      <c r="M36" s="114"/>
      <c r="N36" s="114"/>
      <c r="O36" s="114"/>
      <c r="P36" s="123"/>
      <c r="Q36" s="117"/>
      <c r="R36" s="118"/>
      <c r="S36" s="120"/>
      <c r="T36" s="119"/>
      <c r="U36" s="119"/>
      <c r="V36" s="115"/>
    </row>
    <row r="37" spans="1:22" x14ac:dyDescent="0.25">
      <c r="A37" s="168"/>
      <c r="B37" s="168"/>
      <c r="C37" s="169"/>
      <c r="D37" s="169" t="s">
        <v>137</v>
      </c>
      <c r="E37" s="169"/>
      <c r="F37" s="169"/>
      <c r="G37" s="169"/>
      <c r="H37" s="169"/>
      <c r="I37" s="168"/>
      <c r="M37" s="114"/>
      <c r="N37" s="114"/>
      <c r="O37" s="114"/>
      <c r="P37" s="123"/>
      <c r="Q37" s="121"/>
      <c r="R37" s="118"/>
      <c r="S37" s="119"/>
      <c r="T37" s="119"/>
      <c r="U37" s="122"/>
      <c r="V37" s="115"/>
    </row>
    <row r="38" spans="1:22" x14ac:dyDescent="0.25">
      <c r="A38" s="168"/>
      <c r="B38" s="168" t="s">
        <v>117</v>
      </c>
      <c r="C38" s="169" t="s">
        <v>175</v>
      </c>
      <c r="D38" s="169">
        <v>0</v>
      </c>
      <c r="E38" s="169" t="s">
        <v>112</v>
      </c>
      <c r="F38" s="169" t="s">
        <v>113</v>
      </c>
      <c r="G38" s="169" t="s">
        <v>114</v>
      </c>
      <c r="H38" s="169" t="s">
        <v>115</v>
      </c>
      <c r="I38" s="168"/>
      <c r="M38" s="114"/>
      <c r="N38" s="114"/>
      <c r="O38" s="114"/>
      <c r="P38" s="121"/>
      <c r="Q38" s="121"/>
      <c r="R38" s="118"/>
      <c r="S38" s="119"/>
      <c r="T38" s="122"/>
      <c r="U38" s="122"/>
      <c r="V38" s="115"/>
    </row>
    <row r="39" spans="1:22" x14ac:dyDescent="0.25">
      <c r="A39" s="168"/>
      <c r="B39" s="168">
        <v>203</v>
      </c>
      <c r="C39" s="169">
        <v>0</v>
      </c>
      <c r="D39" s="169" t="s">
        <v>187</v>
      </c>
      <c r="E39" s="169" t="s">
        <v>140</v>
      </c>
      <c r="F39" s="169" t="s">
        <v>188</v>
      </c>
      <c r="G39" s="169" t="s">
        <v>177</v>
      </c>
      <c r="H39" s="169" t="s">
        <v>119</v>
      </c>
      <c r="I39" s="168"/>
      <c r="M39" s="114"/>
      <c r="N39" s="114"/>
      <c r="O39" s="114"/>
      <c r="P39" s="123"/>
      <c r="Q39" s="123"/>
      <c r="R39" s="118"/>
      <c r="S39" s="119"/>
      <c r="T39" s="122"/>
      <c r="U39" s="122"/>
      <c r="V39" s="115"/>
    </row>
    <row r="40" spans="1:22" x14ac:dyDescent="0.25">
      <c r="A40" s="168"/>
      <c r="B40" s="168">
        <v>108</v>
      </c>
      <c r="C40" s="169" t="s">
        <v>120</v>
      </c>
      <c r="D40" s="169" t="s">
        <v>202</v>
      </c>
      <c r="E40" s="169" t="s">
        <v>203</v>
      </c>
      <c r="F40" s="169" t="s">
        <v>188</v>
      </c>
      <c r="G40" s="169" t="s">
        <v>204</v>
      </c>
      <c r="H40" s="169" t="s">
        <v>129</v>
      </c>
      <c r="I40" s="168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1:22" x14ac:dyDescent="0.25">
      <c r="A41" s="168"/>
      <c r="B41" s="168">
        <v>55</v>
      </c>
      <c r="C41" s="169" t="s">
        <v>122</v>
      </c>
      <c r="D41" s="169" t="s">
        <v>217</v>
      </c>
      <c r="E41" s="169" t="s">
        <v>218</v>
      </c>
      <c r="F41" s="169" t="s">
        <v>219</v>
      </c>
      <c r="G41" s="169" t="s">
        <v>220</v>
      </c>
      <c r="H41" s="169" t="s">
        <v>178</v>
      </c>
      <c r="I41" s="168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1:22" x14ac:dyDescent="0.25">
      <c r="A42" s="168"/>
      <c r="B42" s="168">
        <v>19</v>
      </c>
      <c r="C42" s="169" t="s">
        <v>124</v>
      </c>
      <c r="D42" s="169" t="s">
        <v>119</v>
      </c>
      <c r="E42" s="169" t="s">
        <v>229</v>
      </c>
      <c r="F42" s="169" t="s">
        <v>230</v>
      </c>
      <c r="G42" s="169" t="s">
        <v>231</v>
      </c>
      <c r="H42" s="169" t="s">
        <v>119</v>
      </c>
      <c r="I42" s="168"/>
      <c r="M42" s="114"/>
      <c r="N42" s="114"/>
      <c r="O42" s="114"/>
      <c r="P42" s="114"/>
      <c r="Q42" s="114"/>
      <c r="R42" s="114"/>
      <c r="S42" s="114"/>
      <c r="T42" s="114"/>
      <c r="U42" s="114"/>
      <c r="V42" s="114"/>
    </row>
    <row r="43" spans="1:22" x14ac:dyDescent="0.25">
      <c r="A43" s="168"/>
      <c r="B43" s="168">
        <v>5</v>
      </c>
      <c r="C43" s="169" t="s">
        <v>125</v>
      </c>
      <c r="D43" s="169" t="s">
        <v>141</v>
      </c>
      <c r="E43" s="169" t="s">
        <v>141</v>
      </c>
      <c r="F43" s="169" t="s">
        <v>141</v>
      </c>
      <c r="G43" s="169" t="s">
        <v>141</v>
      </c>
      <c r="H43" s="169" t="s">
        <v>141</v>
      </c>
      <c r="I43" s="168"/>
    </row>
    <row r="44" spans="1:22" x14ac:dyDescent="0.25">
      <c r="A44" s="168"/>
      <c r="B44" s="168"/>
      <c r="C44" s="168"/>
      <c r="D44" s="168"/>
      <c r="E44" s="168"/>
      <c r="F44" s="168"/>
      <c r="G44" s="168"/>
      <c r="H44" s="168"/>
      <c r="I44" s="168"/>
    </row>
  </sheetData>
  <sheetProtection password="DF05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ScoringProgram</vt:lpstr>
      <vt:lpstr>ScoreCriteria</vt:lpstr>
      <vt:lpstr>RegressionData</vt:lpstr>
      <vt:lpstr>DiscrepancyPercentiles</vt:lpstr>
      <vt:lpstr>Biomarker_Lookup</vt:lpstr>
      <vt:lpstr>CDRSOB_Lookup</vt:lpstr>
    </vt:vector>
  </TitlesOfParts>
  <Company>Care New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Asken, Breton</dc:creator>
  <cp:lastModifiedBy>Asken, Breton</cp:lastModifiedBy>
  <dcterms:created xsi:type="dcterms:W3CDTF">2019-04-23T13:26:45Z</dcterms:created>
  <dcterms:modified xsi:type="dcterms:W3CDTF">2019-06-14T18:49:41Z</dcterms:modified>
</cp:coreProperties>
</file>