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sha\Desktop\Revision 1 LAA Kaminaljuyu\To Submit August 2021\"/>
    </mc:Choice>
  </mc:AlternateContent>
  <xr:revisionPtr revIDLastSave="0" documentId="13_ncr:1_{EBDF57E4-B63D-4C39-89A1-D001535BD682}" xr6:coauthVersionLast="47" xr6:coauthVersionMax="47" xr10:uidLastSave="{00000000-0000-0000-0000-000000000000}"/>
  <bookViews>
    <workbookView xWindow="-108" yWindow="-108" windowWidth="23256" windowHeight="12576" xr2:uid="{C484DEF0-3BE0-4196-9598-124A284C95F1}"/>
  </bookViews>
  <sheets>
    <sheet name="SupTable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8" i="1" l="1"/>
  <c r="V49" i="1"/>
  <c r="V50" i="1"/>
  <c r="V51" i="1"/>
  <c r="V52" i="1"/>
  <c r="V53" i="1"/>
  <c r="V54" i="1"/>
  <c r="V55" i="1"/>
  <c r="V47" i="1"/>
  <c r="V44" i="1"/>
  <c r="V39" i="1"/>
  <c r="V40" i="1"/>
  <c r="V41" i="1"/>
  <c r="V42" i="1"/>
  <c r="V43" i="1"/>
  <c r="V38" i="1"/>
  <c r="V36" i="1"/>
  <c r="V27" i="1"/>
  <c r="V29" i="1"/>
  <c r="V30" i="1"/>
  <c r="V31" i="1"/>
  <c r="V32" i="1"/>
  <c r="V33" i="1"/>
  <c r="V34" i="1"/>
  <c r="V35" i="1"/>
  <c r="V26" i="1"/>
  <c r="V25" i="1"/>
  <c r="V10" i="1"/>
  <c r="V11" i="1"/>
  <c r="V12" i="1"/>
  <c r="V13" i="1"/>
  <c r="V15" i="1"/>
  <c r="V16" i="1"/>
  <c r="V17" i="1"/>
  <c r="V18" i="1"/>
  <c r="V19" i="1"/>
  <c r="V20" i="1"/>
  <c r="V21" i="1"/>
  <c r="V22" i="1"/>
  <c r="V23" i="1"/>
  <c r="V24" i="1"/>
  <c r="V9" i="1"/>
  <c r="U61" i="1"/>
  <c r="U45" i="1"/>
  <c r="R31" i="1"/>
  <c r="R25" i="1"/>
  <c r="R13" i="1"/>
  <c r="R18" i="1"/>
  <c r="R22" i="1"/>
  <c r="R24" i="1"/>
  <c r="R11" i="1"/>
  <c r="N43" i="1"/>
  <c r="N25" i="1"/>
  <c r="N10" i="1"/>
  <c r="N11" i="1"/>
  <c r="N17" i="1"/>
  <c r="N18" i="1"/>
  <c r="N23" i="1"/>
  <c r="N24" i="1"/>
  <c r="N9" i="1"/>
  <c r="J55" i="1"/>
  <c r="J53" i="1"/>
  <c r="J51" i="1"/>
  <c r="J49" i="1"/>
  <c r="J47" i="1"/>
  <c r="J39" i="1"/>
  <c r="J36" i="1"/>
  <c r="J27" i="1"/>
  <c r="J29" i="1"/>
  <c r="J35" i="1"/>
  <c r="J26" i="1"/>
  <c r="J25" i="1"/>
  <c r="J11" i="1"/>
  <c r="J13" i="1"/>
  <c r="J18" i="1"/>
  <c r="J21" i="1"/>
  <c r="J24" i="1"/>
  <c r="J10" i="1"/>
  <c r="F58" i="1"/>
  <c r="F57" i="1"/>
  <c r="F49" i="1"/>
  <c r="F50" i="1"/>
  <c r="F51" i="1"/>
  <c r="F52" i="1"/>
  <c r="F53" i="1"/>
  <c r="F54" i="1"/>
  <c r="F48" i="1"/>
  <c r="F44" i="1"/>
  <c r="F39" i="1"/>
  <c r="F40" i="1"/>
  <c r="F41" i="1"/>
  <c r="F42" i="1"/>
  <c r="F38" i="1"/>
  <c r="F36" i="1"/>
  <c r="F30" i="1"/>
  <c r="F32" i="1"/>
  <c r="F33" i="1"/>
  <c r="F34" i="1"/>
  <c r="F35" i="1"/>
  <c r="F29" i="1"/>
  <c r="F25" i="1"/>
  <c r="F10" i="1"/>
  <c r="F11" i="1"/>
  <c r="F12" i="1"/>
  <c r="F13" i="1"/>
  <c r="F15" i="1"/>
  <c r="F16" i="1"/>
  <c r="F18" i="1"/>
  <c r="F19" i="1"/>
  <c r="F20" i="1"/>
  <c r="F22" i="1"/>
  <c r="F23" i="1"/>
  <c r="F24" i="1"/>
  <c r="F9" i="1"/>
  <c r="O61" i="1"/>
  <c r="T59" i="1"/>
  <c r="P59" i="1"/>
  <c r="T58" i="1"/>
  <c r="T57" i="1"/>
  <c r="S56" i="1"/>
  <c r="T55" i="1"/>
  <c r="H55" i="1"/>
  <c r="T54" i="1"/>
  <c r="D54" i="1"/>
  <c r="T53" i="1"/>
  <c r="H53" i="1"/>
  <c r="D53" i="1"/>
  <c r="T52" i="1"/>
  <c r="D52" i="1"/>
  <c r="T51" i="1"/>
  <c r="H51" i="1"/>
  <c r="D51" i="1"/>
  <c r="T50" i="1"/>
  <c r="D50" i="1"/>
  <c r="T49" i="1"/>
  <c r="H49" i="1"/>
  <c r="D49" i="1"/>
  <c r="T48" i="1"/>
  <c r="D48" i="1"/>
  <c r="S47" i="1"/>
  <c r="T47" i="1" s="1"/>
  <c r="H47" i="1"/>
  <c r="D47" i="1"/>
  <c r="S46" i="1"/>
  <c r="T46" i="1" s="1"/>
  <c r="H46" i="1"/>
  <c r="D46" i="1"/>
  <c r="O45" i="1"/>
  <c r="K45" i="1"/>
  <c r="G45" i="1"/>
  <c r="G61" i="1" s="1"/>
  <c r="C45" i="1"/>
  <c r="C61" i="1" s="1"/>
  <c r="T44" i="1"/>
  <c r="L44" i="1"/>
  <c r="H44" i="1"/>
  <c r="D44" i="1"/>
  <c r="T43" i="1"/>
  <c r="L43" i="1"/>
  <c r="T42" i="1"/>
  <c r="D42" i="1"/>
  <c r="T41" i="1"/>
  <c r="D41" i="1"/>
  <c r="T40" i="1"/>
  <c r="D40" i="1"/>
  <c r="T39" i="1"/>
  <c r="H39" i="1"/>
  <c r="D39" i="1"/>
  <c r="T38" i="1"/>
  <c r="D38" i="1"/>
  <c r="T37" i="1"/>
  <c r="D37" i="1"/>
  <c r="T36" i="1"/>
  <c r="S36" i="1"/>
  <c r="P36" i="1"/>
  <c r="H36" i="1"/>
  <c r="D36" i="1"/>
  <c r="T35" i="1"/>
  <c r="H35" i="1"/>
  <c r="D35" i="1"/>
  <c r="T34" i="1"/>
  <c r="D34" i="1"/>
  <c r="T33" i="1"/>
  <c r="D33" i="1"/>
  <c r="T32" i="1"/>
  <c r="D32" i="1"/>
  <c r="T31" i="1"/>
  <c r="P31" i="1"/>
  <c r="T30" i="1"/>
  <c r="D30" i="1"/>
  <c r="T29" i="1"/>
  <c r="H29" i="1"/>
  <c r="D29" i="1"/>
  <c r="T28" i="1"/>
  <c r="D28" i="1"/>
  <c r="T27" i="1"/>
  <c r="H27" i="1"/>
  <c r="D27" i="1"/>
  <c r="T26" i="1"/>
  <c r="H26" i="1"/>
  <c r="S25" i="1"/>
  <c r="T25" i="1" s="1"/>
  <c r="P25" i="1"/>
  <c r="L25" i="1"/>
  <c r="H25" i="1"/>
  <c r="D25" i="1"/>
  <c r="S24" i="1"/>
  <c r="T24" i="1" s="1"/>
  <c r="P24" i="1"/>
  <c r="L24" i="1"/>
  <c r="H24" i="1"/>
  <c r="D24" i="1"/>
  <c r="T23" i="1"/>
  <c r="P23" i="1"/>
  <c r="L23" i="1"/>
  <c r="D23" i="1"/>
  <c r="T22" i="1"/>
  <c r="P22" i="1"/>
  <c r="D22" i="1"/>
  <c r="T21" i="1"/>
  <c r="H21" i="1"/>
  <c r="T20" i="1"/>
  <c r="D20" i="1"/>
  <c r="T19" i="1"/>
  <c r="D19" i="1"/>
  <c r="S18" i="1"/>
  <c r="T18" i="1" s="1"/>
  <c r="P18" i="1"/>
  <c r="L18" i="1"/>
  <c r="H18" i="1"/>
  <c r="D18" i="1"/>
  <c r="T17" i="1"/>
  <c r="L17" i="1"/>
  <c r="T16" i="1"/>
  <c r="D16" i="1"/>
  <c r="T15" i="1"/>
  <c r="D15" i="1"/>
  <c r="T14" i="1"/>
  <c r="D14" i="1"/>
  <c r="S13" i="1"/>
  <c r="T13" i="1" s="1"/>
  <c r="P13" i="1"/>
  <c r="H13" i="1"/>
  <c r="D13" i="1"/>
  <c r="T12" i="1"/>
  <c r="D12" i="1"/>
  <c r="S11" i="1"/>
  <c r="T11" i="1" s="1"/>
  <c r="P11" i="1"/>
  <c r="L11" i="1"/>
  <c r="H11" i="1"/>
  <c r="D11" i="1"/>
  <c r="T10" i="1"/>
  <c r="L10" i="1"/>
  <c r="H10" i="1"/>
  <c r="D10" i="1"/>
  <c r="T9" i="1"/>
  <c r="L9" i="1"/>
  <c r="D9" i="1"/>
  <c r="S8" i="1"/>
  <c r="T8" i="1" s="1"/>
  <c r="L8" i="1"/>
  <c r="H8" i="1"/>
  <c r="D8" i="1"/>
  <c r="S7" i="1"/>
  <c r="T7" i="1" s="1"/>
  <c r="P7" i="1"/>
  <c r="L7" i="1"/>
  <c r="H7" i="1"/>
  <c r="D7" i="1"/>
  <c r="S6" i="1"/>
  <c r="T6" i="1" s="1"/>
  <c r="P6" i="1"/>
  <c r="L6" i="1"/>
  <c r="H6" i="1"/>
  <c r="D6" i="1"/>
  <c r="S5" i="1"/>
  <c r="T5" i="1" s="1"/>
  <c r="P5" i="1"/>
  <c r="L5" i="1"/>
  <c r="H5" i="1"/>
  <c r="D5" i="1"/>
  <c r="S45" i="1" l="1"/>
  <c r="S61" i="1"/>
</calcChain>
</file>

<file path=xl/sharedStrings.xml><?xml version="1.0" encoding="utf-8"?>
<sst xmlns="http://schemas.openxmlformats.org/spreadsheetml/2006/main" count="673" uniqueCount="142">
  <si>
    <t>Common Name</t>
  </si>
  <si>
    <t>Mammalia, unid.</t>
  </si>
  <si>
    <t>unidentified mammal</t>
  </si>
  <si>
    <t>Mammalia, medium-large</t>
  </si>
  <si>
    <t>Mammalia, medium-small</t>
  </si>
  <si>
    <t>Mammalia, small</t>
  </si>
  <si>
    <t>Didelphis virginiana</t>
  </si>
  <si>
    <t>Virginia opossum</t>
  </si>
  <si>
    <t>Dasypus novemcinctus</t>
  </si>
  <si>
    <t>nine-banded armadillo</t>
  </si>
  <si>
    <t>cottontail rabbit</t>
  </si>
  <si>
    <t>Rodentia, small</t>
  </si>
  <si>
    <t>Orthogeomys hispidus</t>
  </si>
  <si>
    <t>hispid pocket gopher</t>
  </si>
  <si>
    <t>Heteromyidae, unid.</t>
  </si>
  <si>
    <t>pocket mouse</t>
  </si>
  <si>
    <t>Sigmodontidae, unid.</t>
  </si>
  <si>
    <t>unidentified New World rodent</t>
  </si>
  <si>
    <t>Carnivora, unid.</t>
  </si>
  <si>
    <t>unidentified carnivore</t>
  </si>
  <si>
    <t>Canis lupus familiaris</t>
  </si>
  <si>
    <t>domestic dog</t>
  </si>
  <si>
    <t>cacomistle (ringtail)?</t>
  </si>
  <si>
    <t>Felidae, large</t>
  </si>
  <si>
    <t>jaguar or puma</t>
  </si>
  <si>
    <t>Tayassuidae, unid.</t>
  </si>
  <si>
    <t>collared or white-lipped peccary</t>
  </si>
  <si>
    <t>Cervidae, unid.</t>
  </si>
  <si>
    <t>brocket or white-tailed deer</t>
  </si>
  <si>
    <t>Odocoileus virginianus</t>
  </si>
  <si>
    <t>white-tailed deer</t>
  </si>
  <si>
    <t>Total Mammals</t>
  </si>
  <si>
    <t>Aves, medium-small</t>
  </si>
  <si>
    <t>Aves, small</t>
  </si>
  <si>
    <t>bobwhite quail</t>
  </si>
  <si>
    <t>Chachalaca</t>
  </si>
  <si>
    <t>American coot</t>
  </si>
  <si>
    <t>Columbina inca</t>
  </si>
  <si>
    <t>Inca dove</t>
  </si>
  <si>
    <t>Icteridae, unid.</t>
  </si>
  <si>
    <t>grackles, orioles, oropendolas</t>
  </si>
  <si>
    <t>Quiscalus mexicanus</t>
  </si>
  <si>
    <t>great-tailed grackle</t>
  </si>
  <si>
    <t>Total Birds</t>
  </si>
  <si>
    <t>Testudines, unid.</t>
  </si>
  <si>
    <t>unidentified turtle</t>
  </si>
  <si>
    <t>Trachemys venusta</t>
  </si>
  <si>
    <t>Mesoamerican slider</t>
  </si>
  <si>
    <t>Kinosternon scorpiodes</t>
  </si>
  <si>
    <t>scorpion mud turtle</t>
  </si>
  <si>
    <t>Kinosternidae, unid.</t>
  </si>
  <si>
    <t>mud or musk turtle</t>
  </si>
  <si>
    <t>Serpentes, unid.</t>
  </si>
  <si>
    <t>unidentified snake</t>
  </si>
  <si>
    <t>Anura, unid.</t>
  </si>
  <si>
    <t>frog or toad</t>
  </si>
  <si>
    <t>Total Reptiles and Amphibians</t>
  </si>
  <si>
    <t>Total Non-Fish</t>
  </si>
  <si>
    <t>Actinopterygii</t>
  </si>
  <si>
    <t>unidentified bony fish</t>
  </si>
  <si>
    <t>Siluriformes</t>
  </si>
  <si>
    <t>Cichlidae</t>
  </si>
  <si>
    <t>Pacific fat sleeper</t>
  </si>
  <si>
    <t>Total Fish</t>
  </si>
  <si>
    <t>Mollusca (marine?)</t>
  </si>
  <si>
    <t>unidentified (marine?) mollusk</t>
  </si>
  <si>
    <t>ark clam</t>
  </si>
  <si>
    <t>Total Mollusks</t>
  </si>
  <si>
    <t>Grand Total</t>
  </si>
  <si>
    <t>E-III-3 Base (Late Preclassic)</t>
  </si>
  <si>
    <t>Palangana Gran Depósito (Terminal Preclassic)</t>
  </si>
  <si>
    <t>Acropolis (Mixed Classic)</t>
  </si>
  <si>
    <t>Total</t>
  </si>
  <si>
    <t>Species Name</t>
  </si>
  <si>
    <t>NISP</t>
  </si>
  <si>
    <t>%</t>
  </si>
  <si>
    <t>-</t>
  </si>
  <si>
    <t>85*</t>
  </si>
  <si>
    <t>Canidae, small</t>
  </si>
  <si>
    <t>small dog or fox</t>
  </si>
  <si>
    <t>Tapirella bairdii</t>
  </si>
  <si>
    <t>Baird's tapir</t>
  </si>
  <si>
    <t>Aves, unid.</t>
  </si>
  <si>
    <t>unidentified bird</t>
  </si>
  <si>
    <t>turkey</t>
  </si>
  <si>
    <t>Rhinella marina</t>
  </si>
  <si>
    <t>cane toad</t>
  </si>
  <si>
    <t>30.9% total</t>
  </si>
  <si>
    <t>98.1% total</t>
  </si>
  <si>
    <t>100.0% total</t>
  </si>
  <si>
    <t>98.5% total</t>
  </si>
  <si>
    <t>64.0% total</t>
  </si>
  <si>
    <t>catfish</t>
  </si>
  <si>
    <t>cichlid</t>
  </si>
  <si>
    <t>mullet</t>
  </si>
  <si>
    <t>snook</t>
  </si>
  <si>
    <t>snapper</t>
  </si>
  <si>
    <t>grunt</t>
  </si>
  <si>
    <t>bull shark</t>
  </si>
  <si>
    <t>69.0% total</t>
  </si>
  <si>
    <t>1.9% total</t>
  </si>
  <si>
    <t>35.9% total</t>
  </si>
  <si>
    <t>Gastropoda, large marine</t>
  </si>
  <si>
    <t>unidentified large marine snail</t>
  </si>
  <si>
    <t>0.1% total</t>
  </si>
  <si>
    <t>1.5% total</t>
  </si>
  <si>
    <t>MNI</t>
  </si>
  <si>
    <t>%NISP</t>
  </si>
  <si>
    <t>%MNI</t>
  </si>
  <si>
    <t>3.4% total</t>
  </si>
  <si>
    <t>37.3% total</t>
  </si>
  <si>
    <t>61.0% total</t>
  </si>
  <si>
    <t>83.3% total</t>
  </si>
  <si>
    <t>26.7% total</t>
  </si>
  <si>
    <t>94.4% total</t>
  </si>
  <si>
    <t>5.6% total</t>
  </si>
  <si>
    <t>75.4% total</t>
  </si>
  <si>
    <t>22.4% total</t>
  </si>
  <si>
    <t>2.2% total</t>
  </si>
  <si>
    <t>Note: Proportions (%) calculated according to total number of fish, non-fish vertebrates, or mollusks in each category, unless otherwise indicated.</t>
  </si>
  <si>
    <r>
      <t>Sylvilagus</t>
    </r>
    <r>
      <rPr>
        <sz val="11"/>
        <color rgb="FF000000"/>
        <rFont val="Times New Roman"/>
        <family val="1"/>
      </rPr>
      <t xml:space="preserve"> cf. </t>
    </r>
    <r>
      <rPr>
        <i/>
        <sz val="11"/>
        <color rgb="FF000000"/>
        <rFont val="Times New Roman"/>
        <family val="1"/>
      </rPr>
      <t>floridanus</t>
    </r>
  </si>
  <si>
    <r>
      <t>Procyonidae (</t>
    </r>
    <r>
      <rPr>
        <i/>
        <sz val="11"/>
        <color rgb="FF000000"/>
        <rFont val="Times New Roman"/>
        <family val="1"/>
      </rPr>
      <t>Bassariscus</t>
    </r>
    <r>
      <rPr>
        <sz val="11"/>
        <color rgb="FF000000"/>
        <rFont val="Times New Roman"/>
        <family val="1"/>
      </rPr>
      <t>?)</t>
    </r>
  </si>
  <si>
    <r>
      <t xml:space="preserve">Colinus </t>
    </r>
    <r>
      <rPr>
        <sz val="11"/>
        <color rgb="FF000000"/>
        <rFont val="Times New Roman"/>
        <family val="1"/>
      </rPr>
      <t>sp.</t>
    </r>
  </si>
  <si>
    <r>
      <t xml:space="preserve">cf. </t>
    </r>
    <r>
      <rPr>
        <i/>
        <sz val="11"/>
        <color rgb="FF000000"/>
        <rFont val="Times New Roman"/>
        <family val="1"/>
      </rPr>
      <t>Ortalis</t>
    </r>
    <r>
      <rPr>
        <sz val="11"/>
        <color rgb="FF000000"/>
        <rFont val="Times New Roman"/>
        <family val="1"/>
      </rPr>
      <t xml:space="preserve"> sp. (</t>
    </r>
    <r>
      <rPr>
        <i/>
        <sz val="11"/>
        <color rgb="FF000000"/>
        <rFont val="Times New Roman"/>
        <family val="1"/>
      </rPr>
      <t>vetula</t>
    </r>
    <r>
      <rPr>
        <sz val="11"/>
        <color rgb="FF000000"/>
        <rFont val="Times New Roman"/>
        <family val="1"/>
      </rPr>
      <t>?)</t>
    </r>
  </si>
  <si>
    <r>
      <t xml:space="preserve">Meleagris </t>
    </r>
    <r>
      <rPr>
        <sz val="11"/>
        <color rgb="FF000000"/>
        <rFont val="Times New Roman"/>
        <family val="1"/>
      </rPr>
      <t>sp.</t>
    </r>
  </si>
  <si>
    <r>
      <t>cf.</t>
    </r>
    <r>
      <rPr>
        <i/>
        <sz val="11"/>
        <color rgb="FF000000"/>
        <rFont val="Times New Roman"/>
        <family val="1"/>
      </rPr>
      <t xml:space="preserve"> Fulica americana</t>
    </r>
  </si>
  <si>
    <r>
      <t>cf.</t>
    </r>
    <r>
      <rPr>
        <i/>
        <sz val="11"/>
        <color rgb="FF000000"/>
        <rFont val="Times New Roman"/>
        <family val="1"/>
      </rPr>
      <t xml:space="preserve"> Rhamdia</t>
    </r>
    <r>
      <rPr>
        <sz val="11"/>
        <color rgb="FF000000"/>
        <rFont val="Times New Roman"/>
        <family val="1"/>
      </rPr>
      <t xml:space="preserve"> sp.</t>
    </r>
  </si>
  <si>
    <r>
      <t xml:space="preserve">Mugil </t>
    </r>
    <r>
      <rPr>
        <sz val="11"/>
        <color rgb="FF000000"/>
        <rFont val="Times New Roman"/>
        <family val="1"/>
      </rPr>
      <t>sp.</t>
    </r>
  </si>
  <si>
    <r>
      <t>Centropomus</t>
    </r>
    <r>
      <rPr>
        <sz val="11"/>
        <color rgb="FF000000"/>
        <rFont val="Times New Roman"/>
        <family val="1"/>
      </rPr>
      <t xml:space="preserve"> sp.</t>
    </r>
  </si>
  <si>
    <r>
      <t xml:space="preserve">Lutjanus </t>
    </r>
    <r>
      <rPr>
        <sz val="11"/>
        <color rgb="FF000000"/>
        <rFont val="Times New Roman"/>
        <family val="1"/>
      </rPr>
      <t>sp.</t>
    </r>
  </si>
  <si>
    <r>
      <t>Pomadasys</t>
    </r>
    <r>
      <rPr>
        <sz val="11"/>
        <color rgb="FF000000"/>
        <rFont val="Times New Roman"/>
        <family val="1"/>
      </rPr>
      <t xml:space="preserve"> sp.</t>
    </r>
  </si>
  <si>
    <r>
      <t xml:space="preserve">Dormitator </t>
    </r>
    <r>
      <rPr>
        <sz val="11"/>
        <color rgb="FF000000"/>
        <rFont val="Times New Roman"/>
        <family val="1"/>
      </rPr>
      <t xml:space="preserve">cf. </t>
    </r>
    <r>
      <rPr>
        <i/>
        <sz val="11"/>
        <color rgb="FF000000"/>
        <rFont val="Times New Roman"/>
        <family val="1"/>
      </rPr>
      <t>latifrons</t>
    </r>
  </si>
  <si>
    <r>
      <t xml:space="preserve">cf. </t>
    </r>
    <r>
      <rPr>
        <i/>
        <sz val="11"/>
        <color rgb="FF000000"/>
        <rFont val="Times New Roman"/>
        <family val="1"/>
      </rPr>
      <t>Carcharhinus leucas</t>
    </r>
  </si>
  <si>
    <r>
      <t xml:space="preserve">cf. </t>
    </r>
    <r>
      <rPr>
        <i/>
        <sz val="11"/>
        <color rgb="FF000000"/>
        <rFont val="Times New Roman"/>
        <family val="1"/>
      </rPr>
      <t>Anadara tuberculosa</t>
    </r>
  </si>
  <si>
    <t>A-IV-1/A-IV-2 Area (Late Preclassic - Early Classic)</t>
  </si>
  <si>
    <t>unidentified mammal (size of deer)</t>
  </si>
  <si>
    <t>unidentified mammal (size of dog)</t>
  </si>
  <si>
    <t>unidentified mammal (size of bat)</t>
  </si>
  <si>
    <t>unidentified rodent</t>
  </si>
  <si>
    <t>unidentified bird (size of duck)</t>
  </si>
  <si>
    <t>unidentified bird (size of dove)</t>
  </si>
  <si>
    <t>Supplemental Table 2. Expanded summary of specimen identifications.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</si>
</sst>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4" fillId="0" borderId="6" xfId="0" applyFont="1" applyBorder="1" applyAlignment="1">
      <alignment vertical="center"/>
    </xf>
    <xf numFmtId="164" fontId="2" fillId="0" borderId="5" xfId="0" applyNumberFormat="1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right"/>
    </xf>
    <xf numFmtId="0" fontId="1" fillId="0" borderId="7" xfId="0" applyFont="1" applyBorder="1"/>
    <xf numFmtId="0" fontId="2" fillId="0" borderId="3" xfId="0" applyFont="1" applyBorder="1"/>
    <xf numFmtId="0" fontId="1" fillId="0" borderId="3" xfId="0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2" fillId="0" borderId="6" xfId="0" applyFont="1" applyBorder="1"/>
    <xf numFmtId="164" fontId="2" fillId="0" borderId="1" xfId="0" applyNumberFormat="1" applyFont="1" applyBorder="1" applyAlignment="1">
      <alignment horizontal="right"/>
    </xf>
    <xf numFmtId="0" fontId="4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1" fillId="0" borderId="3" xfId="0" applyFont="1" applyBorder="1"/>
    <xf numFmtId="164" fontId="2" fillId="0" borderId="9" xfId="0" applyNumberFormat="1" applyFont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EF38F-8BED-41AD-BB21-2867C5827034}">
  <dimension ref="A1:V62"/>
  <sheetViews>
    <sheetView tabSelected="1" workbookViewId="0">
      <pane ySplit="4" topLeftCell="A5" activePane="bottomLeft" state="frozen"/>
      <selection pane="bottomLeft" activeCell="C1" sqref="C1"/>
    </sheetView>
  </sheetViews>
  <sheetFormatPr defaultRowHeight="13.8" x14ac:dyDescent="0.25"/>
  <cols>
    <col min="1" max="1" width="34.77734375" style="2" customWidth="1"/>
    <col min="2" max="2" width="34" style="2" customWidth="1"/>
    <col min="3" max="3" width="11.88671875" style="2" customWidth="1"/>
    <col min="4" max="4" width="11" style="2" bestFit="1" customWidth="1"/>
    <col min="5" max="5" width="9.88671875" style="2" customWidth="1"/>
    <col min="6" max="6" width="11" style="2" bestFit="1" customWidth="1"/>
    <col min="7" max="7" width="12.109375" style="2" customWidth="1"/>
    <col min="8" max="10" width="11.6640625" style="2" customWidth="1"/>
    <col min="11" max="11" width="14.88671875" style="2" customWidth="1"/>
    <col min="12" max="12" width="12" style="2" customWidth="1"/>
    <col min="13" max="13" width="8.88671875" style="2" customWidth="1"/>
    <col min="14" max="14" width="12" style="2" customWidth="1"/>
    <col min="15" max="15" width="8.88671875" style="2"/>
    <col min="16" max="16" width="11" style="2" bestFit="1" customWidth="1"/>
    <col min="17" max="17" width="8.88671875" style="2"/>
    <col min="18" max="18" width="11" style="2" bestFit="1" customWidth="1"/>
    <col min="19" max="19" width="8.88671875" style="2"/>
    <col min="20" max="20" width="11" style="2" bestFit="1" customWidth="1"/>
    <col min="21" max="21" width="8.88671875" style="2"/>
    <col min="22" max="22" width="11" style="2" customWidth="1"/>
    <col min="23" max="16384" width="8.88671875" style="2"/>
  </cols>
  <sheetData>
    <row r="1" spans="1:22" x14ac:dyDescent="0.25">
      <c r="A1" s="1" t="s">
        <v>141</v>
      </c>
    </row>
    <row r="3" spans="1:22" ht="44.4" customHeight="1" x14ac:dyDescent="0.25">
      <c r="A3" s="3"/>
      <c r="B3" s="4"/>
      <c r="C3" s="44" t="s">
        <v>69</v>
      </c>
      <c r="D3" s="44"/>
      <c r="E3" s="44"/>
      <c r="F3" s="44"/>
      <c r="G3" s="44" t="s">
        <v>70</v>
      </c>
      <c r="H3" s="44"/>
      <c r="I3" s="44"/>
      <c r="J3" s="44"/>
      <c r="K3" s="43" t="s">
        <v>134</v>
      </c>
      <c r="L3" s="43"/>
      <c r="M3" s="5"/>
      <c r="N3" s="5"/>
      <c r="O3" s="44" t="s">
        <v>71</v>
      </c>
      <c r="P3" s="44"/>
      <c r="Q3" s="44"/>
      <c r="R3" s="44"/>
      <c r="S3" s="45" t="s">
        <v>72</v>
      </c>
      <c r="T3" s="45"/>
      <c r="U3" s="45"/>
      <c r="V3" s="46"/>
    </row>
    <row r="4" spans="1:22" x14ac:dyDescent="0.25">
      <c r="A4" s="6" t="s">
        <v>73</v>
      </c>
      <c r="B4" s="7" t="s">
        <v>0</v>
      </c>
      <c r="C4" s="7" t="s">
        <v>74</v>
      </c>
      <c r="D4" s="7" t="s">
        <v>107</v>
      </c>
      <c r="E4" s="7" t="s">
        <v>106</v>
      </c>
      <c r="F4" s="7" t="s">
        <v>108</v>
      </c>
      <c r="G4" s="7" t="s">
        <v>74</v>
      </c>
      <c r="H4" s="7" t="s">
        <v>107</v>
      </c>
      <c r="I4" s="7" t="s">
        <v>106</v>
      </c>
      <c r="J4" s="7" t="s">
        <v>108</v>
      </c>
      <c r="K4" s="7" t="s">
        <v>74</v>
      </c>
      <c r="L4" s="7" t="s">
        <v>107</v>
      </c>
      <c r="M4" s="7" t="s">
        <v>106</v>
      </c>
      <c r="N4" s="7" t="s">
        <v>108</v>
      </c>
      <c r="O4" s="7" t="s">
        <v>74</v>
      </c>
      <c r="P4" s="7" t="s">
        <v>75</v>
      </c>
      <c r="Q4" s="7" t="s">
        <v>106</v>
      </c>
      <c r="R4" s="7" t="s">
        <v>108</v>
      </c>
      <c r="S4" s="7" t="s">
        <v>74</v>
      </c>
      <c r="T4" s="7" t="s">
        <v>75</v>
      </c>
      <c r="U4" s="8" t="s">
        <v>106</v>
      </c>
      <c r="V4" s="9" t="s">
        <v>108</v>
      </c>
    </row>
    <row r="5" spans="1:22" x14ac:dyDescent="0.25">
      <c r="A5" s="10" t="s">
        <v>1</v>
      </c>
      <c r="B5" s="11" t="s">
        <v>2</v>
      </c>
      <c r="C5" s="12">
        <v>193</v>
      </c>
      <c r="D5" s="13">
        <f>C5/484*100</f>
        <v>39.876033057851238</v>
      </c>
      <c r="E5" s="13" t="s">
        <v>76</v>
      </c>
      <c r="F5" s="13" t="s">
        <v>76</v>
      </c>
      <c r="G5" s="12">
        <v>383</v>
      </c>
      <c r="H5" s="13">
        <f>G5/1097*100</f>
        <v>34.913400182315407</v>
      </c>
      <c r="I5" s="14" t="s">
        <v>76</v>
      </c>
      <c r="J5" s="13" t="s">
        <v>76</v>
      </c>
      <c r="K5" s="12">
        <v>59</v>
      </c>
      <c r="L5" s="13">
        <f>K5/319*100</f>
        <v>18.495297805642632</v>
      </c>
      <c r="M5" s="14" t="s">
        <v>76</v>
      </c>
      <c r="N5" s="13" t="s">
        <v>76</v>
      </c>
      <c r="O5" s="12">
        <v>6</v>
      </c>
      <c r="P5" s="13">
        <f>O5/66*100</f>
        <v>9.0909090909090917</v>
      </c>
      <c r="Q5" s="13" t="s">
        <v>76</v>
      </c>
      <c r="R5" s="13" t="s">
        <v>76</v>
      </c>
      <c r="S5" s="12">
        <f>C5+G5+K5+O5</f>
        <v>641</v>
      </c>
      <c r="T5" s="15">
        <f>S5/1966*100</f>
        <v>32.604272634791457</v>
      </c>
      <c r="U5" s="12" t="s">
        <v>76</v>
      </c>
      <c r="V5" s="16" t="s">
        <v>76</v>
      </c>
    </row>
    <row r="6" spans="1:22" x14ac:dyDescent="0.25">
      <c r="A6" s="10" t="s">
        <v>3</v>
      </c>
      <c r="B6" s="11" t="s">
        <v>135</v>
      </c>
      <c r="C6" s="12">
        <v>3</v>
      </c>
      <c r="D6" s="13">
        <f t="shared" ref="D6:D24" si="0">C6/484*100</f>
        <v>0.6198347107438017</v>
      </c>
      <c r="E6" s="13" t="s">
        <v>76</v>
      </c>
      <c r="F6" s="13" t="s">
        <v>76</v>
      </c>
      <c r="G6" s="12">
        <v>26</v>
      </c>
      <c r="H6" s="13">
        <f t="shared" ref="H6:H24" si="1">G6/1097*100</f>
        <v>2.3701002734731085</v>
      </c>
      <c r="I6" s="14" t="s">
        <v>76</v>
      </c>
      <c r="J6" s="13" t="s">
        <v>76</v>
      </c>
      <c r="K6" s="12">
        <v>2</v>
      </c>
      <c r="L6" s="13">
        <f t="shared" ref="L6:L24" si="2">K6/319*100</f>
        <v>0.62695924764890276</v>
      </c>
      <c r="M6" s="14" t="s">
        <v>76</v>
      </c>
      <c r="N6" s="13" t="s">
        <v>76</v>
      </c>
      <c r="O6" s="12">
        <v>12</v>
      </c>
      <c r="P6" s="13">
        <f t="shared" ref="P6:P24" si="3">O6/66*100</f>
        <v>18.181818181818183</v>
      </c>
      <c r="Q6" s="13" t="s">
        <v>76</v>
      </c>
      <c r="R6" s="13" t="s">
        <v>76</v>
      </c>
      <c r="S6" s="12">
        <f>C6+G6+K6+O6</f>
        <v>43</v>
      </c>
      <c r="T6" s="15">
        <f t="shared" ref="T6:T24" si="4">S6/1966*100</f>
        <v>2.1871820956256358</v>
      </c>
      <c r="U6" s="12" t="s">
        <v>76</v>
      </c>
      <c r="V6" s="16" t="s">
        <v>76</v>
      </c>
    </row>
    <row r="7" spans="1:22" x14ac:dyDescent="0.25">
      <c r="A7" s="10" t="s">
        <v>4</v>
      </c>
      <c r="B7" s="11" t="s">
        <v>136</v>
      </c>
      <c r="C7" s="12">
        <v>32</v>
      </c>
      <c r="D7" s="13">
        <f t="shared" si="0"/>
        <v>6.6115702479338845</v>
      </c>
      <c r="E7" s="13" t="s">
        <v>76</v>
      </c>
      <c r="F7" s="13" t="s">
        <v>76</v>
      </c>
      <c r="G7" s="12">
        <v>28</v>
      </c>
      <c r="H7" s="13">
        <f t="shared" si="1"/>
        <v>2.552415679124886</v>
      </c>
      <c r="I7" s="14" t="s">
        <v>76</v>
      </c>
      <c r="J7" s="13" t="s">
        <v>76</v>
      </c>
      <c r="K7" s="12">
        <v>2</v>
      </c>
      <c r="L7" s="13">
        <f t="shared" si="2"/>
        <v>0.62695924764890276</v>
      </c>
      <c r="M7" s="14" t="s">
        <v>76</v>
      </c>
      <c r="N7" s="13" t="s">
        <v>76</v>
      </c>
      <c r="O7" s="12">
        <v>3</v>
      </c>
      <c r="P7" s="13">
        <f t="shared" si="3"/>
        <v>4.5454545454545459</v>
      </c>
      <c r="Q7" s="13" t="s">
        <v>76</v>
      </c>
      <c r="R7" s="13" t="s">
        <v>76</v>
      </c>
      <c r="S7" s="12">
        <f>C7+G7+K7+O7</f>
        <v>65</v>
      </c>
      <c r="T7" s="15">
        <f t="shared" si="4"/>
        <v>3.3062054933875888</v>
      </c>
      <c r="U7" s="12" t="s">
        <v>76</v>
      </c>
      <c r="V7" s="16" t="s">
        <v>76</v>
      </c>
    </row>
    <row r="8" spans="1:22" x14ac:dyDescent="0.25">
      <c r="A8" s="10" t="s">
        <v>5</v>
      </c>
      <c r="B8" s="11" t="s">
        <v>137</v>
      </c>
      <c r="C8" s="12">
        <v>5</v>
      </c>
      <c r="D8" s="13">
        <f t="shared" si="0"/>
        <v>1.0330578512396695</v>
      </c>
      <c r="E8" s="14" t="s">
        <v>76</v>
      </c>
      <c r="F8" s="13" t="s">
        <v>76</v>
      </c>
      <c r="G8" s="12">
        <v>1</v>
      </c>
      <c r="H8" s="13">
        <f t="shared" si="1"/>
        <v>9.1157702825888781E-2</v>
      </c>
      <c r="I8" s="14" t="s">
        <v>76</v>
      </c>
      <c r="J8" s="13" t="s">
        <v>76</v>
      </c>
      <c r="K8" s="12">
        <v>2</v>
      </c>
      <c r="L8" s="13">
        <f t="shared" si="2"/>
        <v>0.62695924764890276</v>
      </c>
      <c r="M8" s="14" t="s">
        <v>76</v>
      </c>
      <c r="N8" s="13" t="s">
        <v>76</v>
      </c>
      <c r="O8" s="12" t="s">
        <v>76</v>
      </c>
      <c r="P8" s="13" t="s">
        <v>76</v>
      </c>
      <c r="Q8" s="13" t="s">
        <v>76</v>
      </c>
      <c r="R8" s="13" t="s">
        <v>76</v>
      </c>
      <c r="S8" s="12">
        <f>C8+G8+K8</f>
        <v>8</v>
      </c>
      <c r="T8" s="15">
        <f t="shared" si="4"/>
        <v>0.40691759918616477</v>
      </c>
      <c r="U8" s="17" t="s">
        <v>76</v>
      </c>
      <c r="V8" s="16" t="s">
        <v>76</v>
      </c>
    </row>
    <row r="9" spans="1:22" x14ac:dyDescent="0.25">
      <c r="A9" s="18" t="s">
        <v>6</v>
      </c>
      <c r="B9" s="11" t="s">
        <v>7</v>
      </c>
      <c r="C9" s="12">
        <v>2</v>
      </c>
      <c r="D9" s="13">
        <f t="shared" si="0"/>
        <v>0.41322314049586778</v>
      </c>
      <c r="E9" s="14">
        <v>1</v>
      </c>
      <c r="F9" s="13">
        <f>E9/36*100</f>
        <v>2.7777777777777777</v>
      </c>
      <c r="G9" s="12" t="s">
        <v>76</v>
      </c>
      <c r="H9" s="13" t="s">
        <v>76</v>
      </c>
      <c r="I9" s="14" t="s">
        <v>76</v>
      </c>
      <c r="J9" s="13" t="s">
        <v>76</v>
      </c>
      <c r="K9" s="12" t="s">
        <v>77</v>
      </c>
      <c r="L9" s="13">
        <f>85/319*100</f>
        <v>26.645768025078372</v>
      </c>
      <c r="M9" s="14">
        <v>1</v>
      </c>
      <c r="N9" s="13">
        <f>M9/18*100</f>
        <v>5.5555555555555554</v>
      </c>
      <c r="O9" s="12" t="s">
        <v>76</v>
      </c>
      <c r="P9" s="13" t="s">
        <v>76</v>
      </c>
      <c r="Q9" s="14" t="s">
        <v>76</v>
      </c>
      <c r="R9" s="13" t="s">
        <v>76</v>
      </c>
      <c r="S9" s="12">
        <v>87</v>
      </c>
      <c r="T9" s="15">
        <f t="shared" si="4"/>
        <v>4.4252288911495423</v>
      </c>
      <c r="U9" s="12">
        <v>2</v>
      </c>
      <c r="V9" s="19">
        <f>U9/101*100</f>
        <v>1.9801980198019802</v>
      </c>
    </row>
    <row r="10" spans="1:22" x14ac:dyDescent="0.25">
      <c r="A10" s="18" t="s">
        <v>8</v>
      </c>
      <c r="B10" s="11" t="s">
        <v>9</v>
      </c>
      <c r="C10" s="12">
        <v>9</v>
      </c>
      <c r="D10" s="13">
        <f>9/484*100</f>
        <v>1.859504132231405</v>
      </c>
      <c r="E10" s="14">
        <v>1</v>
      </c>
      <c r="F10" s="13">
        <f t="shared" ref="F10:F24" si="5">E10/36*100</f>
        <v>2.7777777777777777</v>
      </c>
      <c r="G10" s="12">
        <v>14</v>
      </c>
      <c r="H10" s="13">
        <f>14/1097*100</f>
        <v>1.276207839562443</v>
      </c>
      <c r="I10" s="14">
        <v>1</v>
      </c>
      <c r="J10" s="13">
        <f>I10/30*100</f>
        <v>3.3333333333333335</v>
      </c>
      <c r="K10" s="12">
        <v>1</v>
      </c>
      <c r="L10" s="13">
        <f t="shared" si="2"/>
        <v>0.31347962382445138</v>
      </c>
      <c r="M10" s="14">
        <v>1</v>
      </c>
      <c r="N10" s="13">
        <f t="shared" ref="N10:N24" si="6">M10/18*100</f>
        <v>5.5555555555555554</v>
      </c>
      <c r="O10" s="12" t="s">
        <v>76</v>
      </c>
      <c r="P10" s="13" t="s">
        <v>76</v>
      </c>
      <c r="Q10" s="14" t="s">
        <v>76</v>
      </c>
      <c r="R10" s="13" t="s">
        <v>76</v>
      </c>
      <c r="S10" s="12">
        <v>24</v>
      </c>
      <c r="T10" s="15">
        <f t="shared" si="4"/>
        <v>1.2207527975584944</v>
      </c>
      <c r="U10" s="12">
        <v>3</v>
      </c>
      <c r="V10" s="19">
        <f t="shared" ref="V10:V24" si="7">U10/101*100</f>
        <v>2.9702970297029703</v>
      </c>
    </row>
    <row r="11" spans="1:22" x14ac:dyDescent="0.25">
      <c r="A11" s="18" t="s">
        <v>120</v>
      </c>
      <c r="B11" s="11" t="s">
        <v>10</v>
      </c>
      <c r="C11" s="12">
        <v>5</v>
      </c>
      <c r="D11" s="13">
        <f t="shared" si="0"/>
        <v>1.0330578512396695</v>
      </c>
      <c r="E11" s="14">
        <v>3</v>
      </c>
      <c r="F11" s="13">
        <f t="shared" si="5"/>
        <v>8.3333333333333321</v>
      </c>
      <c r="G11" s="12">
        <v>2</v>
      </c>
      <c r="H11" s="13">
        <f t="shared" si="1"/>
        <v>0.18231540565177756</v>
      </c>
      <c r="I11" s="14">
        <v>2</v>
      </c>
      <c r="J11" s="13">
        <f t="shared" ref="J11:J24" si="8">I11/30*100</f>
        <v>6.666666666666667</v>
      </c>
      <c r="K11" s="12">
        <v>14</v>
      </c>
      <c r="L11" s="13">
        <f t="shared" si="2"/>
        <v>4.3887147335423196</v>
      </c>
      <c r="M11" s="14">
        <v>1</v>
      </c>
      <c r="N11" s="13">
        <f t="shared" si="6"/>
        <v>5.5555555555555554</v>
      </c>
      <c r="O11" s="12">
        <v>3</v>
      </c>
      <c r="P11" s="13">
        <f t="shared" si="3"/>
        <v>4.5454545454545459</v>
      </c>
      <c r="Q11" s="14">
        <v>1</v>
      </c>
      <c r="R11" s="13">
        <f>Q11/17*100</f>
        <v>5.8823529411764701</v>
      </c>
      <c r="S11" s="12">
        <f>C11+G11+K11+O11</f>
        <v>24</v>
      </c>
      <c r="T11" s="15">
        <f t="shared" si="4"/>
        <v>1.2207527975584944</v>
      </c>
      <c r="U11" s="12">
        <v>7</v>
      </c>
      <c r="V11" s="19">
        <f t="shared" si="7"/>
        <v>6.9306930693069315</v>
      </c>
    </row>
    <row r="12" spans="1:22" x14ac:dyDescent="0.25">
      <c r="A12" s="10" t="s">
        <v>11</v>
      </c>
      <c r="B12" s="20" t="s">
        <v>138</v>
      </c>
      <c r="C12" s="12">
        <v>23</v>
      </c>
      <c r="D12" s="13">
        <f t="shared" si="0"/>
        <v>4.7520661157024797</v>
      </c>
      <c r="E12" s="14">
        <v>3</v>
      </c>
      <c r="F12" s="13">
        <f t="shared" si="5"/>
        <v>8.3333333333333321</v>
      </c>
      <c r="G12" s="12" t="s">
        <v>76</v>
      </c>
      <c r="H12" s="13" t="s">
        <v>76</v>
      </c>
      <c r="I12" s="14" t="s">
        <v>76</v>
      </c>
      <c r="J12" s="13" t="s">
        <v>76</v>
      </c>
      <c r="K12" s="12" t="s">
        <v>76</v>
      </c>
      <c r="L12" s="13" t="s">
        <v>76</v>
      </c>
      <c r="M12" s="14" t="s">
        <v>76</v>
      </c>
      <c r="N12" s="13" t="s">
        <v>76</v>
      </c>
      <c r="O12" s="12" t="s">
        <v>76</v>
      </c>
      <c r="P12" s="13" t="s">
        <v>76</v>
      </c>
      <c r="Q12" s="14" t="s">
        <v>76</v>
      </c>
      <c r="R12" s="13" t="s">
        <v>76</v>
      </c>
      <c r="S12" s="12">
        <v>23</v>
      </c>
      <c r="T12" s="15">
        <f t="shared" si="4"/>
        <v>1.1698880976602237</v>
      </c>
      <c r="U12" s="12">
        <v>3</v>
      </c>
      <c r="V12" s="19">
        <f t="shared" si="7"/>
        <v>2.9702970297029703</v>
      </c>
    </row>
    <row r="13" spans="1:22" x14ac:dyDescent="0.25">
      <c r="A13" s="18" t="s">
        <v>12</v>
      </c>
      <c r="B13" s="11" t="s">
        <v>13</v>
      </c>
      <c r="C13" s="12">
        <v>17</v>
      </c>
      <c r="D13" s="13">
        <f t="shared" si="0"/>
        <v>3.5123966942148761</v>
      </c>
      <c r="E13" s="14">
        <v>5</v>
      </c>
      <c r="F13" s="13">
        <f t="shared" si="5"/>
        <v>13.888888888888889</v>
      </c>
      <c r="G13" s="12">
        <v>11</v>
      </c>
      <c r="H13" s="13">
        <f t="shared" si="1"/>
        <v>1.0027347310847767</v>
      </c>
      <c r="I13" s="14">
        <v>3</v>
      </c>
      <c r="J13" s="13">
        <f t="shared" si="8"/>
        <v>10</v>
      </c>
      <c r="K13" s="12" t="s">
        <v>76</v>
      </c>
      <c r="L13" s="13" t="s">
        <v>76</v>
      </c>
      <c r="M13" s="14" t="s">
        <v>76</v>
      </c>
      <c r="N13" s="13" t="s">
        <v>76</v>
      </c>
      <c r="O13" s="12">
        <v>2</v>
      </c>
      <c r="P13" s="13">
        <f t="shared" si="3"/>
        <v>3.0303030303030303</v>
      </c>
      <c r="Q13" s="14">
        <v>1</v>
      </c>
      <c r="R13" s="13">
        <f t="shared" ref="R13:R24" si="9">Q13/17*100</f>
        <v>5.8823529411764701</v>
      </c>
      <c r="S13" s="12">
        <f>O13+G13+C13</f>
        <v>30</v>
      </c>
      <c r="T13" s="15">
        <f t="shared" si="4"/>
        <v>1.5259409969481181</v>
      </c>
      <c r="U13" s="12">
        <v>9</v>
      </c>
      <c r="V13" s="19">
        <f t="shared" si="7"/>
        <v>8.9108910891089099</v>
      </c>
    </row>
    <row r="14" spans="1:22" x14ac:dyDescent="0.25">
      <c r="A14" s="10" t="s">
        <v>14</v>
      </c>
      <c r="B14" s="11" t="s">
        <v>15</v>
      </c>
      <c r="C14" s="12">
        <v>1</v>
      </c>
      <c r="D14" s="13">
        <f t="shared" si="0"/>
        <v>0.20661157024793389</v>
      </c>
      <c r="E14" s="14" t="s">
        <v>76</v>
      </c>
      <c r="F14" s="13" t="s">
        <v>76</v>
      </c>
      <c r="G14" s="12" t="s">
        <v>76</v>
      </c>
      <c r="H14" s="13" t="s">
        <v>76</v>
      </c>
      <c r="I14" s="14" t="s">
        <v>76</v>
      </c>
      <c r="J14" s="13" t="s">
        <v>76</v>
      </c>
      <c r="K14" s="12" t="s">
        <v>76</v>
      </c>
      <c r="L14" s="13" t="s">
        <v>76</v>
      </c>
      <c r="M14" s="14" t="s">
        <v>76</v>
      </c>
      <c r="N14" s="13" t="s">
        <v>76</v>
      </c>
      <c r="O14" s="12" t="s">
        <v>76</v>
      </c>
      <c r="P14" s="13" t="s">
        <v>76</v>
      </c>
      <c r="Q14" s="14" t="s">
        <v>76</v>
      </c>
      <c r="R14" s="13" t="s">
        <v>76</v>
      </c>
      <c r="S14" s="12">
        <v>1</v>
      </c>
      <c r="T14" s="15">
        <f t="shared" si="4"/>
        <v>5.0864699898270596E-2</v>
      </c>
      <c r="U14" s="17" t="s">
        <v>76</v>
      </c>
      <c r="V14" s="19" t="s">
        <v>76</v>
      </c>
    </row>
    <row r="15" spans="1:22" x14ac:dyDescent="0.25">
      <c r="A15" s="10" t="s">
        <v>16</v>
      </c>
      <c r="B15" s="11" t="s">
        <v>17</v>
      </c>
      <c r="C15" s="12">
        <v>3</v>
      </c>
      <c r="D15" s="13">
        <f t="shared" si="0"/>
        <v>0.6198347107438017</v>
      </c>
      <c r="E15" s="14">
        <v>2</v>
      </c>
      <c r="F15" s="13">
        <f t="shared" si="5"/>
        <v>5.5555555555555554</v>
      </c>
      <c r="G15" s="12" t="s">
        <v>76</v>
      </c>
      <c r="H15" s="13" t="s">
        <v>76</v>
      </c>
      <c r="I15" s="14" t="s">
        <v>76</v>
      </c>
      <c r="J15" s="13" t="s">
        <v>76</v>
      </c>
      <c r="K15" s="12" t="s">
        <v>76</v>
      </c>
      <c r="L15" s="13" t="s">
        <v>76</v>
      </c>
      <c r="M15" s="14" t="s">
        <v>76</v>
      </c>
      <c r="N15" s="13" t="s">
        <v>76</v>
      </c>
      <c r="O15" s="12" t="s">
        <v>76</v>
      </c>
      <c r="P15" s="13" t="s">
        <v>76</v>
      </c>
      <c r="Q15" s="14" t="s">
        <v>76</v>
      </c>
      <c r="R15" s="13" t="s">
        <v>76</v>
      </c>
      <c r="S15" s="12">
        <v>3</v>
      </c>
      <c r="T15" s="15">
        <f t="shared" si="4"/>
        <v>0.1525940996948118</v>
      </c>
      <c r="U15" s="12">
        <v>2</v>
      </c>
      <c r="V15" s="19">
        <f t="shared" si="7"/>
        <v>1.9801980198019802</v>
      </c>
    </row>
    <row r="16" spans="1:22" x14ac:dyDescent="0.25">
      <c r="A16" s="10" t="s">
        <v>18</v>
      </c>
      <c r="B16" s="11" t="s">
        <v>19</v>
      </c>
      <c r="C16" s="12">
        <v>1</v>
      </c>
      <c r="D16" s="13">
        <f t="shared" si="0"/>
        <v>0.20661157024793389</v>
      </c>
      <c r="E16" s="14">
        <v>1</v>
      </c>
      <c r="F16" s="13">
        <f t="shared" si="5"/>
        <v>2.7777777777777777</v>
      </c>
      <c r="G16" s="12" t="s">
        <v>76</v>
      </c>
      <c r="H16" s="13" t="s">
        <v>76</v>
      </c>
      <c r="I16" s="14" t="s">
        <v>76</v>
      </c>
      <c r="J16" s="13" t="s">
        <v>76</v>
      </c>
      <c r="K16" s="12" t="s">
        <v>76</v>
      </c>
      <c r="L16" s="13" t="s">
        <v>76</v>
      </c>
      <c r="M16" s="14" t="s">
        <v>76</v>
      </c>
      <c r="N16" s="13" t="s">
        <v>76</v>
      </c>
      <c r="O16" s="12" t="s">
        <v>76</v>
      </c>
      <c r="P16" s="13" t="s">
        <v>76</v>
      </c>
      <c r="Q16" s="14" t="s">
        <v>76</v>
      </c>
      <c r="R16" s="13" t="s">
        <v>76</v>
      </c>
      <c r="S16" s="12">
        <v>1</v>
      </c>
      <c r="T16" s="15">
        <f t="shared" si="4"/>
        <v>5.0864699898270596E-2</v>
      </c>
      <c r="U16" s="12">
        <v>1</v>
      </c>
      <c r="V16" s="19">
        <f t="shared" si="7"/>
        <v>0.99009900990099009</v>
      </c>
    </row>
    <row r="17" spans="1:22" x14ac:dyDescent="0.25">
      <c r="A17" s="10" t="s">
        <v>78</v>
      </c>
      <c r="B17" s="11" t="s">
        <v>79</v>
      </c>
      <c r="C17" s="12" t="s">
        <v>76</v>
      </c>
      <c r="D17" s="13" t="s">
        <v>76</v>
      </c>
      <c r="E17" s="14" t="s">
        <v>76</v>
      </c>
      <c r="F17" s="13" t="s">
        <v>76</v>
      </c>
      <c r="G17" s="12" t="s">
        <v>76</v>
      </c>
      <c r="H17" s="13" t="s">
        <v>76</v>
      </c>
      <c r="I17" s="14" t="s">
        <v>76</v>
      </c>
      <c r="J17" s="13" t="s">
        <v>76</v>
      </c>
      <c r="K17" s="12">
        <v>14</v>
      </c>
      <c r="L17" s="13">
        <f t="shared" si="2"/>
        <v>4.3887147335423196</v>
      </c>
      <c r="M17" s="14">
        <v>1</v>
      </c>
      <c r="N17" s="13">
        <f t="shared" si="6"/>
        <v>5.5555555555555554</v>
      </c>
      <c r="O17" s="12" t="s">
        <v>76</v>
      </c>
      <c r="P17" s="13" t="s">
        <v>76</v>
      </c>
      <c r="Q17" s="14" t="s">
        <v>76</v>
      </c>
      <c r="R17" s="13" t="s">
        <v>76</v>
      </c>
      <c r="S17" s="12">
        <v>14</v>
      </c>
      <c r="T17" s="15">
        <f t="shared" si="4"/>
        <v>0.71210579857578837</v>
      </c>
      <c r="U17" s="12">
        <v>1</v>
      </c>
      <c r="V17" s="19">
        <f t="shared" si="7"/>
        <v>0.99009900990099009</v>
      </c>
    </row>
    <row r="18" spans="1:22" x14ac:dyDescent="0.25">
      <c r="A18" s="18" t="s">
        <v>20</v>
      </c>
      <c r="B18" s="11" t="s">
        <v>21</v>
      </c>
      <c r="C18" s="12">
        <v>95</v>
      </c>
      <c r="D18" s="13">
        <f t="shared" si="0"/>
        <v>19.628099173553721</v>
      </c>
      <c r="E18" s="14">
        <v>3</v>
      </c>
      <c r="F18" s="13">
        <f t="shared" si="5"/>
        <v>8.3333333333333321</v>
      </c>
      <c r="G18" s="12">
        <v>605</v>
      </c>
      <c r="H18" s="13">
        <f t="shared" si="1"/>
        <v>55.150410209662716</v>
      </c>
      <c r="I18" s="14">
        <v>14</v>
      </c>
      <c r="J18" s="13">
        <f t="shared" si="8"/>
        <v>46.666666666666664</v>
      </c>
      <c r="K18" s="12">
        <v>128</v>
      </c>
      <c r="L18" s="13">
        <f t="shared" si="2"/>
        <v>40.125391849529777</v>
      </c>
      <c r="M18" s="14">
        <v>6</v>
      </c>
      <c r="N18" s="13">
        <f t="shared" si="6"/>
        <v>33.333333333333329</v>
      </c>
      <c r="O18" s="12">
        <v>26</v>
      </c>
      <c r="P18" s="13">
        <f t="shared" si="3"/>
        <v>39.393939393939391</v>
      </c>
      <c r="Q18" s="14">
        <v>8</v>
      </c>
      <c r="R18" s="13">
        <f t="shared" si="9"/>
        <v>47.058823529411761</v>
      </c>
      <c r="S18" s="12">
        <f>O18+K18+G18+C18</f>
        <v>854</v>
      </c>
      <c r="T18" s="15">
        <f t="shared" si="4"/>
        <v>43.438453713123096</v>
      </c>
      <c r="U18" s="12">
        <v>31</v>
      </c>
      <c r="V18" s="19">
        <f t="shared" si="7"/>
        <v>30.693069306930692</v>
      </c>
    </row>
    <row r="19" spans="1:22" x14ac:dyDescent="0.25">
      <c r="A19" s="21" t="s">
        <v>121</v>
      </c>
      <c r="B19" s="11" t="s">
        <v>22</v>
      </c>
      <c r="C19" s="12">
        <v>1</v>
      </c>
      <c r="D19" s="13">
        <f t="shared" si="0"/>
        <v>0.20661157024793389</v>
      </c>
      <c r="E19" s="14">
        <v>1</v>
      </c>
      <c r="F19" s="13">
        <f t="shared" si="5"/>
        <v>2.7777777777777777</v>
      </c>
      <c r="G19" s="12" t="s">
        <v>76</v>
      </c>
      <c r="H19" s="13" t="s">
        <v>76</v>
      </c>
      <c r="I19" s="14" t="s">
        <v>76</v>
      </c>
      <c r="J19" s="13" t="s">
        <v>76</v>
      </c>
      <c r="K19" s="12" t="s">
        <v>76</v>
      </c>
      <c r="L19" s="13" t="s">
        <v>76</v>
      </c>
      <c r="M19" s="14" t="s">
        <v>76</v>
      </c>
      <c r="N19" s="13" t="s">
        <v>76</v>
      </c>
      <c r="O19" s="12" t="s">
        <v>76</v>
      </c>
      <c r="P19" s="13" t="s">
        <v>76</v>
      </c>
      <c r="Q19" s="14" t="s">
        <v>76</v>
      </c>
      <c r="R19" s="13" t="s">
        <v>76</v>
      </c>
      <c r="S19" s="12">
        <v>1</v>
      </c>
      <c r="T19" s="15">
        <f t="shared" si="4"/>
        <v>5.0864699898270596E-2</v>
      </c>
      <c r="U19" s="12">
        <v>1</v>
      </c>
      <c r="V19" s="19">
        <f t="shared" si="7"/>
        <v>0.99009900990099009</v>
      </c>
    </row>
    <row r="20" spans="1:22" x14ac:dyDescent="0.25">
      <c r="A20" s="10" t="s">
        <v>23</v>
      </c>
      <c r="B20" s="11" t="s">
        <v>24</v>
      </c>
      <c r="C20" s="12">
        <v>1</v>
      </c>
      <c r="D20" s="13">
        <f t="shared" si="0"/>
        <v>0.20661157024793389</v>
      </c>
      <c r="E20" s="14">
        <v>1</v>
      </c>
      <c r="F20" s="13">
        <f t="shared" si="5"/>
        <v>2.7777777777777777</v>
      </c>
      <c r="G20" s="12" t="s">
        <v>76</v>
      </c>
      <c r="H20" s="13" t="s">
        <v>76</v>
      </c>
      <c r="I20" s="14" t="s">
        <v>76</v>
      </c>
      <c r="J20" s="13" t="s">
        <v>76</v>
      </c>
      <c r="K20" s="12" t="s">
        <v>76</v>
      </c>
      <c r="L20" s="13" t="s">
        <v>76</v>
      </c>
      <c r="M20" s="14" t="s">
        <v>76</v>
      </c>
      <c r="N20" s="13" t="s">
        <v>76</v>
      </c>
      <c r="O20" s="12" t="s">
        <v>76</v>
      </c>
      <c r="P20" s="13" t="s">
        <v>76</v>
      </c>
      <c r="Q20" s="14" t="s">
        <v>76</v>
      </c>
      <c r="R20" s="13" t="s">
        <v>76</v>
      </c>
      <c r="S20" s="12">
        <v>1</v>
      </c>
      <c r="T20" s="15">
        <f t="shared" si="4"/>
        <v>5.0864699898270596E-2</v>
      </c>
      <c r="U20" s="12">
        <v>1</v>
      </c>
      <c r="V20" s="19">
        <f t="shared" si="7"/>
        <v>0.99009900990099009</v>
      </c>
    </row>
    <row r="21" spans="1:22" x14ac:dyDescent="0.25">
      <c r="A21" s="18" t="s">
        <v>80</v>
      </c>
      <c r="B21" s="11" t="s">
        <v>81</v>
      </c>
      <c r="C21" s="12" t="s">
        <v>76</v>
      </c>
      <c r="D21" s="13" t="s">
        <v>76</v>
      </c>
      <c r="E21" s="14" t="s">
        <v>76</v>
      </c>
      <c r="F21" s="13" t="s">
        <v>76</v>
      </c>
      <c r="G21" s="12">
        <v>1</v>
      </c>
      <c r="H21" s="13">
        <f t="shared" si="1"/>
        <v>9.1157702825888781E-2</v>
      </c>
      <c r="I21" s="14">
        <v>1</v>
      </c>
      <c r="J21" s="13">
        <f t="shared" si="8"/>
        <v>3.3333333333333335</v>
      </c>
      <c r="K21" s="12" t="s">
        <v>76</v>
      </c>
      <c r="L21" s="13" t="s">
        <v>76</v>
      </c>
      <c r="M21" s="14" t="s">
        <v>76</v>
      </c>
      <c r="N21" s="13" t="s">
        <v>76</v>
      </c>
      <c r="O21" s="12" t="s">
        <v>76</v>
      </c>
      <c r="P21" s="13" t="s">
        <v>76</v>
      </c>
      <c r="Q21" s="14" t="s">
        <v>76</v>
      </c>
      <c r="R21" s="13" t="s">
        <v>76</v>
      </c>
      <c r="S21" s="12">
        <v>1</v>
      </c>
      <c r="T21" s="15">
        <f t="shared" si="4"/>
        <v>5.0864699898270596E-2</v>
      </c>
      <c r="U21" s="12">
        <v>1</v>
      </c>
      <c r="V21" s="19">
        <f t="shared" si="7"/>
        <v>0.99009900990099009</v>
      </c>
    </row>
    <row r="22" spans="1:22" x14ac:dyDescent="0.25">
      <c r="A22" s="10" t="s">
        <v>25</v>
      </c>
      <c r="B22" s="11" t="s">
        <v>26</v>
      </c>
      <c r="C22" s="12">
        <v>1</v>
      </c>
      <c r="D22" s="13">
        <f t="shared" si="0"/>
        <v>0.20661157024793389</v>
      </c>
      <c r="E22" s="14">
        <v>1</v>
      </c>
      <c r="F22" s="13">
        <f t="shared" si="5"/>
        <v>2.7777777777777777</v>
      </c>
      <c r="G22" s="12" t="s">
        <v>76</v>
      </c>
      <c r="H22" s="13" t="s">
        <v>76</v>
      </c>
      <c r="I22" s="14" t="s">
        <v>76</v>
      </c>
      <c r="J22" s="13" t="s">
        <v>76</v>
      </c>
      <c r="K22" s="12" t="s">
        <v>76</v>
      </c>
      <c r="L22" s="13" t="s">
        <v>76</v>
      </c>
      <c r="M22" s="14" t="s">
        <v>76</v>
      </c>
      <c r="N22" s="13" t="s">
        <v>76</v>
      </c>
      <c r="O22" s="12">
        <v>1</v>
      </c>
      <c r="P22" s="13">
        <f t="shared" si="3"/>
        <v>1.5151515151515151</v>
      </c>
      <c r="Q22" s="14">
        <v>1</v>
      </c>
      <c r="R22" s="13">
        <f t="shared" si="9"/>
        <v>5.8823529411764701</v>
      </c>
      <c r="S22" s="12">
        <v>2</v>
      </c>
      <c r="T22" s="15">
        <f t="shared" si="4"/>
        <v>0.10172939979654119</v>
      </c>
      <c r="U22" s="12">
        <v>2</v>
      </c>
      <c r="V22" s="19">
        <f t="shared" si="7"/>
        <v>1.9801980198019802</v>
      </c>
    </row>
    <row r="23" spans="1:22" x14ac:dyDescent="0.25">
      <c r="A23" s="10" t="s">
        <v>27</v>
      </c>
      <c r="B23" s="11" t="s">
        <v>28</v>
      </c>
      <c r="C23" s="12">
        <v>2</v>
      </c>
      <c r="D23" s="13">
        <f t="shared" si="0"/>
        <v>0.41322314049586778</v>
      </c>
      <c r="E23" s="14">
        <v>1</v>
      </c>
      <c r="F23" s="13">
        <f t="shared" si="5"/>
        <v>2.7777777777777777</v>
      </c>
      <c r="G23" s="12" t="s">
        <v>76</v>
      </c>
      <c r="H23" s="13" t="s">
        <v>76</v>
      </c>
      <c r="I23" s="14" t="s">
        <v>76</v>
      </c>
      <c r="J23" s="13" t="s">
        <v>76</v>
      </c>
      <c r="K23" s="12">
        <v>3</v>
      </c>
      <c r="L23" s="13">
        <f t="shared" si="2"/>
        <v>0.94043887147335425</v>
      </c>
      <c r="M23" s="14">
        <v>1</v>
      </c>
      <c r="N23" s="13">
        <f t="shared" si="6"/>
        <v>5.5555555555555554</v>
      </c>
      <c r="O23" s="12">
        <v>1</v>
      </c>
      <c r="P23" s="13">
        <f t="shared" si="3"/>
        <v>1.5151515151515151</v>
      </c>
      <c r="Q23" s="14" t="s">
        <v>76</v>
      </c>
      <c r="R23" s="13" t="s">
        <v>76</v>
      </c>
      <c r="S23" s="12">
        <v>6</v>
      </c>
      <c r="T23" s="15">
        <f t="shared" si="4"/>
        <v>0.3051881993896236</v>
      </c>
      <c r="U23" s="12">
        <v>2</v>
      </c>
      <c r="V23" s="19">
        <f t="shared" si="7"/>
        <v>1.9801980198019802</v>
      </c>
    </row>
    <row r="24" spans="1:22" x14ac:dyDescent="0.25">
      <c r="A24" s="18" t="s">
        <v>29</v>
      </c>
      <c r="B24" s="11" t="s">
        <v>30</v>
      </c>
      <c r="C24" s="12">
        <v>9</v>
      </c>
      <c r="D24" s="13">
        <f t="shared" si="0"/>
        <v>1.859504132231405</v>
      </c>
      <c r="E24" s="14">
        <v>1</v>
      </c>
      <c r="F24" s="13">
        <f t="shared" si="5"/>
        <v>2.7777777777777777</v>
      </c>
      <c r="G24" s="12">
        <v>6</v>
      </c>
      <c r="H24" s="13">
        <f t="shared" si="1"/>
        <v>0.54694621695533274</v>
      </c>
      <c r="I24" s="14">
        <v>2</v>
      </c>
      <c r="J24" s="13">
        <f t="shared" si="8"/>
        <v>6.666666666666667</v>
      </c>
      <c r="K24" s="12">
        <v>7</v>
      </c>
      <c r="L24" s="13">
        <f t="shared" si="2"/>
        <v>2.1943573667711598</v>
      </c>
      <c r="M24" s="14">
        <v>6</v>
      </c>
      <c r="N24" s="13">
        <f t="shared" si="6"/>
        <v>33.333333333333329</v>
      </c>
      <c r="O24" s="12">
        <v>10</v>
      </c>
      <c r="P24" s="13">
        <f t="shared" si="3"/>
        <v>15.151515151515152</v>
      </c>
      <c r="Q24" s="14">
        <v>5</v>
      </c>
      <c r="R24" s="13">
        <f t="shared" si="9"/>
        <v>29.411764705882355</v>
      </c>
      <c r="S24" s="12">
        <f>O24+K24+G24+C24</f>
        <v>32</v>
      </c>
      <c r="T24" s="22">
        <f t="shared" si="4"/>
        <v>1.6276703967446591</v>
      </c>
      <c r="U24" s="12">
        <v>14</v>
      </c>
      <c r="V24" s="19">
        <f t="shared" si="7"/>
        <v>13.861386138613863</v>
      </c>
    </row>
    <row r="25" spans="1:22" x14ac:dyDescent="0.25">
      <c r="A25" s="23" t="s">
        <v>31</v>
      </c>
      <c r="B25" s="24"/>
      <c r="C25" s="25">
        <v>403</v>
      </c>
      <c r="D25" s="26">
        <f>C25/484*100</f>
        <v>83.264462809917347</v>
      </c>
      <c r="E25" s="26">
        <v>24</v>
      </c>
      <c r="F25" s="26">
        <f>24/36*100</f>
        <v>66.666666666666657</v>
      </c>
      <c r="G25" s="25">
        <v>1077</v>
      </c>
      <c r="H25" s="26">
        <f>G25/1097*100</f>
        <v>98.17684594348222</v>
      </c>
      <c r="I25" s="27">
        <v>23</v>
      </c>
      <c r="J25" s="26">
        <f>23/30*100</f>
        <v>76.666666666666671</v>
      </c>
      <c r="K25" s="25">
        <v>317</v>
      </c>
      <c r="L25" s="26">
        <f>317/319*100</f>
        <v>99.373040752351088</v>
      </c>
      <c r="M25" s="27">
        <v>17</v>
      </c>
      <c r="N25" s="26">
        <f>17/18*100</f>
        <v>94.444444444444443</v>
      </c>
      <c r="O25" s="25">
        <v>64</v>
      </c>
      <c r="P25" s="26">
        <f>O25/66*100</f>
        <v>96.969696969696969</v>
      </c>
      <c r="Q25" s="27">
        <v>16</v>
      </c>
      <c r="R25" s="26">
        <f>16/17*100</f>
        <v>94.117647058823522</v>
      </c>
      <c r="S25" s="25">
        <f>O25+K25+G25+C25</f>
        <v>1861</v>
      </c>
      <c r="T25" s="26">
        <f>S25/1966*100</f>
        <v>94.659206510681585</v>
      </c>
      <c r="U25" s="25">
        <v>80</v>
      </c>
      <c r="V25" s="28">
        <f>80/101*100</f>
        <v>79.207920792079207</v>
      </c>
    </row>
    <row r="26" spans="1:22" x14ac:dyDescent="0.25">
      <c r="A26" s="29" t="s">
        <v>82</v>
      </c>
      <c r="B26" s="11" t="s">
        <v>83</v>
      </c>
      <c r="C26" s="12" t="s">
        <v>76</v>
      </c>
      <c r="D26" s="12" t="s">
        <v>76</v>
      </c>
      <c r="E26" s="12" t="s">
        <v>76</v>
      </c>
      <c r="F26" s="12" t="s">
        <v>76</v>
      </c>
      <c r="G26" s="12">
        <v>2</v>
      </c>
      <c r="H26" s="13">
        <f>G26/1097*100</f>
        <v>0.18231540565177756</v>
      </c>
      <c r="I26" s="14">
        <v>1</v>
      </c>
      <c r="J26" s="13">
        <f>I26/30*100</f>
        <v>3.3333333333333335</v>
      </c>
      <c r="K26" s="12" t="s">
        <v>76</v>
      </c>
      <c r="L26" s="12" t="s">
        <v>76</v>
      </c>
      <c r="M26" s="12" t="s">
        <v>76</v>
      </c>
      <c r="N26" s="12" t="s">
        <v>76</v>
      </c>
      <c r="O26" s="12" t="s">
        <v>76</v>
      </c>
      <c r="P26" s="12" t="s">
        <v>76</v>
      </c>
      <c r="Q26" s="12" t="s">
        <v>76</v>
      </c>
      <c r="R26" s="12" t="s">
        <v>76</v>
      </c>
      <c r="S26" s="12">
        <v>2</v>
      </c>
      <c r="T26" s="30">
        <f>S26/1966*100</f>
        <v>0.10172939979654119</v>
      </c>
      <c r="U26" s="12">
        <v>1</v>
      </c>
      <c r="V26" s="19">
        <f>U26/101*100</f>
        <v>0.99009900990099009</v>
      </c>
    </row>
    <row r="27" spans="1:22" x14ac:dyDescent="0.25">
      <c r="A27" s="10" t="s">
        <v>32</v>
      </c>
      <c r="B27" s="20" t="s">
        <v>139</v>
      </c>
      <c r="C27" s="12">
        <v>6</v>
      </c>
      <c r="D27" s="13">
        <f>C27/484*100</f>
        <v>1.2396694214876034</v>
      </c>
      <c r="E27" s="13" t="s">
        <v>76</v>
      </c>
      <c r="F27" s="13" t="s">
        <v>76</v>
      </c>
      <c r="G27" s="12">
        <v>1</v>
      </c>
      <c r="H27" s="13">
        <f t="shared" ref="H27:H35" si="10">G27/1097*100</f>
        <v>9.1157702825888781E-2</v>
      </c>
      <c r="I27" s="14">
        <v>1</v>
      </c>
      <c r="J27" s="13">
        <f t="shared" ref="J27:J35" si="11">I27/30*100</f>
        <v>3.3333333333333335</v>
      </c>
      <c r="K27" s="12" t="s">
        <v>76</v>
      </c>
      <c r="L27" s="12" t="s">
        <v>76</v>
      </c>
      <c r="M27" s="12" t="s">
        <v>76</v>
      </c>
      <c r="N27" s="12" t="s">
        <v>76</v>
      </c>
      <c r="O27" s="12" t="s">
        <v>76</v>
      </c>
      <c r="P27" s="12" t="s">
        <v>76</v>
      </c>
      <c r="Q27" s="12" t="s">
        <v>76</v>
      </c>
      <c r="R27" s="12" t="s">
        <v>76</v>
      </c>
      <c r="S27" s="12">
        <v>7</v>
      </c>
      <c r="T27" s="15">
        <f t="shared" ref="T27:T35" si="12">S27/1966*100</f>
        <v>0.35605289928789419</v>
      </c>
      <c r="U27" s="12">
        <v>1</v>
      </c>
      <c r="V27" s="19">
        <f t="shared" ref="V27:V35" si="13">U27/101*100</f>
        <v>0.99009900990099009</v>
      </c>
    </row>
    <row r="28" spans="1:22" x14ac:dyDescent="0.25">
      <c r="A28" s="10" t="s">
        <v>33</v>
      </c>
      <c r="B28" s="20" t="s">
        <v>140</v>
      </c>
      <c r="C28" s="12">
        <v>10</v>
      </c>
      <c r="D28" s="13">
        <f t="shared" ref="D28:D35" si="14">C28/484*100</f>
        <v>2.0661157024793391</v>
      </c>
      <c r="E28" s="13" t="s">
        <v>76</v>
      </c>
      <c r="F28" s="13" t="s">
        <v>76</v>
      </c>
      <c r="G28" s="12" t="s">
        <v>76</v>
      </c>
      <c r="H28" s="13" t="s">
        <v>76</v>
      </c>
      <c r="I28" s="14" t="s">
        <v>76</v>
      </c>
      <c r="J28" s="13" t="s">
        <v>76</v>
      </c>
      <c r="K28" s="12" t="s">
        <v>76</v>
      </c>
      <c r="L28" s="12" t="s">
        <v>76</v>
      </c>
      <c r="M28" s="12" t="s">
        <v>76</v>
      </c>
      <c r="N28" s="12" t="s">
        <v>76</v>
      </c>
      <c r="O28" s="12" t="s">
        <v>76</v>
      </c>
      <c r="P28" s="12" t="s">
        <v>76</v>
      </c>
      <c r="Q28" s="12" t="s">
        <v>76</v>
      </c>
      <c r="R28" s="12" t="s">
        <v>76</v>
      </c>
      <c r="S28" s="12">
        <v>10</v>
      </c>
      <c r="T28" s="15">
        <f t="shared" si="12"/>
        <v>0.50864699898270604</v>
      </c>
      <c r="U28" s="12" t="s">
        <v>76</v>
      </c>
      <c r="V28" s="16" t="s">
        <v>76</v>
      </c>
    </row>
    <row r="29" spans="1:22" x14ac:dyDescent="0.25">
      <c r="A29" s="31" t="s">
        <v>122</v>
      </c>
      <c r="B29" s="11" t="s">
        <v>34</v>
      </c>
      <c r="C29" s="12">
        <v>3</v>
      </c>
      <c r="D29" s="13">
        <f t="shared" si="14"/>
        <v>0.6198347107438017</v>
      </c>
      <c r="E29" s="14">
        <v>1</v>
      </c>
      <c r="F29" s="13">
        <f>E29/36*100</f>
        <v>2.7777777777777777</v>
      </c>
      <c r="G29" s="12">
        <v>1</v>
      </c>
      <c r="H29" s="13">
        <f t="shared" si="10"/>
        <v>9.1157702825888781E-2</v>
      </c>
      <c r="I29" s="14">
        <v>1</v>
      </c>
      <c r="J29" s="13">
        <f t="shared" si="11"/>
        <v>3.3333333333333335</v>
      </c>
      <c r="K29" s="12" t="s">
        <v>76</v>
      </c>
      <c r="L29" s="12" t="s">
        <v>76</v>
      </c>
      <c r="M29" s="12" t="s">
        <v>76</v>
      </c>
      <c r="N29" s="12" t="s">
        <v>76</v>
      </c>
      <c r="O29" s="12" t="s">
        <v>76</v>
      </c>
      <c r="P29" s="12" t="s">
        <v>76</v>
      </c>
      <c r="Q29" s="12" t="s">
        <v>76</v>
      </c>
      <c r="R29" s="12" t="s">
        <v>76</v>
      </c>
      <c r="S29" s="12">
        <v>4</v>
      </c>
      <c r="T29" s="15">
        <f t="shared" si="12"/>
        <v>0.20345879959308238</v>
      </c>
      <c r="U29" s="12">
        <v>2</v>
      </c>
      <c r="V29" s="19">
        <f t="shared" si="13"/>
        <v>1.9801980198019802</v>
      </c>
    </row>
    <row r="30" spans="1:22" x14ac:dyDescent="0.25">
      <c r="A30" s="10" t="s">
        <v>123</v>
      </c>
      <c r="B30" s="11" t="s">
        <v>35</v>
      </c>
      <c r="C30" s="12">
        <v>1</v>
      </c>
      <c r="D30" s="13">
        <f t="shared" si="14"/>
        <v>0.20661157024793389</v>
      </c>
      <c r="E30" s="14">
        <v>1</v>
      </c>
      <c r="F30" s="13">
        <f t="shared" ref="F30:F35" si="15">E30/36*100</f>
        <v>2.7777777777777777</v>
      </c>
      <c r="G30" s="12" t="s">
        <v>76</v>
      </c>
      <c r="H30" s="13" t="s">
        <v>76</v>
      </c>
      <c r="I30" s="14" t="s">
        <v>76</v>
      </c>
      <c r="J30" s="13" t="s">
        <v>76</v>
      </c>
      <c r="K30" s="12" t="s">
        <v>76</v>
      </c>
      <c r="L30" s="12" t="s">
        <v>76</v>
      </c>
      <c r="M30" s="12" t="s">
        <v>76</v>
      </c>
      <c r="N30" s="12" t="s">
        <v>76</v>
      </c>
      <c r="O30" s="12" t="s">
        <v>76</v>
      </c>
      <c r="P30" s="12" t="s">
        <v>76</v>
      </c>
      <c r="Q30" s="12" t="s">
        <v>76</v>
      </c>
      <c r="R30" s="12" t="s">
        <v>76</v>
      </c>
      <c r="S30" s="12">
        <v>1</v>
      </c>
      <c r="T30" s="15">
        <f t="shared" si="12"/>
        <v>5.0864699898270596E-2</v>
      </c>
      <c r="U30" s="12">
        <v>1</v>
      </c>
      <c r="V30" s="19">
        <f t="shared" si="13"/>
        <v>0.99009900990099009</v>
      </c>
    </row>
    <row r="31" spans="1:22" x14ac:dyDescent="0.25">
      <c r="A31" s="18" t="s">
        <v>124</v>
      </c>
      <c r="B31" s="11" t="s">
        <v>84</v>
      </c>
      <c r="C31" s="12" t="s">
        <v>76</v>
      </c>
      <c r="D31" s="13" t="s">
        <v>76</v>
      </c>
      <c r="E31" s="14" t="s">
        <v>76</v>
      </c>
      <c r="F31" s="13" t="s">
        <v>76</v>
      </c>
      <c r="G31" s="12" t="s">
        <v>76</v>
      </c>
      <c r="H31" s="13" t="s">
        <v>76</v>
      </c>
      <c r="I31" s="14" t="s">
        <v>76</v>
      </c>
      <c r="J31" s="13" t="s">
        <v>76</v>
      </c>
      <c r="K31" s="12" t="s">
        <v>76</v>
      </c>
      <c r="L31" s="12" t="s">
        <v>76</v>
      </c>
      <c r="M31" s="12" t="s">
        <v>76</v>
      </c>
      <c r="N31" s="12" t="s">
        <v>76</v>
      </c>
      <c r="O31" s="12">
        <v>2</v>
      </c>
      <c r="P31" s="13">
        <f>2/66*100</f>
        <v>3.0303030303030303</v>
      </c>
      <c r="Q31" s="14">
        <v>1</v>
      </c>
      <c r="R31" s="13">
        <f>1/17*100</f>
        <v>5.8823529411764701</v>
      </c>
      <c r="S31" s="12">
        <v>2</v>
      </c>
      <c r="T31" s="15">
        <f t="shared" si="12"/>
        <v>0.10172939979654119</v>
      </c>
      <c r="U31" s="12">
        <v>1</v>
      </c>
      <c r="V31" s="19">
        <f t="shared" si="13"/>
        <v>0.99009900990099009</v>
      </c>
    </row>
    <row r="32" spans="1:22" x14ac:dyDescent="0.25">
      <c r="A32" s="10" t="s">
        <v>125</v>
      </c>
      <c r="B32" s="11" t="s">
        <v>36</v>
      </c>
      <c r="C32" s="12">
        <v>1</v>
      </c>
      <c r="D32" s="13">
        <f t="shared" si="14"/>
        <v>0.20661157024793389</v>
      </c>
      <c r="E32" s="14">
        <v>1</v>
      </c>
      <c r="F32" s="13">
        <f t="shared" si="15"/>
        <v>2.7777777777777777</v>
      </c>
      <c r="G32" s="12" t="s">
        <v>76</v>
      </c>
      <c r="H32" s="13" t="s">
        <v>76</v>
      </c>
      <c r="I32" s="14" t="s">
        <v>76</v>
      </c>
      <c r="J32" s="13" t="s">
        <v>76</v>
      </c>
      <c r="K32" s="12" t="s">
        <v>76</v>
      </c>
      <c r="L32" s="12" t="s">
        <v>76</v>
      </c>
      <c r="M32" s="12" t="s">
        <v>76</v>
      </c>
      <c r="N32" s="12" t="s">
        <v>76</v>
      </c>
      <c r="O32" s="12" t="s">
        <v>76</v>
      </c>
      <c r="P32" s="12" t="s">
        <v>76</v>
      </c>
      <c r="Q32" s="12" t="s">
        <v>76</v>
      </c>
      <c r="R32" s="12" t="s">
        <v>76</v>
      </c>
      <c r="S32" s="12">
        <v>1</v>
      </c>
      <c r="T32" s="15">
        <f t="shared" si="12"/>
        <v>5.0864699898270596E-2</v>
      </c>
      <c r="U32" s="12">
        <v>1</v>
      </c>
      <c r="V32" s="19">
        <f t="shared" si="13"/>
        <v>0.99009900990099009</v>
      </c>
    </row>
    <row r="33" spans="1:22" x14ac:dyDescent="0.25">
      <c r="A33" s="18" t="s">
        <v>37</v>
      </c>
      <c r="B33" s="11" t="s">
        <v>38</v>
      </c>
      <c r="C33" s="12">
        <v>4</v>
      </c>
      <c r="D33" s="13">
        <f t="shared" si="14"/>
        <v>0.82644628099173556</v>
      </c>
      <c r="E33" s="14">
        <v>1</v>
      </c>
      <c r="F33" s="13">
        <f t="shared" si="15"/>
        <v>2.7777777777777777</v>
      </c>
      <c r="G33" s="12" t="s">
        <v>76</v>
      </c>
      <c r="H33" s="13" t="s">
        <v>76</v>
      </c>
      <c r="I33" s="14" t="s">
        <v>76</v>
      </c>
      <c r="J33" s="13" t="s">
        <v>76</v>
      </c>
      <c r="K33" s="12" t="s">
        <v>76</v>
      </c>
      <c r="L33" s="12" t="s">
        <v>76</v>
      </c>
      <c r="M33" s="12" t="s">
        <v>76</v>
      </c>
      <c r="N33" s="12" t="s">
        <v>76</v>
      </c>
      <c r="O33" s="12" t="s">
        <v>76</v>
      </c>
      <c r="P33" s="12" t="s">
        <v>76</v>
      </c>
      <c r="Q33" s="12" t="s">
        <v>76</v>
      </c>
      <c r="R33" s="12" t="s">
        <v>76</v>
      </c>
      <c r="S33" s="12">
        <v>4</v>
      </c>
      <c r="T33" s="15">
        <f t="shared" si="12"/>
        <v>0.20345879959308238</v>
      </c>
      <c r="U33" s="12">
        <v>1</v>
      </c>
      <c r="V33" s="19">
        <f t="shared" si="13"/>
        <v>0.99009900990099009</v>
      </c>
    </row>
    <row r="34" spans="1:22" x14ac:dyDescent="0.25">
      <c r="A34" s="10" t="s">
        <v>39</v>
      </c>
      <c r="B34" s="11" t="s">
        <v>40</v>
      </c>
      <c r="C34" s="12">
        <v>4</v>
      </c>
      <c r="D34" s="13">
        <f t="shared" si="14"/>
        <v>0.82644628099173556</v>
      </c>
      <c r="E34" s="14">
        <v>2</v>
      </c>
      <c r="F34" s="13">
        <f t="shared" si="15"/>
        <v>5.5555555555555554</v>
      </c>
      <c r="G34" s="12" t="s">
        <v>76</v>
      </c>
      <c r="H34" s="13" t="s">
        <v>76</v>
      </c>
      <c r="I34" s="14" t="s">
        <v>76</v>
      </c>
      <c r="J34" s="13" t="s">
        <v>76</v>
      </c>
      <c r="K34" s="12" t="s">
        <v>76</v>
      </c>
      <c r="L34" s="12" t="s">
        <v>76</v>
      </c>
      <c r="M34" s="12" t="s">
        <v>76</v>
      </c>
      <c r="N34" s="12" t="s">
        <v>76</v>
      </c>
      <c r="O34" s="12" t="s">
        <v>76</v>
      </c>
      <c r="P34" s="12" t="s">
        <v>76</v>
      </c>
      <c r="Q34" s="12" t="s">
        <v>76</v>
      </c>
      <c r="R34" s="12" t="s">
        <v>76</v>
      </c>
      <c r="S34" s="12">
        <v>4</v>
      </c>
      <c r="T34" s="15">
        <f t="shared" si="12"/>
        <v>0.20345879959308238</v>
      </c>
      <c r="U34" s="12">
        <v>2</v>
      </c>
      <c r="V34" s="19">
        <f t="shared" si="13"/>
        <v>1.9801980198019802</v>
      </c>
    </row>
    <row r="35" spans="1:22" x14ac:dyDescent="0.25">
      <c r="A35" s="18" t="s">
        <v>41</v>
      </c>
      <c r="B35" s="11" t="s">
        <v>42</v>
      </c>
      <c r="C35" s="12">
        <v>1</v>
      </c>
      <c r="D35" s="13">
        <f t="shared" si="14"/>
        <v>0.20661157024793389</v>
      </c>
      <c r="E35" s="14">
        <v>1</v>
      </c>
      <c r="F35" s="13">
        <f t="shared" si="15"/>
        <v>2.7777777777777777</v>
      </c>
      <c r="G35" s="12">
        <v>15</v>
      </c>
      <c r="H35" s="13">
        <f t="shared" si="10"/>
        <v>1.367365542388332</v>
      </c>
      <c r="I35" s="14">
        <v>3</v>
      </c>
      <c r="J35" s="13">
        <f t="shared" si="11"/>
        <v>10</v>
      </c>
      <c r="K35" s="12" t="s">
        <v>76</v>
      </c>
      <c r="L35" s="12" t="s">
        <v>76</v>
      </c>
      <c r="M35" s="12" t="s">
        <v>76</v>
      </c>
      <c r="N35" s="12" t="s">
        <v>76</v>
      </c>
      <c r="O35" s="12" t="s">
        <v>76</v>
      </c>
      <c r="P35" s="12" t="s">
        <v>76</v>
      </c>
      <c r="Q35" s="12" t="s">
        <v>76</v>
      </c>
      <c r="R35" s="12" t="s">
        <v>76</v>
      </c>
      <c r="S35" s="12">
        <v>16</v>
      </c>
      <c r="T35" s="22">
        <f t="shared" si="12"/>
        <v>0.81383519837232954</v>
      </c>
      <c r="U35" s="12">
        <v>4</v>
      </c>
      <c r="V35" s="19">
        <f t="shared" si="13"/>
        <v>3.9603960396039604</v>
      </c>
    </row>
    <row r="36" spans="1:22" x14ac:dyDescent="0.25">
      <c r="A36" s="32" t="s">
        <v>43</v>
      </c>
      <c r="B36" s="33"/>
      <c r="C36" s="25">
        <v>30</v>
      </c>
      <c r="D36" s="26">
        <f>C36/484*100</f>
        <v>6.1983471074380168</v>
      </c>
      <c r="E36" s="27">
        <v>7</v>
      </c>
      <c r="F36" s="26">
        <f>7/36*100</f>
        <v>19.444444444444446</v>
      </c>
      <c r="G36" s="25">
        <v>19</v>
      </c>
      <c r="H36" s="26">
        <f>G36/1097*100</f>
        <v>1.7319963536918872</v>
      </c>
      <c r="I36" s="27">
        <v>6</v>
      </c>
      <c r="J36" s="26">
        <f>6/30*100</f>
        <v>20</v>
      </c>
      <c r="K36" s="25">
        <v>0</v>
      </c>
      <c r="L36" s="25">
        <v>0</v>
      </c>
      <c r="M36" s="25">
        <v>0</v>
      </c>
      <c r="N36" s="25">
        <v>0</v>
      </c>
      <c r="O36" s="25">
        <v>2</v>
      </c>
      <c r="P36" s="26">
        <f>2/66*100</f>
        <v>3.0303030303030303</v>
      </c>
      <c r="Q36" s="27">
        <v>1</v>
      </c>
      <c r="R36" s="26">
        <v>5.9</v>
      </c>
      <c r="S36" s="25">
        <f>C36+G36+K36+O36</f>
        <v>51</v>
      </c>
      <c r="T36" s="26">
        <f>51/1966*100</f>
        <v>2.5940996948118005</v>
      </c>
      <c r="U36" s="25">
        <v>14</v>
      </c>
      <c r="V36" s="28">
        <f>14/101*100</f>
        <v>13.861386138613863</v>
      </c>
    </row>
    <row r="37" spans="1:22" x14ac:dyDescent="0.25">
      <c r="A37" s="10" t="s">
        <v>44</v>
      </c>
      <c r="B37" s="11" t="s">
        <v>45</v>
      </c>
      <c r="C37" s="12">
        <v>17</v>
      </c>
      <c r="D37" s="13">
        <f>C37/484*100</f>
        <v>3.5123966942148761</v>
      </c>
      <c r="E37" s="14" t="s">
        <v>76</v>
      </c>
      <c r="F37" s="13" t="s">
        <v>76</v>
      </c>
      <c r="G37" s="12" t="s">
        <v>76</v>
      </c>
      <c r="H37" s="13" t="s">
        <v>76</v>
      </c>
      <c r="I37" s="13" t="s">
        <v>76</v>
      </c>
      <c r="J37" s="13" t="s">
        <v>76</v>
      </c>
      <c r="K37" s="12" t="s">
        <v>76</v>
      </c>
      <c r="L37" s="13" t="s">
        <v>76</v>
      </c>
      <c r="M37" s="13" t="s">
        <v>76</v>
      </c>
      <c r="N37" s="13" t="s">
        <v>76</v>
      </c>
      <c r="O37" s="12" t="s">
        <v>76</v>
      </c>
      <c r="P37" s="13" t="s">
        <v>76</v>
      </c>
      <c r="Q37" s="13" t="s">
        <v>76</v>
      </c>
      <c r="R37" s="13" t="s">
        <v>76</v>
      </c>
      <c r="S37" s="12">
        <v>17</v>
      </c>
      <c r="T37" s="30">
        <f>S37/1966*100</f>
        <v>0.86469989827060023</v>
      </c>
      <c r="U37" s="17" t="s">
        <v>76</v>
      </c>
      <c r="V37" s="34" t="s">
        <v>76</v>
      </c>
    </row>
    <row r="38" spans="1:22" x14ac:dyDescent="0.25">
      <c r="A38" s="18" t="s">
        <v>46</v>
      </c>
      <c r="B38" s="11" t="s">
        <v>47</v>
      </c>
      <c r="C38" s="12">
        <v>7</v>
      </c>
      <c r="D38" s="13">
        <f t="shared" ref="D38:D42" si="16">C38/484*100</f>
        <v>1.4462809917355373</v>
      </c>
      <c r="E38" s="14">
        <v>1</v>
      </c>
      <c r="F38" s="13">
        <f>E38/36*100</f>
        <v>2.7777777777777777</v>
      </c>
      <c r="G38" s="12" t="s">
        <v>76</v>
      </c>
      <c r="H38" s="13" t="s">
        <v>76</v>
      </c>
      <c r="I38" s="13" t="s">
        <v>76</v>
      </c>
      <c r="J38" s="13" t="s">
        <v>76</v>
      </c>
      <c r="K38" s="12" t="s">
        <v>76</v>
      </c>
      <c r="L38" s="13" t="s">
        <v>76</v>
      </c>
      <c r="M38" s="13" t="s">
        <v>76</v>
      </c>
      <c r="N38" s="13" t="s">
        <v>76</v>
      </c>
      <c r="O38" s="12" t="s">
        <v>76</v>
      </c>
      <c r="P38" s="13" t="s">
        <v>76</v>
      </c>
      <c r="Q38" s="13" t="s">
        <v>76</v>
      </c>
      <c r="R38" s="13" t="s">
        <v>76</v>
      </c>
      <c r="S38" s="12">
        <v>7</v>
      </c>
      <c r="T38" s="15">
        <f t="shared" ref="T38:T43" si="17">S38/1966*100</f>
        <v>0.35605289928789419</v>
      </c>
      <c r="U38" s="12">
        <v>1</v>
      </c>
      <c r="V38" s="19">
        <f>U38/101*100</f>
        <v>0.99009900990099009</v>
      </c>
    </row>
    <row r="39" spans="1:22" x14ac:dyDescent="0.25">
      <c r="A39" s="10" t="s">
        <v>50</v>
      </c>
      <c r="B39" s="11" t="s">
        <v>51</v>
      </c>
      <c r="C39" s="12">
        <v>12</v>
      </c>
      <c r="D39" s="13">
        <f t="shared" si="16"/>
        <v>2.4793388429752068</v>
      </c>
      <c r="E39" s="14">
        <v>1</v>
      </c>
      <c r="F39" s="13">
        <f t="shared" ref="F39:F42" si="18">E39/36*100</f>
        <v>2.7777777777777777</v>
      </c>
      <c r="G39" s="12">
        <v>1</v>
      </c>
      <c r="H39" s="13">
        <f>G39/1097*100</f>
        <v>9.1157702825888781E-2</v>
      </c>
      <c r="I39" s="14">
        <v>1</v>
      </c>
      <c r="J39" s="13">
        <f>1/30*100</f>
        <v>3.3333333333333335</v>
      </c>
      <c r="K39" s="12" t="s">
        <v>76</v>
      </c>
      <c r="L39" s="13" t="s">
        <v>76</v>
      </c>
      <c r="M39" s="13" t="s">
        <v>76</v>
      </c>
      <c r="N39" s="13" t="s">
        <v>76</v>
      </c>
      <c r="O39" s="12" t="s">
        <v>76</v>
      </c>
      <c r="P39" s="13" t="s">
        <v>76</v>
      </c>
      <c r="Q39" s="13" t="s">
        <v>76</v>
      </c>
      <c r="R39" s="13" t="s">
        <v>76</v>
      </c>
      <c r="S39" s="12">
        <v>13</v>
      </c>
      <c r="T39" s="15">
        <f t="shared" si="17"/>
        <v>0.66124109867751779</v>
      </c>
      <c r="U39" s="12">
        <v>2</v>
      </c>
      <c r="V39" s="19">
        <f t="shared" ref="V39:V43" si="19">U39/101*100</f>
        <v>1.9801980198019802</v>
      </c>
    </row>
    <row r="40" spans="1:22" x14ac:dyDescent="0.25">
      <c r="A40" s="18" t="s">
        <v>48</v>
      </c>
      <c r="B40" s="11" t="s">
        <v>49</v>
      </c>
      <c r="C40" s="12">
        <v>12</v>
      </c>
      <c r="D40" s="13">
        <f t="shared" si="16"/>
        <v>2.4793388429752068</v>
      </c>
      <c r="E40" s="14">
        <v>1</v>
      </c>
      <c r="F40" s="13">
        <f t="shared" si="18"/>
        <v>2.7777777777777777</v>
      </c>
      <c r="G40" s="12" t="s">
        <v>76</v>
      </c>
      <c r="H40" s="12" t="s">
        <v>76</v>
      </c>
      <c r="I40" s="12" t="s">
        <v>76</v>
      </c>
      <c r="J40" s="12" t="s">
        <v>76</v>
      </c>
      <c r="K40" s="12" t="s">
        <v>76</v>
      </c>
      <c r="L40" s="13" t="s">
        <v>76</v>
      </c>
      <c r="M40" s="13" t="s">
        <v>76</v>
      </c>
      <c r="N40" s="13" t="s">
        <v>76</v>
      </c>
      <c r="O40" s="12" t="s">
        <v>76</v>
      </c>
      <c r="P40" s="13" t="s">
        <v>76</v>
      </c>
      <c r="Q40" s="13" t="s">
        <v>76</v>
      </c>
      <c r="R40" s="13" t="s">
        <v>76</v>
      </c>
      <c r="S40" s="12">
        <v>12</v>
      </c>
      <c r="T40" s="15">
        <f t="shared" si="17"/>
        <v>0.61037639877924721</v>
      </c>
      <c r="U40" s="12">
        <v>1</v>
      </c>
      <c r="V40" s="19">
        <f t="shared" si="19"/>
        <v>0.99009900990099009</v>
      </c>
    </row>
    <row r="41" spans="1:22" x14ac:dyDescent="0.25">
      <c r="A41" s="10" t="s">
        <v>52</v>
      </c>
      <c r="B41" s="11" t="s">
        <v>53</v>
      </c>
      <c r="C41" s="12">
        <v>2</v>
      </c>
      <c r="D41" s="13">
        <f t="shared" si="16"/>
        <v>0.41322314049586778</v>
      </c>
      <c r="E41" s="14">
        <v>1</v>
      </c>
      <c r="F41" s="13">
        <f t="shared" si="18"/>
        <v>2.7777777777777777</v>
      </c>
      <c r="G41" s="12" t="s">
        <v>76</v>
      </c>
      <c r="H41" s="12" t="s">
        <v>76</v>
      </c>
      <c r="I41" s="12" t="s">
        <v>76</v>
      </c>
      <c r="J41" s="12" t="s">
        <v>76</v>
      </c>
      <c r="K41" s="12" t="s">
        <v>76</v>
      </c>
      <c r="L41" s="13" t="s">
        <v>76</v>
      </c>
      <c r="M41" s="13" t="s">
        <v>76</v>
      </c>
      <c r="N41" s="13" t="s">
        <v>76</v>
      </c>
      <c r="O41" s="12" t="s">
        <v>76</v>
      </c>
      <c r="P41" s="13" t="s">
        <v>76</v>
      </c>
      <c r="Q41" s="13" t="s">
        <v>76</v>
      </c>
      <c r="R41" s="13" t="s">
        <v>76</v>
      </c>
      <c r="S41" s="12">
        <v>2</v>
      </c>
      <c r="T41" s="15">
        <f t="shared" si="17"/>
        <v>0.10172939979654119</v>
      </c>
      <c r="U41" s="12">
        <v>1</v>
      </c>
      <c r="V41" s="19">
        <f t="shared" si="19"/>
        <v>0.99009900990099009</v>
      </c>
    </row>
    <row r="42" spans="1:22" x14ac:dyDescent="0.25">
      <c r="A42" s="10" t="s">
        <v>54</v>
      </c>
      <c r="B42" s="11" t="s">
        <v>55</v>
      </c>
      <c r="C42" s="12">
        <v>1</v>
      </c>
      <c r="D42" s="13">
        <f t="shared" si="16"/>
        <v>0.20661157024793389</v>
      </c>
      <c r="E42" s="14">
        <v>1</v>
      </c>
      <c r="F42" s="13">
        <f t="shared" si="18"/>
        <v>2.7777777777777777</v>
      </c>
      <c r="G42" s="12" t="s">
        <v>76</v>
      </c>
      <c r="H42" s="12" t="s">
        <v>76</v>
      </c>
      <c r="I42" s="12" t="s">
        <v>76</v>
      </c>
      <c r="J42" s="12" t="s">
        <v>76</v>
      </c>
      <c r="K42" s="12" t="s">
        <v>76</v>
      </c>
      <c r="L42" s="13" t="s">
        <v>76</v>
      </c>
      <c r="M42" s="13" t="s">
        <v>76</v>
      </c>
      <c r="N42" s="13" t="s">
        <v>76</v>
      </c>
      <c r="O42" s="12" t="s">
        <v>76</v>
      </c>
      <c r="P42" s="13" t="s">
        <v>76</v>
      </c>
      <c r="Q42" s="13" t="s">
        <v>76</v>
      </c>
      <c r="R42" s="13" t="s">
        <v>76</v>
      </c>
      <c r="S42" s="12">
        <v>1</v>
      </c>
      <c r="T42" s="15">
        <f t="shared" si="17"/>
        <v>5.0864699898270596E-2</v>
      </c>
      <c r="U42" s="12">
        <v>1</v>
      </c>
      <c r="V42" s="19">
        <f t="shared" si="19"/>
        <v>0.99009900990099009</v>
      </c>
    </row>
    <row r="43" spans="1:22" x14ac:dyDescent="0.25">
      <c r="A43" s="18" t="s">
        <v>85</v>
      </c>
      <c r="B43" s="11" t="s">
        <v>86</v>
      </c>
      <c r="C43" s="12" t="s">
        <v>76</v>
      </c>
      <c r="D43" s="13" t="s">
        <v>76</v>
      </c>
      <c r="E43" s="13" t="s">
        <v>76</v>
      </c>
      <c r="F43" s="13" t="s">
        <v>76</v>
      </c>
      <c r="G43" s="12" t="s">
        <v>76</v>
      </c>
      <c r="H43" s="12" t="s">
        <v>76</v>
      </c>
      <c r="I43" s="12" t="s">
        <v>76</v>
      </c>
      <c r="J43" s="12" t="s">
        <v>76</v>
      </c>
      <c r="K43" s="12">
        <v>2</v>
      </c>
      <c r="L43" s="13">
        <f>K43/319*100</f>
        <v>0.62695924764890276</v>
      </c>
      <c r="M43" s="14">
        <v>1</v>
      </c>
      <c r="N43" s="13">
        <f>1/18*100</f>
        <v>5.5555555555555554</v>
      </c>
      <c r="O43" s="12" t="s">
        <v>76</v>
      </c>
      <c r="P43" s="13" t="s">
        <v>76</v>
      </c>
      <c r="Q43" s="13" t="s">
        <v>76</v>
      </c>
      <c r="R43" s="13" t="s">
        <v>76</v>
      </c>
      <c r="S43" s="12">
        <v>2</v>
      </c>
      <c r="T43" s="22">
        <f t="shared" si="17"/>
        <v>0.10172939979654119</v>
      </c>
      <c r="U43" s="12">
        <v>1</v>
      </c>
      <c r="V43" s="19">
        <f t="shared" si="19"/>
        <v>0.99009900990099009</v>
      </c>
    </row>
    <row r="44" spans="1:22" x14ac:dyDescent="0.25">
      <c r="A44" s="32" t="s">
        <v>56</v>
      </c>
      <c r="B44" s="33"/>
      <c r="C44" s="25">
        <v>51</v>
      </c>
      <c r="D44" s="26">
        <f>C44/484*100</f>
        <v>10.537190082644628</v>
      </c>
      <c r="E44" s="27">
        <v>5</v>
      </c>
      <c r="F44" s="26">
        <f>5/36*100</f>
        <v>13.888888888888889</v>
      </c>
      <c r="G44" s="25">
        <v>1</v>
      </c>
      <c r="H44" s="26">
        <f>G44/1097*100</f>
        <v>9.1157702825888781E-2</v>
      </c>
      <c r="I44" s="27">
        <v>1</v>
      </c>
      <c r="J44" s="26">
        <v>3.3</v>
      </c>
      <c r="K44" s="25">
        <v>2</v>
      </c>
      <c r="L44" s="26">
        <f>K44/319*100</f>
        <v>0.62695924764890276</v>
      </c>
      <c r="M44" s="27">
        <v>1</v>
      </c>
      <c r="N44" s="26">
        <v>5.6</v>
      </c>
      <c r="O44" s="25">
        <v>0</v>
      </c>
      <c r="P44" s="25">
        <v>0</v>
      </c>
      <c r="Q44" s="25">
        <v>0</v>
      </c>
      <c r="R44" s="25">
        <v>0</v>
      </c>
      <c r="S44" s="25">
        <v>54</v>
      </c>
      <c r="T44" s="26">
        <f>54/1966*100</f>
        <v>2.7466937945066121</v>
      </c>
      <c r="U44" s="35">
        <v>7</v>
      </c>
      <c r="V44" s="28">
        <f>7/101*100</f>
        <v>6.9306930693069315</v>
      </c>
    </row>
    <row r="45" spans="1:22" x14ac:dyDescent="0.25">
      <c r="A45" s="32" t="s">
        <v>57</v>
      </c>
      <c r="B45" s="33"/>
      <c r="C45" s="25">
        <f>C44+C36+C25</f>
        <v>484</v>
      </c>
      <c r="D45" s="25" t="s">
        <v>87</v>
      </c>
      <c r="E45" s="25">
        <v>36</v>
      </c>
      <c r="F45" s="26" t="s">
        <v>111</v>
      </c>
      <c r="G45" s="25">
        <f>G44+G36+G25</f>
        <v>1097</v>
      </c>
      <c r="H45" s="26" t="s">
        <v>88</v>
      </c>
      <c r="I45" s="27">
        <v>30</v>
      </c>
      <c r="J45" s="26" t="s">
        <v>112</v>
      </c>
      <c r="K45" s="25">
        <f>K44+K36+K25</f>
        <v>319</v>
      </c>
      <c r="L45" s="25" t="s">
        <v>89</v>
      </c>
      <c r="M45" s="25">
        <v>18</v>
      </c>
      <c r="N45" s="25" t="s">
        <v>89</v>
      </c>
      <c r="O45" s="25">
        <f>O44+O36+O25</f>
        <v>66</v>
      </c>
      <c r="P45" s="26" t="s">
        <v>90</v>
      </c>
      <c r="Q45" s="27">
        <v>17</v>
      </c>
      <c r="R45" s="26" t="s">
        <v>114</v>
      </c>
      <c r="S45" s="25">
        <f>O45+K45+G45+C45</f>
        <v>1966</v>
      </c>
      <c r="T45" s="36" t="s">
        <v>91</v>
      </c>
      <c r="U45" s="25">
        <f>U44+U36+U25</f>
        <v>101</v>
      </c>
      <c r="V45" s="37" t="s">
        <v>116</v>
      </c>
    </row>
    <row r="46" spans="1:22" x14ac:dyDescent="0.25">
      <c r="A46" s="10" t="s">
        <v>58</v>
      </c>
      <c r="B46" s="11" t="s">
        <v>59</v>
      </c>
      <c r="C46" s="12">
        <v>757</v>
      </c>
      <c r="D46" s="13">
        <f>C46/1082*100</f>
        <v>69.963031423290204</v>
      </c>
      <c r="E46" s="13" t="s">
        <v>76</v>
      </c>
      <c r="F46" s="13" t="s">
        <v>76</v>
      </c>
      <c r="G46" s="12">
        <v>11</v>
      </c>
      <c r="H46" s="13">
        <f>G46/21*100</f>
        <v>52.380952380952387</v>
      </c>
      <c r="I46" s="14" t="s">
        <v>76</v>
      </c>
      <c r="J46" s="13" t="s">
        <v>76</v>
      </c>
      <c r="K46" s="12" t="s">
        <v>76</v>
      </c>
      <c r="L46" s="13" t="s">
        <v>76</v>
      </c>
      <c r="M46" s="13" t="s">
        <v>76</v>
      </c>
      <c r="N46" s="13" t="s">
        <v>76</v>
      </c>
      <c r="O46" s="12" t="s">
        <v>76</v>
      </c>
      <c r="P46" s="13" t="s">
        <v>76</v>
      </c>
      <c r="Q46" s="13" t="s">
        <v>76</v>
      </c>
      <c r="R46" s="13" t="s">
        <v>76</v>
      </c>
      <c r="S46" s="12">
        <f>C46+G46</f>
        <v>768</v>
      </c>
      <c r="T46" s="30">
        <f>S46/1103*100</f>
        <v>69.628286491387129</v>
      </c>
      <c r="U46" s="17" t="s">
        <v>76</v>
      </c>
      <c r="V46" s="38" t="s">
        <v>76</v>
      </c>
    </row>
    <row r="47" spans="1:22" x14ac:dyDescent="0.25">
      <c r="A47" s="10" t="s">
        <v>60</v>
      </c>
      <c r="B47" s="11" t="s">
        <v>92</v>
      </c>
      <c r="C47" s="12">
        <v>12</v>
      </c>
      <c r="D47" s="13">
        <f t="shared" ref="D47:D54" si="20">C47/1082*100</f>
        <v>1.1090573012939002</v>
      </c>
      <c r="E47" s="13" t="s">
        <v>76</v>
      </c>
      <c r="F47" s="13" t="s">
        <v>76</v>
      </c>
      <c r="G47" s="12">
        <v>2</v>
      </c>
      <c r="H47" s="13">
        <f t="shared" ref="H47:H55" si="21">G47/21*100</f>
        <v>9.5238095238095237</v>
      </c>
      <c r="I47" s="14">
        <v>1</v>
      </c>
      <c r="J47" s="13">
        <f>I47/8*100</f>
        <v>12.5</v>
      </c>
      <c r="K47" s="12" t="s">
        <v>76</v>
      </c>
      <c r="L47" s="13" t="s">
        <v>76</v>
      </c>
      <c r="M47" s="13" t="s">
        <v>76</v>
      </c>
      <c r="N47" s="13" t="s">
        <v>76</v>
      </c>
      <c r="O47" s="12" t="s">
        <v>76</v>
      </c>
      <c r="P47" s="13" t="s">
        <v>76</v>
      </c>
      <c r="Q47" s="13" t="s">
        <v>76</v>
      </c>
      <c r="R47" s="13" t="s">
        <v>76</v>
      </c>
      <c r="S47" s="12">
        <f>C47+G47</f>
        <v>14</v>
      </c>
      <c r="T47" s="15">
        <f t="shared" ref="T47:T55" si="22">S47/1103*100</f>
        <v>1.2692656391659112</v>
      </c>
      <c r="U47" s="12">
        <v>1</v>
      </c>
      <c r="V47" s="19">
        <f>U47/30*100</f>
        <v>3.3333333333333335</v>
      </c>
    </row>
    <row r="48" spans="1:22" x14ac:dyDescent="0.25">
      <c r="A48" s="10" t="s">
        <v>126</v>
      </c>
      <c r="B48" s="11" t="s">
        <v>92</v>
      </c>
      <c r="C48" s="12">
        <v>2</v>
      </c>
      <c r="D48" s="13">
        <f t="shared" si="20"/>
        <v>0.18484288354898337</v>
      </c>
      <c r="E48" s="14">
        <v>2</v>
      </c>
      <c r="F48" s="13">
        <f>E48/22*100</f>
        <v>9.0909090909090917</v>
      </c>
      <c r="G48" s="12" t="s">
        <v>76</v>
      </c>
      <c r="H48" s="13" t="s">
        <v>76</v>
      </c>
      <c r="I48" s="14" t="s">
        <v>76</v>
      </c>
      <c r="J48" s="13" t="s">
        <v>76</v>
      </c>
      <c r="K48" s="12" t="s">
        <v>76</v>
      </c>
      <c r="L48" s="13" t="s">
        <v>76</v>
      </c>
      <c r="M48" s="13" t="s">
        <v>76</v>
      </c>
      <c r="N48" s="13" t="s">
        <v>76</v>
      </c>
      <c r="O48" s="12" t="s">
        <v>76</v>
      </c>
      <c r="P48" s="13" t="s">
        <v>76</v>
      </c>
      <c r="Q48" s="13" t="s">
        <v>76</v>
      </c>
      <c r="R48" s="13" t="s">
        <v>76</v>
      </c>
      <c r="S48" s="12">
        <v>2</v>
      </c>
      <c r="T48" s="15">
        <f t="shared" si="22"/>
        <v>0.18132366273798731</v>
      </c>
      <c r="U48" s="12">
        <v>2</v>
      </c>
      <c r="V48" s="19">
        <f t="shared" ref="V48:V55" si="23">U48/30*100</f>
        <v>6.666666666666667</v>
      </c>
    </row>
    <row r="49" spans="1:22" x14ac:dyDescent="0.25">
      <c r="A49" s="10" t="s">
        <v>61</v>
      </c>
      <c r="B49" s="11" t="s">
        <v>93</v>
      </c>
      <c r="C49" s="12">
        <v>163</v>
      </c>
      <c r="D49" s="13">
        <f t="shared" si="20"/>
        <v>15.064695009242143</v>
      </c>
      <c r="E49" s="14">
        <v>8</v>
      </c>
      <c r="F49" s="13">
        <f t="shared" ref="F49:F54" si="24">E49/22*100</f>
        <v>36.363636363636367</v>
      </c>
      <c r="G49" s="12">
        <v>2</v>
      </c>
      <c r="H49" s="13">
        <f t="shared" si="21"/>
        <v>9.5238095238095237</v>
      </c>
      <c r="I49" s="14">
        <v>2</v>
      </c>
      <c r="J49" s="13">
        <f>2/8*100</f>
        <v>25</v>
      </c>
      <c r="K49" s="12" t="s">
        <v>76</v>
      </c>
      <c r="L49" s="13" t="s">
        <v>76</v>
      </c>
      <c r="M49" s="13" t="s">
        <v>76</v>
      </c>
      <c r="N49" s="13" t="s">
        <v>76</v>
      </c>
      <c r="O49" s="12" t="s">
        <v>76</v>
      </c>
      <c r="P49" s="13" t="s">
        <v>76</v>
      </c>
      <c r="Q49" s="13" t="s">
        <v>76</v>
      </c>
      <c r="R49" s="13" t="s">
        <v>76</v>
      </c>
      <c r="S49" s="12">
        <v>165</v>
      </c>
      <c r="T49" s="15">
        <f t="shared" si="22"/>
        <v>14.959202175883954</v>
      </c>
      <c r="U49" s="12">
        <v>10</v>
      </c>
      <c r="V49" s="19">
        <f t="shared" si="23"/>
        <v>33.333333333333329</v>
      </c>
    </row>
    <row r="50" spans="1:22" x14ac:dyDescent="0.25">
      <c r="A50" s="18" t="s">
        <v>127</v>
      </c>
      <c r="B50" s="11" t="s">
        <v>94</v>
      </c>
      <c r="C50" s="12">
        <v>2</v>
      </c>
      <c r="D50" s="13">
        <f t="shared" si="20"/>
        <v>0.18484288354898337</v>
      </c>
      <c r="E50" s="14">
        <v>1</v>
      </c>
      <c r="F50" s="13">
        <f t="shared" si="24"/>
        <v>4.5454545454545459</v>
      </c>
      <c r="G50" s="12" t="s">
        <v>76</v>
      </c>
      <c r="H50" s="13" t="s">
        <v>76</v>
      </c>
      <c r="I50" s="14" t="s">
        <v>76</v>
      </c>
      <c r="J50" s="13" t="s">
        <v>76</v>
      </c>
      <c r="K50" s="12" t="s">
        <v>76</v>
      </c>
      <c r="L50" s="13" t="s">
        <v>76</v>
      </c>
      <c r="M50" s="13" t="s">
        <v>76</v>
      </c>
      <c r="N50" s="13" t="s">
        <v>76</v>
      </c>
      <c r="O50" s="12" t="s">
        <v>76</v>
      </c>
      <c r="P50" s="13" t="s">
        <v>76</v>
      </c>
      <c r="Q50" s="13" t="s">
        <v>76</v>
      </c>
      <c r="R50" s="13" t="s">
        <v>76</v>
      </c>
      <c r="S50" s="12">
        <v>2</v>
      </c>
      <c r="T50" s="15">
        <f t="shared" si="22"/>
        <v>0.18132366273798731</v>
      </c>
      <c r="U50" s="12">
        <v>1</v>
      </c>
      <c r="V50" s="19">
        <f t="shared" si="23"/>
        <v>3.3333333333333335</v>
      </c>
    </row>
    <row r="51" spans="1:22" x14ac:dyDescent="0.25">
      <c r="A51" s="18" t="s">
        <v>128</v>
      </c>
      <c r="B51" s="11" t="s">
        <v>95</v>
      </c>
      <c r="C51" s="12">
        <v>26</v>
      </c>
      <c r="D51" s="13">
        <f t="shared" si="20"/>
        <v>2.4029574861367835</v>
      </c>
      <c r="E51" s="14">
        <v>2</v>
      </c>
      <c r="F51" s="13">
        <f t="shared" si="24"/>
        <v>9.0909090909090917</v>
      </c>
      <c r="G51" s="12">
        <v>4</v>
      </c>
      <c r="H51" s="13">
        <f t="shared" si="21"/>
        <v>19.047619047619047</v>
      </c>
      <c r="I51" s="14">
        <v>3</v>
      </c>
      <c r="J51" s="13">
        <f>3/8*100</f>
        <v>37.5</v>
      </c>
      <c r="K51" s="12" t="s">
        <v>76</v>
      </c>
      <c r="L51" s="13" t="s">
        <v>76</v>
      </c>
      <c r="M51" s="13" t="s">
        <v>76</v>
      </c>
      <c r="N51" s="13" t="s">
        <v>76</v>
      </c>
      <c r="O51" s="12" t="s">
        <v>76</v>
      </c>
      <c r="P51" s="13" t="s">
        <v>76</v>
      </c>
      <c r="Q51" s="13" t="s">
        <v>76</v>
      </c>
      <c r="R51" s="13" t="s">
        <v>76</v>
      </c>
      <c r="S51" s="12">
        <v>30</v>
      </c>
      <c r="T51" s="15">
        <f t="shared" si="22"/>
        <v>2.7198549410698094</v>
      </c>
      <c r="U51" s="12">
        <v>5</v>
      </c>
      <c r="V51" s="19">
        <f t="shared" si="23"/>
        <v>16.666666666666664</v>
      </c>
    </row>
    <row r="52" spans="1:22" x14ac:dyDescent="0.25">
      <c r="A52" s="18" t="s">
        <v>129</v>
      </c>
      <c r="B52" s="11" t="s">
        <v>96</v>
      </c>
      <c r="C52" s="12">
        <v>6</v>
      </c>
      <c r="D52" s="13">
        <f t="shared" si="20"/>
        <v>0.55452865064695012</v>
      </c>
      <c r="E52" s="14">
        <v>1</v>
      </c>
      <c r="F52" s="13">
        <f t="shared" si="24"/>
        <v>4.5454545454545459</v>
      </c>
      <c r="G52" s="12" t="s">
        <v>76</v>
      </c>
      <c r="H52" s="13" t="s">
        <v>76</v>
      </c>
      <c r="I52" s="14" t="s">
        <v>76</v>
      </c>
      <c r="J52" s="13" t="s">
        <v>76</v>
      </c>
      <c r="K52" s="12" t="s">
        <v>76</v>
      </c>
      <c r="L52" s="13" t="s">
        <v>76</v>
      </c>
      <c r="M52" s="13" t="s">
        <v>76</v>
      </c>
      <c r="N52" s="13" t="s">
        <v>76</v>
      </c>
      <c r="O52" s="12" t="s">
        <v>76</v>
      </c>
      <c r="P52" s="13" t="s">
        <v>76</v>
      </c>
      <c r="Q52" s="13" t="s">
        <v>76</v>
      </c>
      <c r="R52" s="13" t="s">
        <v>76</v>
      </c>
      <c r="S52" s="12">
        <v>6</v>
      </c>
      <c r="T52" s="15">
        <f t="shared" si="22"/>
        <v>0.54397098821396195</v>
      </c>
      <c r="U52" s="12">
        <v>1</v>
      </c>
      <c r="V52" s="19">
        <f t="shared" si="23"/>
        <v>3.3333333333333335</v>
      </c>
    </row>
    <row r="53" spans="1:22" x14ac:dyDescent="0.25">
      <c r="A53" s="18" t="s">
        <v>130</v>
      </c>
      <c r="B53" s="11" t="s">
        <v>97</v>
      </c>
      <c r="C53" s="12">
        <v>6</v>
      </c>
      <c r="D53" s="13">
        <f t="shared" si="20"/>
        <v>0.55452865064695012</v>
      </c>
      <c r="E53" s="14">
        <v>2</v>
      </c>
      <c r="F53" s="13">
        <f t="shared" si="24"/>
        <v>9.0909090909090917</v>
      </c>
      <c r="G53" s="12">
        <v>1</v>
      </c>
      <c r="H53" s="13">
        <f t="shared" si="21"/>
        <v>4.7619047619047619</v>
      </c>
      <c r="I53" s="14">
        <v>1</v>
      </c>
      <c r="J53" s="13">
        <f>1/8*100</f>
        <v>12.5</v>
      </c>
      <c r="K53" s="12" t="s">
        <v>76</v>
      </c>
      <c r="L53" s="13" t="s">
        <v>76</v>
      </c>
      <c r="M53" s="13" t="s">
        <v>76</v>
      </c>
      <c r="N53" s="13" t="s">
        <v>76</v>
      </c>
      <c r="O53" s="12" t="s">
        <v>76</v>
      </c>
      <c r="P53" s="13" t="s">
        <v>76</v>
      </c>
      <c r="Q53" s="13" t="s">
        <v>76</v>
      </c>
      <c r="R53" s="13" t="s">
        <v>76</v>
      </c>
      <c r="S53" s="12">
        <v>7</v>
      </c>
      <c r="T53" s="15">
        <f t="shared" si="22"/>
        <v>0.63463281958295559</v>
      </c>
      <c r="U53" s="12">
        <v>3</v>
      </c>
      <c r="V53" s="19">
        <f t="shared" si="23"/>
        <v>10</v>
      </c>
    </row>
    <row r="54" spans="1:22" x14ac:dyDescent="0.25">
      <c r="A54" s="18" t="s">
        <v>131</v>
      </c>
      <c r="B54" s="11" t="s">
        <v>62</v>
      </c>
      <c r="C54" s="12">
        <v>108</v>
      </c>
      <c r="D54" s="13">
        <f t="shared" si="20"/>
        <v>9.9815157116451019</v>
      </c>
      <c r="E54" s="14">
        <v>6</v>
      </c>
      <c r="F54" s="13">
        <f t="shared" si="24"/>
        <v>27.27272727272727</v>
      </c>
      <c r="G54" s="12" t="s">
        <v>76</v>
      </c>
      <c r="H54" s="13" t="s">
        <v>76</v>
      </c>
      <c r="I54" s="14" t="s">
        <v>76</v>
      </c>
      <c r="J54" s="13" t="s">
        <v>76</v>
      </c>
      <c r="K54" s="12" t="s">
        <v>76</v>
      </c>
      <c r="L54" s="13" t="s">
        <v>76</v>
      </c>
      <c r="M54" s="13" t="s">
        <v>76</v>
      </c>
      <c r="N54" s="13" t="s">
        <v>76</v>
      </c>
      <c r="O54" s="12" t="s">
        <v>76</v>
      </c>
      <c r="P54" s="13" t="s">
        <v>76</v>
      </c>
      <c r="Q54" s="13" t="s">
        <v>76</v>
      </c>
      <c r="R54" s="13" t="s">
        <v>76</v>
      </c>
      <c r="S54" s="12">
        <v>108</v>
      </c>
      <c r="T54" s="15">
        <f t="shared" si="22"/>
        <v>9.7914777878513153</v>
      </c>
      <c r="U54" s="12">
        <v>6</v>
      </c>
      <c r="V54" s="19">
        <f t="shared" si="23"/>
        <v>20</v>
      </c>
    </row>
    <row r="55" spans="1:22" x14ac:dyDescent="0.25">
      <c r="A55" s="10" t="s">
        <v>132</v>
      </c>
      <c r="B55" s="11" t="s">
        <v>98</v>
      </c>
      <c r="C55" s="12" t="s">
        <v>76</v>
      </c>
      <c r="D55" s="13" t="s">
        <v>76</v>
      </c>
      <c r="E55" s="13" t="s">
        <v>76</v>
      </c>
      <c r="F55" s="13" t="s">
        <v>76</v>
      </c>
      <c r="G55" s="12">
        <v>1</v>
      </c>
      <c r="H55" s="13">
        <f t="shared" si="21"/>
        <v>4.7619047619047619</v>
      </c>
      <c r="I55" s="14">
        <v>1</v>
      </c>
      <c r="J55" s="13">
        <f>1/8*100</f>
        <v>12.5</v>
      </c>
      <c r="K55" s="12" t="s">
        <v>76</v>
      </c>
      <c r="L55" s="13" t="s">
        <v>76</v>
      </c>
      <c r="M55" s="13" t="s">
        <v>76</v>
      </c>
      <c r="N55" s="13" t="s">
        <v>76</v>
      </c>
      <c r="O55" s="12" t="s">
        <v>76</v>
      </c>
      <c r="P55" s="13" t="s">
        <v>76</v>
      </c>
      <c r="Q55" s="13" t="s">
        <v>76</v>
      </c>
      <c r="R55" s="13" t="s">
        <v>76</v>
      </c>
      <c r="S55" s="12">
        <v>1</v>
      </c>
      <c r="T55" s="22">
        <f t="shared" si="22"/>
        <v>9.0661831368993653E-2</v>
      </c>
      <c r="U55" s="12">
        <v>1</v>
      </c>
      <c r="V55" s="19">
        <f t="shared" si="23"/>
        <v>3.3333333333333335</v>
      </c>
    </row>
    <row r="56" spans="1:22" x14ac:dyDescent="0.25">
      <c r="A56" s="32" t="s">
        <v>63</v>
      </c>
      <c r="B56" s="24"/>
      <c r="C56" s="25">
        <v>1082</v>
      </c>
      <c r="D56" s="25" t="s">
        <v>99</v>
      </c>
      <c r="E56" s="25">
        <v>22</v>
      </c>
      <c r="F56" s="26" t="s">
        <v>110</v>
      </c>
      <c r="G56" s="25">
        <v>21</v>
      </c>
      <c r="H56" s="26" t="s">
        <v>100</v>
      </c>
      <c r="I56" s="27">
        <v>8</v>
      </c>
      <c r="J56" s="26" t="s">
        <v>113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f>C56+G56</f>
        <v>1103</v>
      </c>
      <c r="T56" s="25" t="s">
        <v>101</v>
      </c>
      <c r="U56" s="35">
        <v>30</v>
      </c>
      <c r="V56" s="37" t="s">
        <v>117</v>
      </c>
    </row>
    <row r="57" spans="1:22" x14ac:dyDescent="0.25">
      <c r="A57" s="10" t="s">
        <v>64</v>
      </c>
      <c r="B57" s="11" t="s">
        <v>65</v>
      </c>
      <c r="C57" s="12">
        <v>1</v>
      </c>
      <c r="D57" s="13">
        <v>50</v>
      </c>
      <c r="E57" s="14">
        <v>1</v>
      </c>
      <c r="F57" s="13">
        <f>1/2*100</f>
        <v>50</v>
      </c>
      <c r="G57" s="12" t="s">
        <v>76</v>
      </c>
      <c r="H57" s="13" t="s">
        <v>76</v>
      </c>
      <c r="I57" s="13" t="s">
        <v>76</v>
      </c>
      <c r="J57" s="13" t="s">
        <v>76</v>
      </c>
      <c r="K57" s="12" t="s">
        <v>76</v>
      </c>
      <c r="L57" s="13" t="s">
        <v>76</v>
      </c>
      <c r="M57" s="13" t="s">
        <v>76</v>
      </c>
      <c r="N57" s="13" t="s">
        <v>76</v>
      </c>
      <c r="O57" s="12" t="s">
        <v>76</v>
      </c>
      <c r="P57" s="13" t="s">
        <v>76</v>
      </c>
      <c r="Q57" s="13" t="s">
        <v>76</v>
      </c>
      <c r="R57" s="13" t="s">
        <v>76</v>
      </c>
      <c r="S57" s="12">
        <v>1</v>
      </c>
      <c r="T57" s="30">
        <f>S57/3*100</f>
        <v>33.333333333333329</v>
      </c>
      <c r="U57" s="12">
        <v>1</v>
      </c>
      <c r="V57" s="38">
        <v>33.299999999999997</v>
      </c>
    </row>
    <row r="58" spans="1:22" x14ac:dyDescent="0.25">
      <c r="A58" s="10" t="s">
        <v>133</v>
      </c>
      <c r="B58" s="11" t="s">
        <v>66</v>
      </c>
      <c r="C58" s="12">
        <v>1</v>
      </c>
      <c r="D58" s="13">
        <v>50</v>
      </c>
      <c r="E58" s="14">
        <v>1</v>
      </c>
      <c r="F58" s="13">
        <f>1/2*100</f>
        <v>50</v>
      </c>
      <c r="G58" s="12" t="s">
        <v>76</v>
      </c>
      <c r="H58" s="13" t="s">
        <v>76</v>
      </c>
      <c r="I58" s="13" t="s">
        <v>76</v>
      </c>
      <c r="J58" s="13" t="s">
        <v>76</v>
      </c>
      <c r="K58" s="12" t="s">
        <v>76</v>
      </c>
      <c r="L58" s="13" t="s">
        <v>76</v>
      </c>
      <c r="M58" s="13" t="s">
        <v>76</v>
      </c>
      <c r="N58" s="13" t="s">
        <v>76</v>
      </c>
      <c r="O58" s="12" t="s">
        <v>76</v>
      </c>
      <c r="P58" s="13" t="s">
        <v>76</v>
      </c>
      <c r="Q58" s="13" t="s">
        <v>76</v>
      </c>
      <c r="R58" s="13" t="s">
        <v>76</v>
      </c>
      <c r="S58" s="12">
        <v>1</v>
      </c>
      <c r="T58" s="15">
        <f t="shared" ref="T58:T59" si="25">S58/3*100</f>
        <v>33.333333333333329</v>
      </c>
      <c r="U58" s="12">
        <v>1</v>
      </c>
      <c r="V58" s="16">
        <v>33.299999999999997</v>
      </c>
    </row>
    <row r="59" spans="1:22" x14ac:dyDescent="0.25">
      <c r="A59" s="10" t="s">
        <v>102</v>
      </c>
      <c r="B59" s="11" t="s">
        <v>103</v>
      </c>
      <c r="C59" s="12" t="s">
        <v>76</v>
      </c>
      <c r="D59" s="12" t="s">
        <v>76</v>
      </c>
      <c r="E59" s="12" t="s">
        <v>76</v>
      </c>
      <c r="F59" s="12" t="s">
        <v>76</v>
      </c>
      <c r="G59" s="12" t="s">
        <v>76</v>
      </c>
      <c r="H59" s="13" t="s">
        <v>76</v>
      </c>
      <c r="I59" s="13" t="s">
        <v>76</v>
      </c>
      <c r="J59" s="13" t="s">
        <v>76</v>
      </c>
      <c r="K59" s="12" t="s">
        <v>76</v>
      </c>
      <c r="L59" s="13" t="s">
        <v>76</v>
      </c>
      <c r="M59" s="13" t="s">
        <v>76</v>
      </c>
      <c r="N59" s="13" t="s">
        <v>76</v>
      </c>
      <c r="O59" s="12">
        <v>1</v>
      </c>
      <c r="P59" s="13">
        <f>1/67*100</f>
        <v>1.4925373134328357</v>
      </c>
      <c r="Q59" s="14">
        <v>1</v>
      </c>
      <c r="R59" s="13">
        <v>100</v>
      </c>
      <c r="S59" s="12">
        <v>1</v>
      </c>
      <c r="T59" s="22">
        <f t="shared" si="25"/>
        <v>33.333333333333329</v>
      </c>
      <c r="U59" s="39">
        <v>1</v>
      </c>
      <c r="V59" s="16">
        <v>33.299999999999997</v>
      </c>
    </row>
    <row r="60" spans="1:22" x14ac:dyDescent="0.25">
      <c r="A60" s="32" t="s">
        <v>67</v>
      </c>
      <c r="B60" s="24"/>
      <c r="C60" s="25">
        <v>2</v>
      </c>
      <c r="D60" s="25" t="s">
        <v>104</v>
      </c>
      <c r="E60" s="25">
        <v>2</v>
      </c>
      <c r="F60" s="26" t="s">
        <v>109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1</v>
      </c>
      <c r="P60" s="26" t="s">
        <v>105</v>
      </c>
      <c r="Q60" s="27">
        <v>1</v>
      </c>
      <c r="R60" s="26" t="s">
        <v>115</v>
      </c>
      <c r="S60" s="25">
        <v>3</v>
      </c>
      <c r="T60" s="25" t="s">
        <v>104</v>
      </c>
      <c r="U60" s="25">
        <v>3</v>
      </c>
      <c r="V60" s="37" t="s">
        <v>118</v>
      </c>
    </row>
    <row r="61" spans="1:22" x14ac:dyDescent="0.25">
      <c r="A61" s="32" t="s">
        <v>68</v>
      </c>
      <c r="B61" s="24"/>
      <c r="C61" s="25">
        <f>C60+C56+C45</f>
        <v>1568</v>
      </c>
      <c r="D61" s="40">
        <v>1</v>
      </c>
      <c r="E61" s="27">
        <v>59</v>
      </c>
      <c r="F61" s="40">
        <v>1</v>
      </c>
      <c r="G61" s="25">
        <f>G56+G45</f>
        <v>1118</v>
      </c>
      <c r="H61" s="40">
        <v>1</v>
      </c>
      <c r="I61" s="27">
        <v>38</v>
      </c>
      <c r="J61" s="40">
        <v>1</v>
      </c>
      <c r="K61" s="25">
        <v>319</v>
      </c>
      <c r="L61" s="40">
        <v>1</v>
      </c>
      <c r="M61" s="27">
        <v>18</v>
      </c>
      <c r="N61" s="40">
        <v>1</v>
      </c>
      <c r="O61" s="25">
        <f>O60+O36+O25</f>
        <v>67</v>
      </c>
      <c r="P61" s="40">
        <v>1</v>
      </c>
      <c r="Q61" s="27">
        <v>18</v>
      </c>
      <c r="R61" s="40">
        <v>1</v>
      </c>
      <c r="S61" s="25">
        <f>C61+G61+K61+O61</f>
        <v>3072</v>
      </c>
      <c r="T61" s="41">
        <v>1</v>
      </c>
      <c r="U61" s="25">
        <f>U60+U56+U45</f>
        <v>134</v>
      </c>
      <c r="V61" s="42">
        <v>1</v>
      </c>
    </row>
    <row r="62" spans="1:22" x14ac:dyDescent="0.25">
      <c r="A62" s="2" t="s">
        <v>119</v>
      </c>
    </row>
  </sheetData>
  <mergeCells count="5">
    <mergeCell ref="K3:L3"/>
    <mergeCell ref="C3:F3"/>
    <mergeCell ref="G3:J3"/>
    <mergeCell ref="S3:V3"/>
    <mergeCell ref="O3:R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SupTable2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Sharpe</dc:creator>
  <cp:lastModifiedBy>Ashley Sharpe</cp:lastModifiedBy>
  <dcterms:created xsi:type="dcterms:W3CDTF">2021-01-23T21:14:25Z</dcterms:created>
  <dcterms:modified xsi:type="dcterms:W3CDTF">2021-08-04T16:45:05Z</dcterms:modified>
</cp:coreProperties>
</file>