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llnXtHgyy9B4Q51XSmyHDNWWbJa7XNQC\Royal Diet shared folder G drive\"/>
    </mc:Choice>
  </mc:AlternateContent>
  <xr:revisionPtr revIDLastSave="0" documentId="8_{F63FC0C1-2A87-415C-923D-5E98DC0F1257}" xr6:coauthVersionLast="46" xr6:coauthVersionMax="46" xr10:uidLastSave="{00000000-0000-0000-0000-000000000000}"/>
  <bookViews>
    <workbookView xWindow="25785" yWindow="0" windowWidth="25815" windowHeight="21000" activeTab="2" xr2:uid="{9C8E7606-C585-4AD6-80AE-61E2D60CF3AA}"/>
  </bookViews>
  <sheets>
    <sheet name="Assumptions" sheetId="4" r:id="rId1"/>
    <sheet name="Ine 70.1, S 1188 and S 1506" sheetId="18" r:id="rId2"/>
    <sheet name="New wide comparison" sheetId="1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17" i="17" l="1"/>
  <c r="AX17" i="17"/>
  <c r="AS17" i="17"/>
  <c r="AN17" i="17"/>
  <c r="AI17" i="17"/>
  <c r="AD17" i="17"/>
  <c r="O17" i="17"/>
  <c r="T17" i="17"/>
  <c r="C14" i="4"/>
  <c r="B14" i="4"/>
  <c r="B12" i="4"/>
  <c r="C44" i="18" l="1"/>
  <c r="G44" i="18" s="1"/>
  <c r="C43" i="18"/>
  <c r="G43" i="18" s="1"/>
  <c r="C42" i="18"/>
  <c r="G42" i="18" s="1"/>
  <c r="C41" i="18"/>
  <c r="C40" i="18"/>
  <c r="C39" i="18"/>
  <c r="G39" i="18" s="1"/>
  <c r="C38" i="18"/>
  <c r="G38" i="18" s="1"/>
  <c r="C30" i="18"/>
  <c r="C29" i="18"/>
  <c r="G29" i="18" s="1"/>
  <c r="C28" i="18"/>
  <c r="C27" i="18"/>
  <c r="G27" i="18" s="1"/>
  <c r="C26" i="18"/>
  <c r="C25" i="18"/>
  <c r="C24" i="18"/>
  <c r="C23" i="18"/>
  <c r="G23" i="18" s="1"/>
  <c r="C22" i="18"/>
  <c r="G22" i="18" s="1"/>
  <c r="C14" i="18"/>
  <c r="G14" i="18" s="1"/>
  <c r="C13" i="18"/>
  <c r="G13" i="18" s="1"/>
  <c r="C12" i="18"/>
  <c r="G12" i="18" s="1"/>
  <c r="C10" i="18"/>
  <c r="C9" i="18"/>
  <c r="G9" i="18" s="1"/>
  <c r="C8" i="18"/>
  <c r="G8" i="18" s="1"/>
  <c r="C7" i="18"/>
  <c r="G7" i="18" s="1"/>
  <c r="C6" i="18"/>
  <c r="G6" i="18" s="1"/>
  <c r="C5" i="18"/>
  <c r="G5" i="18" s="1"/>
  <c r="C4" i="18"/>
  <c r="G4" i="18" s="1"/>
  <c r="C3" i="18"/>
  <c r="G3" i="18" s="1"/>
  <c r="D40" i="18" l="1"/>
  <c r="H40" i="18" s="1"/>
  <c r="G40" i="18"/>
  <c r="D41" i="18"/>
  <c r="H41" i="18" s="1"/>
  <c r="G41" i="18"/>
  <c r="D30" i="18"/>
  <c r="H30" i="18" s="1"/>
  <c r="G30" i="18"/>
  <c r="D28" i="18"/>
  <c r="H28" i="18" s="1"/>
  <c r="G28" i="18"/>
  <c r="D26" i="18"/>
  <c r="H26" i="18" s="1"/>
  <c r="G26" i="18"/>
  <c r="D24" i="18"/>
  <c r="H24" i="18" s="1"/>
  <c r="G24" i="18"/>
  <c r="D25" i="18"/>
  <c r="H25" i="18" s="1"/>
  <c r="G25" i="18"/>
  <c r="D10" i="18"/>
  <c r="H10" i="18" s="1"/>
  <c r="G10" i="18"/>
  <c r="C46" i="18"/>
  <c r="D6" i="18"/>
  <c r="H6" i="18" s="1"/>
  <c r="C32" i="18"/>
  <c r="D9" i="18"/>
  <c r="H9" i="18" s="1"/>
  <c r="D27" i="18"/>
  <c r="H27" i="18" s="1"/>
  <c r="D5" i="18"/>
  <c r="H5" i="18" s="1"/>
  <c r="D8" i="18"/>
  <c r="H8" i="18" s="1"/>
  <c r="D14" i="18"/>
  <c r="H14" i="18" s="1"/>
  <c r="D42" i="18"/>
  <c r="H42" i="18" s="1"/>
  <c r="D43" i="18"/>
  <c r="H43" i="18" s="1"/>
  <c r="G46" i="18" l="1"/>
  <c r="G32" i="18"/>
  <c r="BD17" i="17" l="1"/>
  <c r="D23" i="17"/>
  <c r="J13" i="17"/>
  <c r="J14" i="17"/>
  <c r="J18" i="17"/>
  <c r="K16" i="17"/>
  <c r="J15" i="17"/>
  <c r="J12" i="17"/>
  <c r="J11" i="17"/>
  <c r="K11" i="17" s="1"/>
  <c r="J10" i="17"/>
  <c r="J9" i="17"/>
  <c r="J8" i="17"/>
  <c r="J7" i="17"/>
  <c r="J6" i="17"/>
  <c r="J5" i="17"/>
  <c r="K4" i="17"/>
  <c r="J4" i="17"/>
  <c r="K3" i="17"/>
  <c r="J3" i="17"/>
  <c r="E15" i="17"/>
  <c r="Y15" i="17"/>
  <c r="E12" i="17"/>
  <c r="E11" i="17"/>
  <c r="F11" i="17" s="1"/>
  <c r="E16" i="17"/>
  <c r="F16" i="17" s="1"/>
  <c r="E10" i="17"/>
  <c r="E9" i="17"/>
  <c r="F9" i="17" s="1"/>
  <c r="E8" i="17"/>
  <c r="E7" i="17"/>
  <c r="E6" i="17"/>
  <c r="E5" i="17"/>
  <c r="F4" i="17"/>
  <c r="E4" i="17"/>
  <c r="F3" i="17"/>
  <c r="E3" i="17"/>
  <c r="BC18" i="17"/>
  <c r="BC14" i="17"/>
  <c r="BC16" i="17"/>
  <c r="BD16" i="17" s="1"/>
  <c r="BC15" i="17"/>
  <c r="BC12" i="17"/>
  <c r="BC11" i="17"/>
  <c r="BD11" i="17" s="1"/>
  <c r="BC10" i="17"/>
  <c r="BC9" i="17"/>
  <c r="BC8" i="17"/>
  <c r="BC7" i="17"/>
  <c r="BC6" i="17"/>
  <c r="BC5" i="17"/>
  <c r="BD5" i="17" s="1"/>
  <c r="BD4" i="17"/>
  <c r="BC4" i="17"/>
  <c r="BD3" i="17"/>
  <c r="BC3" i="17"/>
  <c r="AW23" i="17"/>
  <c r="AX16" i="17"/>
  <c r="AY16" i="17" s="1"/>
  <c r="AX11" i="17"/>
  <c r="AY11" i="17" s="1"/>
  <c r="AX18" i="17"/>
  <c r="AY17" i="17"/>
  <c r="AX15" i="17"/>
  <c r="AX14" i="17"/>
  <c r="AX12" i="17"/>
  <c r="AX10" i="17"/>
  <c r="AX9" i="17"/>
  <c r="AX8" i="17"/>
  <c r="AX7" i="17"/>
  <c r="AX6" i="17"/>
  <c r="AX5" i="17"/>
  <c r="AY5" i="17" s="1"/>
  <c r="AY4" i="17"/>
  <c r="AX4" i="17"/>
  <c r="AY3" i="17"/>
  <c r="AX3" i="17"/>
  <c r="N23" i="17"/>
  <c r="O18" i="17"/>
  <c r="AD18" i="17"/>
  <c r="O11" i="17"/>
  <c r="P11" i="17" s="1"/>
  <c r="P17" i="17"/>
  <c r="O16" i="17"/>
  <c r="P16" i="17" s="1"/>
  <c r="O15" i="17"/>
  <c r="O14" i="17"/>
  <c r="O12" i="17"/>
  <c r="O10" i="17"/>
  <c r="O9" i="17"/>
  <c r="O8" i="17"/>
  <c r="O7" i="17"/>
  <c r="O6" i="17"/>
  <c r="O5" i="17"/>
  <c r="P5" i="17" s="1"/>
  <c r="P4" i="17"/>
  <c r="O4" i="17"/>
  <c r="P3" i="17"/>
  <c r="O3" i="17"/>
  <c r="AR23" i="17"/>
  <c r="AS18" i="17"/>
  <c r="AT17" i="17"/>
  <c r="AS16" i="17"/>
  <c r="AT16" i="17" s="1"/>
  <c r="AS15" i="17"/>
  <c r="AS14" i="17"/>
  <c r="AS12" i="17"/>
  <c r="AS11" i="17"/>
  <c r="AT11" i="17" s="1"/>
  <c r="AS10" i="17"/>
  <c r="AS9" i="17"/>
  <c r="AS8" i="17"/>
  <c r="AS7" i="17"/>
  <c r="AS6" i="17"/>
  <c r="AS5" i="17"/>
  <c r="AT4" i="17"/>
  <c r="AS4" i="17"/>
  <c r="AT3" i="17"/>
  <c r="AS3" i="17"/>
  <c r="AM23" i="17"/>
  <c r="AN18" i="17"/>
  <c r="AO17" i="17"/>
  <c r="AN16" i="17"/>
  <c r="AO16" i="17" s="1"/>
  <c r="AN15" i="17"/>
  <c r="AN14" i="17"/>
  <c r="AN12" i="17"/>
  <c r="AN11" i="17"/>
  <c r="AO11" i="17" s="1"/>
  <c r="AN10" i="17"/>
  <c r="AN9" i="17"/>
  <c r="AN8" i="17"/>
  <c r="AN7" i="17"/>
  <c r="AN6" i="17"/>
  <c r="AN5" i="17"/>
  <c r="AO4" i="17"/>
  <c r="AN4" i="17"/>
  <c r="AO3" i="17"/>
  <c r="AN3" i="17"/>
  <c r="AC23" i="17"/>
  <c r="AE17" i="17"/>
  <c r="AD16" i="17"/>
  <c r="AE16" i="17" s="1"/>
  <c r="AD15" i="17"/>
  <c r="AD14" i="17"/>
  <c r="AD12" i="17"/>
  <c r="AD11" i="17"/>
  <c r="AE11" i="17" s="1"/>
  <c r="AD10" i="17"/>
  <c r="AD9" i="17"/>
  <c r="AD8" i="17"/>
  <c r="AD7" i="17"/>
  <c r="AD6" i="17"/>
  <c r="AD5" i="17"/>
  <c r="AE4" i="17"/>
  <c r="AD4" i="17"/>
  <c r="AE3" i="17"/>
  <c r="AD3" i="17"/>
  <c r="AH23" i="17"/>
  <c r="AI18" i="17"/>
  <c r="AJ17" i="17"/>
  <c r="AI16" i="17"/>
  <c r="AJ16" i="17" s="1"/>
  <c r="AI15" i="17"/>
  <c r="AI14" i="17"/>
  <c r="AI12" i="17"/>
  <c r="AI11" i="17"/>
  <c r="AJ11" i="17" s="1"/>
  <c r="AI10" i="17"/>
  <c r="AI9" i="17"/>
  <c r="AI8" i="17"/>
  <c r="AI7" i="17"/>
  <c r="AI6" i="17"/>
  <c r="AI5" i="17"/>
  <c r="AJ4" i="17"/>
  <c r="AI4" i="17"/>
  <c r="AJ3" i="17"/>
  <c r="AI3" i="17"/>
  <c r="X23" i="17"/>
  <c r="S23" i="17"/>
  <c r="T18" i="17"/>
  <c r="U17" i="17"/>
  <c r="T15" i="17"/>
  <c r="T14" i="17"/>
  <c r="T16" i="17"/>
  <c r="U16" i="17" s="1"/>
  <c r="T12" i="17"/>
  <c r="T11" i="17"/>
  <c r="U11" i="17" s="1"/>
  <c r="T10" i="17"/>
  <c r="T9" i="17"/>
  <c r="T8" i="17"/>
  <c r="T7" i="17"/>
  <c r="T6" i="17"/>
  <c r="T5" i="17"/>
  <c r="U4" i="17"/>
  <c r="T4" i="17"/>
  <c r="U3" i="17"/>
  <c r="T3" i="17"/>
  <c r="Z4" i="17"/>
  <c r="Z3" i="17"/>
  <c r="Y18" i="17"/>
  <c r="Y16" i="17"/>
  <c r="Z16" i="17" s="1"/>
  <c r="Y12" i="17"/>
  <c r="Y11" i="17"/>
  <c r="Z11" i="17" s="1"/>
  <c r="Y10" i="17"/>
  <c r="Y9" i="17"/>
  <c r="Y8" i="17"/>
  <c r="Y7" i="17"/>
  <c r="Y6" i="17"/>
  <c r="Y5" i="17"/>
  <c r="Z5" i="17" s="1"/>
  <c r="Y4" i="17"/>
  <c r="Y3" i="17"/>
  <c r="C7" i="4"/>
  <c r="U10" i="17" l="1"/>
  <c r="AT10" i="17"/>
  <c r="BD10" i="17"/>
  <c r="F10" i="17"/>
  <c r="P10" i="17"/>
  <c r="AJ10" i="17"/>
  <c r="K10" i="17"/>
  <c r="Z10" i="17"/>
  <c r="AE10" i="17"/>
  <c r="AO10" i="17"/>
  <c r="AY10" i="17"/>
  <c r="D26" i="17"/>
  <c r="D27" i="17"/>
  <c r="D25" i="17"/>
  <c r="AW25" i="17"/>
  <c r="AW27" i="17"/>
  <c r="AW26" i="17"/>
  <c r="N27" i="17"/>
  <c r="N25" i="17"/>
  <c r="N26" i="17"/>
  <c r="X27" i="17"/>
  <c r="AM27" i="17"/>
  <c r="AC27" i="17"/>
  <c r="AR27" i="17"/>
  <c r="AH27" i="17"/>
  <c r="S27" i="17"/>
  <c r="AR26" i="17"/>
  <c r="AR25" i="17"/>
  <c r="AM26" i="17"/>
  <c r="AM25" i="17"/>
  <c r="AC26" i="17"/>
  <c r="AC25" i="17"/>
  <c r="AH26" i="17"/>
  <c r="AH25" i="17"/>
  <c r="S26" i="17"/>
  <c r="S25" i="17"/>
  <c r="X26" i="17"/>
  <c r="X25" i="17"/>
  <c r="B26" i="4" l="1"/>
  <c r="C11" i="18" s="1"/>
  <c r="G11" i="18" s="1"/>
  <c r="G16" i="18" l="1"/>
  <c r="C16" i="18"/>
  <c r="D11" i="18"/>
  <c r="H11" i="18" s="1"/>
  <c r="E18" i="17"/>
  <c r="C11" i="4"/>
  <c r="C10" i="4"/>
  <c r="D22" i="18" l="1"/>
  <c r="H22" i="18" s="1"/>
  <c r="D38" i="18"/>
  <c r="H38" i="18" s="1"/>
  <c r="D3" i="18"/>
  <c r="H3" i="18" s="1"/>
  <c r="D4" i="18"/>
  <c r="H4" i="18" s="1"/>
  <c r="D23" i="18"/>
  <c r="H23" i="18" s="1"/>
  <c r="D39" i="18"/>
  <c r="H39" i="18" s="1"/>
  <c r="C3" i="4" l="1"/>
  <c r="D13" i="18" l="1"/>
  <c r="H13" i="18" s="1"/>
  <c r="D12" i="18"/>
  <c r="H12" i="18" s="1"/>
  <c r="D44" i="18"/>
  <c r="H44" i="18" s="1"/>
  <c r="D29" i="18"/>
  <c r="H29" i="18" s="1"/>
  <c r="D12" i="4"/>
  <c r="D13" i="4"/>
  <c r="D15" i="4"/>
  <c r="D16" i="4"/>
  <c r="D17" i="4"/>
  <c r="D18" i="4"/>
  <c r="AY15" i="17" l="1"/>
  <c r="AJ15" i="17"/>
  <c r="U15" i="17"/>
  <c r="AE15" i="17"/>
  <c r="K15" i="17"/>
  <c r="BD15" i="17"/>
  <c r="Z15" i="17"/>
  <c r="F15" i="17"/>
  <c r="P15" i="17"/>
  <c r="AT15" i="17"/>
  <c r="AO15" i="17"/>
  <c r="E29" i="18"/>
  <c r="H32" i="18"/>
  <c r="E28" i="18"/>
  <c r="E27" i="18"/>
  <c r="E23" i="18"/>
  <c r="E25" i="18"/>
  <c r="E26" i="18"/>
  <c r="E22" i="18"/>
  <c r="E24" i="18"/>
  <c r="D32" i="18"/>
  <c r="E30" i="18"/>
  <c r="E44" i="18"/>
  <c r="H46" i="18"/>
  <c r="E38" i="18"/>
  <c r="E41" i="18"/>
  <c r="E40" i="18"/>
  <c r="E42" i="18"/>
  <c r="E39" i="18"/>
  <c r="D46" i="18"/>
  <c r="E43" i="18"/>
  <c r="K7" i="17"/>
  <c r="AJ7" i="17"/>
  <c r="Z7" i="17"/>
  <c r="U7" i="17"/>
  <c r="AE7" i="17"/>
  <c r="P7" i="17"/>
  <c r="AO7" i="17"/>
  <c r="F7" i="17"/>
  <c r="BD7" i="17"/>
  <c r="AT7" i="17"/>
  <c r="AY7" i="17"/>
  <c r="F6" i="17"/>
  <c r="BD6" i="17"/>
  <c r="AT6" i="17"/>
  <c r="U6" i="17"/>
  <c r="AY6" i="17"/>
  <c r="AO6" i="17"/>
  <c r="AE6" i="17"/>
  <c r="Z6" i="17"/>
  <c r="P6" i="17"/>
  <c r="K6" i="17"/>
  <c r="AJ6" i="17"/>
  <c r="D6" i="4"/>
  <c r="D5" i="4"/>
  <c r="D4" i="4"/>
  <c r="D2" i="4"/>
  <c r="U12" i="17" l="1"/>
  <c r="BD12" i="17"/>
  <c r="BB21" i="17" s="1"/>
  <c r="K12" i="17"/>
  <c r="I21" i="17" s="1"/>
  <c r="AJ12" i="17"/>
  <c r="AH21" i="17" s="1"/>
  <c r="AT12" i="17"/>
  <c r="AR21" i="17" s="1"/>
  <c r="AY12" i="17"/>
  <c r="AW21" i="17" s="1"/>
  <c r="F12" i="17"/>
  <c r="Z12" i="17"/>
  <c r="X21" i="17" s="1"/>
  <c r="AE12" i="17"/>
  <c r="AC21" i="17" s="1"/>
  <c r="P12" i="17"/>
  <c r="N21" i="17" s="1"/>
  <c r="AO12" i="17"/>
  <c r="AM21" i="17" s="1"/>
  <c r="K13" i="17"/>
  <c r="U18" i="17"/>
  <c r="AO18" i="17"/>
  <c r="AY18" i="17"/>
  <c r="P18" i="17"/>
  <c r="AE18" i="17"/>
  <c r="Z18" i="17"/>
  <c r="X20" i="17" s="1"/>
  <c r="AT18" i="17"/>
  <c r="K18" i="17"/>
  <c r="AJ18" i="17"/>
  <c r="BD18" i="17"/>
  <c r="F18" i="17"/>
  <c r="S21" i="17"/>
  <c r="D7" i="18"/>
  <c r="H7" i="18" s="1"/>
  <c r="F8" i="17"/>
  <c r="U14" i="17"/>
  <c r="AO14" i="17"/>
  <c r="AJ14" i="17"/>
  <c r="AH20" i="17" s="1"/>
  <c r="K14" i="17"/>
  <c r="I23" i="17" s="1"/>
  <c r="BD14" i="17"/>
  <c r="BB23" i="17" s="1"/>
  <c r="AT14" i="17"/>
  <c r="AR20" i="17" s="1"/>
  <c r="AE14" i="17"/>
  <c r="AY14" i="17"/>
  <c r="P14" i="17"/>
  <c r="D14" i="4"/>
  <c r="D21" i="17" l="1"/>
  <c r="AM20" i="17"/>
  <c r="S20" i="17"/>
  <c r="AC20" i="17"/>
  <c r="AC24" i="17" s="1"/>
  <c r="N20" i="17"/>
  <c r="AW20" i="17"/>
  <c r="AM22" i="17"/>
  <c r="N24" i="17"/>
  <c r="AW24" i="17"/>
  <c r="AR24" i="17"/>
  <c r="X24" i="17"/>
  <c r="I27" i="17"/>
  <c r="I26" i="17"/>
  <c r="I25" i="17"/>
  <c r="AH24" i="17"/>
  <c r="S24" i="17"/>
  <c r="AW22" i="17"/>
  <c r="D20" i="17"/>
  <c r="D22" i="17" s="1"/>
  <c r="BB20" i="17"/>
  <c r="BB22" i="17" s="1"/>
  <c r="I20" i="17"/>
  <c r="I22" i="17" s="1"/>
  <c r="H16" i="18"/>
  <c r="D16" i="18"/>
  <c r="AM24" i="17"/>
  <c r="AH22" i="17"/>
  <c r="S22" i="17"/>
  <c r="AC22" i="17"/>
  <c r="BB27" i="17"/>
  <c r="BB26" i="17"/>
  <c r="BB25" i="17"/>
  <c r="AR22" i="17"/>
  <c r="X22" i="17"/>
  <c r="N22" i="17" l="1"/>
  <c r="E5" i="18"/>
  <c r="E6" i="18"/>
  <c r="E9" i="18"/>
  <c r="E14" i="18"/>
  <c r="E10" i="18"/>
  <c r="E8" i="18"/>
  <c r="E11" i="18"/>
  <c r="E4" i="18"/>
  <c r="E3" i="18"/>
  <c r="E12" i="18"/>
  <c r="E13" i="18"/>
  <c r="BB24" i="17"/>
  <c r="D24" i="17"/>
  <c r="E7" i="18"/>
  <c r="I24" i="17"/>
</calcChain>
</file>

<file path=xl/sharedStrings.xml><?xml version="1.0" encoding="utf-8"?>
<sst xmlns="http://schemas.openxmlformats.org/spreadsheetml/2006/main" count="298" uniqueCount="124">
  <si>
    <t>Ine 70.1</t>
  </si>
  <si>
    <t>Kcal</t>
  </si>
  <si>
    <t>Geese</t>
  </si>
  <si>
    <t>Hens</t>
  </si>
  <si>
    <t>Loaves</t>
  </si>
  <si>
    <t>n/a</t>
  </si>
  <si>
    <t>Honey</t>
  </si>
  <si>
    <t>Ale</t>
  </si>
  <si>
    <t>Unground corn</t>
  </si>
  <si>
    <t>Meal</t>
  </si>
  <si>
    <t>Butter</t>
  </si>
  <si>
    <t>Eel</t>
  </si>
  <si>
    <t>Salmon</t>
  </si>
  <si>
    <t>Chicken</t>
  </si>
  <si>
    <t>Goose</t>
  </si>
  <si>
    <t>Cheese</t>
  </si>
  <si>
    <t>Loaf</t>
  </si>
  <si>
    <t>Measures of volume</t>
  </si>
  <si>
    <t>Sester</t>
  </si>
  <si>
    <t>Amber</t>
  </si>
  <si>
    <t>Tunne</t>
  </si>
  <si>
    <t>Cumb</t>
  </si>
  <si>
    <t>Measures of weight</t>
  </si>
  <si>
    <t>Pound</t>
  </si>
  <si>
    <t>Litres</t>
  </si>
  <si>
    <t>Kg</t>
  </si>
  <si>
    <t>Density kg/l</t>
  </si>
  <si>
    <t>kcal/kg</t>
  </si>
  <si>
    <t>kcal/l</t>
  </si>
  <si>
    <t>kg/item</t>
  </si>
  <si>
    <t>Kcal/item</t>
  </si>
  <si>
    <t>Food type</t>
  </si>
  <si>
    <t>Number</t>
  </si>
  <si>
    <t>Cows/oxen</t>
  </si>
  <si>
    <t>Eels</t>
  </si>
  <si>
    <t>Honey (faeta)</t>
  </si>
  <si>
    <t>Ale, Welsh (ambra)</t>
  </si>
  <si>
    <t>Ale, Clear (ambra)</t>
  </si>
  <si>
    <t>Butter (ambra)</t>
  </si>
  <si>
    <t>Weight (kg)</t>
  </si>
  <si>
    <t xml:space="preserve">Kcal </t>
  </si>
  <si>
    <t>Cheeses</t>
  </si>
  <si>
    <t>% total kcal</t>
  </si>
  <si>
    <t>Sheep</t>
  </si>
  <si>
    <t>Flitches</t>
  </si>
  <si>
    <t>Cheese (pounds)</t>
  </si>
  <si>
    <t>Ale (ambra)</t>
  </si>
  <si>
    <t>Honey (ambra)</t>
  </si>
  <si>
    <t>Totals</t>
  </si>
  <si>
    <t>Total</t>
  </si>
  <si>
    <t>Ale (sesters)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</si>
  <si>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</si>
  <si>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Ale </t>
  </si>
  <si>
    <t>30 ambers</t>
  </si>
  <si>
    <t>1 sester</t>
  </si>
  <si>
    <t>Render</t>
  </si>
  <si>
    <t>40 ambers of malt</t>
  </si>
  <si>
    <t>60 ambers of malt</t>
  </si>
  <si>
    <t>Render description</t>
  </si>
  <si>
    <t>30 ambers of pure malt</t>
  </si>
  <si>
    <t>"waege" for cheese or lard</t>
  </si>
  <si>
    <t>2 flitches</t>
  </si>
  <si>
    <t>10 pounds</t>
  </si>
  <si>
    <t>1 mitta, 2 ambers</t>
  </si>
  <si>
    <t>40 sesters</t>
  </si>
  <si>
    <t>1 flitch</t>
  </si>
  <si>
    <t>2 cheeses</t>
  </si>
  <si>
    <t>16 mitta of malt</t>
  </si>
  <si>
    <t>3 mitta</t>
  </si>
  <si>
    <t>8 wethers and 6 lambs</t>
  </si>
  <si>
    <t>Malt</t>
  </si>
  <si>
    <t xml:space="preserve">Wheat </t>
  </si>
  <si>
    <t>1 amber</t>
  </si>
  <si>
    <t>Number of loaves</t>
  </si>
  <si>
    <t>Spice</t>
  </si>
  <si>
    <t>Text says</t>
  </si>
  <si>
    <t>Quantity</t>
  </si>
  <si>
    <t xml:space="preserve">Weight/Volume </t>
  </si>
  <si>
    <t>Total calories</t>
  </si>
  <si>
    <t>Calories from animal products</t>
  </si>
  <si>
    <t>Percentage calories animal products</t>
  </si>
  <si>
    <t>Meat and fish per loaf (kg)</t>
  </si>
  <si>
    <t>Litres of ale per loaf</t>
  </si>
  <si>
    <t>50 ambers of malt plus 6 of grut</t>
  </si>
  <si>
    <t>Mitta</t>
  </si>
  <si>
    <t>1 mitta</t>
  </si>
  <si>
    <t>Calories per loaf</t>
  </si>
  <si>
    <t>Meat, fish and dairy per loaf (kg)</t>
  </si>
  <si>
    <t>10 cheeses</t>
  </si>
  <si>
    <t>42 ambers</t>
  </si>
  <si>
    <t>4 ambers</t>
  </si>
  <si>
    <t>10 faet</t>
  </si>
  <si>
    <t>Cattle</t>
  </si>
  <si>
    <t>Fæt</t>
  </si>
  <si>
    <r>
      <t>Spice</t>
    </r>
    <r>
      <rPr>
        <sz val="12"/>
        <color rgb="FF000000"/>
        <rFont val="Calibri"/>
        <family val="2"/>
        <scheme val="minor"/>
      </rPr>
      <t xml:space="preserve"> (bacon and lard)</t>
    </r>
  </si>
  <si>
    <t>Ox/cow</t>
  </si>
  <si>
    <t>Sheep/wether</t>
  </si>
  <si>
    <t>Kcal per loaf</t>
  </si>
  <si>
    <t xml:space="preserve">Grams per loaf </t>
  </si>
  <si>
    <t>S 1188</t>
  </si>
  <si>
    <t>S 1506</t>
  </si>
  <si>
    <t>Flitch (i.e. half pig)</t>
  </si>
  <si>
    <t>Foodstuffs  by number</t>
  </si>
  <si>
    <t>Foodstuffs by weight/volume</t>
  </si>
  <si>
    <t>2 cattle or 10 wethers</t>
  </si>
  <si>
    <t>2 cumbs and 2 tunnes (i.e. 3 cumbs)</t>
  </si>
  <si>
    <t>Offa at Westbury, S 146</t>
  </si>
  <si>
    <t>4 wethers and EITHER 1 pig OR 6 wethers (assuming additional 3 wethers and 1/2 pig)</t>
  </si>
  <si>
    <t>EITHER 1 pig OR six wethers (assuming 3 wethers and 1/2 pig)</t>
  </si>
  <si>
    <t>2 wæges of lard and cheese</t>
  </si>
  <si>
    <t>3 wæges of lard and cheese</t>
  </si>
  <si>
    <t>1 wæge</t>
  </si>
  <si>
    <t>1 wæge of lard and cheese</t>
  </si>
  <si>
    <t>1 wæge of cheese</t>
  </si>
  <si>
    <t>1 ox's haunch (assuming quarter ox)</t>
  </si>
  <si>
    <t>Wulfred's feast, S 1188</t>
  </si>
  <si>
    <t>Abba's will, S 1482</t>
  </si>
  <si>
    <t>Heregyth's will, S 1482</t>
  </si>
  <si>
    <t>Lufu's grant at Mongeham, S 1197</t>
  </si>
  <si>
    <t>Ealhburh and Eadweald's grant at Burnan, S 1195</t>
  </si>
  <si>
    <t xml:space="preserve">Ealhburh's grant at Brabourne, S 1195 </t>
  </si>
  <si>
    <t>Lulle's grant at Nackington, S 1239</t>
  </si>
  <si>
    <t>Æthelweard's bequest at Ickham, S 1506</t>
  </si>
  <si>
    <t>Æthelgifu's will, S 1497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</si>
</sst>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0.0"/>
    <numFmt numFmtId="166" formatCode="0.0%"/>
    <numFmt numFmtId="169" formatCode="0.000000,,,&quot; billion&quot;"/>
    <numFmt numFmtId="170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6" fillId="0" borderId="0" xfId="2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quotePrefix="1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/>
    <xf numFmtId="1" fontId="4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0" xfId="0" applyFont="1"/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164" fontId="9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4" applyNumberFormat="1" applyFont="1"/>
    <xf numFmtId="166" fontId="0" fillId="0" borderId="0" xfId="5" applyNumberFormat="1" applyFont="1"/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170" fontId="0" fillId="0" borderId="1" xfId="4" applyNumberFormat="1" applyFont="1" applyBorder="1"/>
    <xf numFmtId="0" fontId="0" fillId="0" borderId="0" xfId="0" applyAlignment="1">
      <alignment horizontal="center"/>
    </xf>
    <xf numFmtId="0" fontId="11" fillId="0" borderId="0" xfId="0" applyFont="1" applyAlignment="1">
      <alignment vertical="top"/>
    </xf>
    <xf numFmtId="0" fontId="0" fillId="0" borderId="0" xfId="0" applyAlignment="1"/>
    <xf numFmtId="9" fontId="0" fillId="0" borderId="1" xfId="5" applyFont="1" applyBorder="1"/>
    <xf numFmtId="0" fontId="0" fillId="0" borderId="1" xfId="0" applyFill="1" applyBorder="1" applyAlignment="1">
      <alignment horizontal="left"/>
    </xf>
    <xf numFmtId="1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4" applyNumberFormat="1" applyFont="1" applyAlignment="1">
      <alignment horizontal="center"/>
    </xf>
    <xf numFmtId="3" fontId="0" fillId="0" borderId="0" xfId="0" applyNumberFormat="1" applyAlignment="1"/>
    <xf numFmtId="166" fontId="9" fillId="0" borderId="0" xfId="0" applyNumberFormat="1" applyFont="1" applyAlignment="1"/>
    <xf numFmtId="1" fontId="0" fillId="0" borderId="0" xfId="0" applyNumberFormat="1" applyAlignment="1">
      <alignment horizontal="center" vertical="top"/>
    </xf>
    <xf numFmtId="0" fontId="0" fillId="0" borderId="1" xfId="0" applyBorder="1" applyAlignment="1"/>
    <xf numFmtId="0" fontId="10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ont="1"/>
  </cellXfs>
  <cellStyles count="6">
    <cellStyle name="Comma" xfId="4" builtinId="3"/>
    <cellStyle name="Hyperlink 2" xfId="3" xr:uid="{07F2C0CC-387D-49EF-B020-54C4729A854A}"/>
    <cellStyle name="Normal" xfId="0" builtinId="0"/>
    <cellStyle name="Normal 2" xfId="1" xr:uid="{7C69E824-8C67-524E-B420-1F0CD89846B5}"/>
    <cellStyle name="Normal 3" xfId="2" xr:uid="{4E1FEBA8-942F-4114-8D9F-655878F1C907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5798-0CD8-884A-AFCD-8819D946F02F}">
  <dimension ref="A1:D30"/>
  <sheetViews>
    <sheetView workbookViewId="0">
      <selection activeCell="E18" sqref="E18"/>
    </sheetView>
  </sheetViews>
  <sheetFormatPr defaultColWidth="11" defaultRowHeight="15.75" x14ac:dyDescent="0.25"/>
  <cols>
    <col min="1" max="1" width="28.375" bestFit="1" customWidth="1"/>
    <col min="3" max="3" width="11.625" bestFit="1" customWidth="1"/>
  </cols>
  <sheetData>
    <row r="1" spans="1:4" s="1" customFormat="1" x14ac:dyDescent="0.25">
      <c r="A1" s="13" t="s">
        <v>103</v>
      </c>
      <c r="B1" s="12" t="s">
        <v>26</v>
      </c>
      <c r="C1" s="12" t="s">
        <v>27</v>
      </c>
      <c r="D1" s="12" t="s">
        <v>28</v>
      </c>
    </row>
    <row r="2" spans="1:4" x14ac:dyDescent="0.25">
      <c r="A2" s="5" t="s">
        <v>6</v>
      </c>
      <c r="B2" s="7">
        <v>1.43</v>
      </c>
      <c r="C2" s="7">
        <v>2880</v>
      </c>
      <c r="D2" s="7">
        <f>C2*B2</f>
        <v>4118.3999999999996</v>
      </c>
    </row>
    <row r="3" spans="1:4" x14ac:dyDescent="0.25">
      <c r="A3" s="5" t="s">
        <v>7</v>
      </c>
      <c r="B3" s="7">
        <v>1.01</v>
      </c>
      <c r="C3" s="14">
        <f>D3/B3</f>
        <v>297.02970297029702</v>
      </c>
      <c r="D3" s="7">
        <v>300</v>
      </c>
    </row>
    <row r="4" spans="1:4" x14ac:dyDescent="0.25">
      <c r="A4" s="5" t="s">
        <v>8</v>
      </c>
      <c r="B4" s="7">
        <v>0.79</v>
      </c>
      <c r="C4" s="7">
        <v>3290</v>
      </c>
      <c r="D4" s="7">
        <f>C4*B4</f>
        <v>2599.1</v>
      </c>
    </row>
    <row r="5" spans="1:4" x14ac:dyDescent="0.25">
      <c r="A5" s="5" t="s">
        <v>9</v>
      </c>
      <c r="B5" s="7">
        <v>0.59</v>
      </c>
      <c r="C5" s="7">
        <v>3270</v>
      </c>
      <c r="D5" s="7">
        <f>C5*B5</f>
        <v>1929.3</v>
      </c>
    </row>
    <row r="6" spans="1:4" x14ac:dyDescent="0.25">
      <c r="A6" s="5" t="s">
        <v>10</v>
      </c>
      <c r="B6" s="7">
        <v>0.96</v>
      </c>
      <c r="C6" s="7">
        <v>7440</v>
      </c>
      <c r="D6" s="7">
        <f>C6*B6</f>
        <v>7142.4</v>
      </c>
    </row>
    <row r="7" spans="1:4" x14ac:dyDescent="0.25">
      <c r="A7" s="38" t="s">
        <v>94</v>
      </c>
      <c r="B7" s="7">
        <v>0.87</v>
      </c>
      <c r="C7" s="7">
        <f>5*(241+747)</f>
        <v>4940</v>
      </c>
      <c r="D7" s="7" t="s">
        <v>5</v>
      </c>
    </row>
    <row r="8" spans="1:4" ht="35.25" customHeight="1" x14ac:dyDescent="0.25">
      <c r="A8" s="6"/>
      <c r="B8" s="8"/>
      <c r="C8" s="8"/>
      <c r="D8" s="8"/>
    </row>
    <row r="9" spans="1:4" s="1" customFormat="1" x14ac:dyDescent="0.25">
      <c r="A9" s="10" t="s">
        <v>102</v>
      </c>
      <c r="B9" s="11" t="s">
        <v>29</v>
      </c>
      <c r="C9" s="12" t="s">
        <v>27</v>
      </c>
      <c r="D9" s="11" t="s">
        <v>30</v>
      </c>
    </row>
    <row r="10" spans="1:4" x14ac:dyDescent="0.25">
      <c r="A10" s="5" t="s">
        <v>95</v>
      </c>
      <c r="B10" s="8">
        <v>110</v>
      </c>
      <c r="C10" s="8">
        <f>D10/B10</f>
        <v>1548.8</v>
      </c>
      <c r="D10" s="50">
        <v>170368</v>
      </c>
    </row>
    <row r="11" spans="1:4" x14ac:dyDescent="0.25">
      <c r="A11" s="5" t="s">
        <v>96</v>
      </c>
      <c r="B11" s="8">
        <v>10.7</v>
      </c>
      <c r="C11" s="23">
        <f>D11/B11</f>
        <v>1710.2803738317757</v>
      </c>
      <c r="D11" s="50">
        <v>18300</v>
      </c>
    </row>
    <row r="12" spans="1:4" x14ac:dyDescent="0.25">
      <c r="A12" s="5" t="s">
        <v>101</v>
      </c>
      <c r="B12" s="8">
        <f>62.3/2</f>
        <v>31.15</v>
      </c>
      <c r="C12" s="8">
        <v>1470</v>
      </c>
      <c r="D12" s="50">
        <f t="shared" ref="D12:D17" si="0">C12*B12</f>
        <v>45790.5</v>
      </c>
    </row>
    <row r="13" spans="1:4" x14ac:dyDescent="0.25">
      <c r="A13" s="5" t="s">
        <v>11</v>
      </c>
      <c r="B13" s="8">
        <v>0.84</v>
      </c>
      <c r="C13" s="8">
        <v>710</v>
      </c>
      <c r="D13" s="50">
        <f t="shared" si="0"/>
        <v>596.4</v>
      </c>
    </row>
    <row r="14" spans="1:4" x14ac:dyDescent="0.25">
      <c r="A14" s="5" t="s">
        <v>12</v>
      </c>
      <c r="B14" s="8">
        <f>4.5*0.87</f>
        <v>3.915</v>
      </c>
      <c r="C14" s="8">
        <f>1790</f>
        <v>1790</v>
      </c>
      <c r="D14" s="50">
        <f t="shared" si="0"/>
        <v>7007.85</v>
      </c>
    </row>
    <row r="15" spans="1:4" x14ac:dyDescent="0.25">
      <c r="A15" s="5" t="s">
        <v>13</v>
      </c>
      <c r="B15" s="8">
        <v>1</v>
      </c>
      <c r="C15" s="8">
        <v>1310</v>
      </c>
      <c r="D15" s="50">
        <f t="shared" si="0"/>
        <v>1310</v>
      </c>
    </row>
    <row r="16" spans="1:4" x14ac:dyDescent="0.25">
      <c r="A16" s="5" t="s">
        <v>14</v>
      </c>
      <c r="B16" s="8">
        <v>3</v>
      </c>
      <c r="C16" s="8">
        <v>2383</v>
      </c>
      <c r="D16" s="50">
        <f t="shared" si="0"/>
        <v>7149</v>
      </c>
    </row>
    <row r="17" spans="1:4" x14ac:dyDescent="0.25">
      <c r="A17" s="5" t="s">
        <v>15</v>
      </c>
      <c r="B17" s="8">
        <v>3</v>
      </c>
      <c r="C17" s="8">
        <v>4110</v>
      </c>
      <c r="D17" s="50">
        <f t="shared" si="0"/>
        <v>12330</v>
      </c>
    </row>
    <row r="18" spans="1:4" x14ac:dyDescent="0.25">
      <c r="A18" s="5" t="s">
        <v>16</v>
      </c>
      <c r="B18" s="8">
        <v>0.3</v>
      </c>
      <c r="C18" s="8">
        <v>2170</v>
      </c>
      <c r="D18" s="50">
        <f>C18*B18</f>
        <v>651</v>
      </c>
    </row>
    <row r="19" spans="1:4" ht="32.25" customHeight="1" x14ac:dyDescent="0.25">
      <c r="A19" s="5"/>
      <c r="B19" s="8"/>
      <c r="C19" s="8"/>
      <c r="D19" s="8"/>
    </row>
    <row r="20" spans="1:4" s="1" customFormat="1" x14ac:dyDescent="0.25">
      <c r="A20" s="10" t="s">
        <v>17</v>
      </c>
      <c r="B20" s="11" t="s">
        <v>24</v>
      </c>
      <c r="C20" s="11"/>
      <c r="D20" s="11"/>
    </row>
    <row r="21" spans="1:4" x14ac:dyDescent="0.25">
      <c r="A21" s="5" t="s">
        <v>18</v>
      </c>
      <c r="B21" s="8">
        <v>4.8899999999999997</v>
      </c>
      <c r="C21" s="8"/>
      <c r="D21" s="8"/>
    </row>
    <row r="22" spans="1:4" x14ac:dyDescent="0.25">
      <c r="A22" s="5" t="s">
        <v>19</v>
      </c>
      <c r="B22" s="8">
        <v>15</v>
      </c>
      <c r="C22" s="8"/>
      <c r="D22" s="8"/>
    </row>
    <row r="23" spans="1:4" x14ac:dyDescent="0.25">
      <c r="A23" s="5" t="s">
        <v>84</v>
      </c>
      <c r="B23" s="8">
        <v>30</v>
      </c>
      <c r="C23" s="8"/>
      <c r="D23" s="8"/>
    </row>
    <row r="24" spans="1:4" x14ac:dyDescent="0.25">
      <c r="A24" s="5" t="s">
        <v>20</v>
      </c>
      <c r="B24" s="8">
        <v>50</v>
      </c>
      <c r="C24" s="8"/>
      <c r="D24" s="8"/>
    </row>
    <row r="25" spans="1:4" x14ac:dyDescent="0.25">
      <c r="A25" s="5" t="s">
        <v>21</v>
      </c>
      <c r="B25" s="8">
        <v>100</v>
      </c>
      <c r="C25" s="8"/>
      <c r="D25" s="8"/>
    </row>
    <row r="26" spans="1:4" x14ac:dyDescent="0.25">
      <c r="A26" s="9" t="s">
        <v>93</v>
      </c>
      <c r="B26" s="8">
        <f>B22*42/150</f>
        <v>4.2</v>
      </c>
      <c r="C26" s="8"/>
      <c r="D26" s="8"/>
    </row>
    <row r="27" spans="1:4" ht="39" customHeight="1" x14ac:dyDescent="0.25">
      <c r="A27" s="6"/>
      <c r="B27" s="8"/>
      <c r="C27" s="8"/>
      <c r="D27" s="8"/>
    </row>
    <row r="28" spans="1:4" s="1" customFormat="1" x14ac:dyDescent="0.25">
      <c r="A28" s="10" t="s">
        <v>22</v>
      </c>
      <c r="B28" s="11" t="s">
        <v>25</v>
      </c>
      <c r="C28" s="11"/>
      <c r="D28" s="11"/>
    </row>
    <row r="29" spans="1:4" x14ac:dyDescent="0.25">
      <c r="A29" s="5" t="s">
        <v>23</v>
      </c>
      <c r="B29" s="8">
        <v>0.32600000000000001</v>
      </c>
      <c r="C29" s="8"/>
      <c r="D29" s="8"/>
    </row>
    <row r="30" spans="1:4" x14ac:dyDescent="0.25">
      <c r="A30" s="9" t="s">
        <v>60</v>
      </c>
      <c r="B30" s="8">
        <v>15</v>
      </c>
      <c r="C30" s="8"/>
      <c r="D30" s="8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4200-439A-4C1B-B247-D192C2271C1D}">
  <dimension ref="A1:N49"/>
  <sheetViews>
    <sheetView workbookViewId="0">
      <selection activeCell="A20" sqref="A20"/>
    </sheetView>
  </sheetViews>
  <sheetFormatPr defaultColWidth="8.875" defaultRowHeight="15.75" x14ac:dyDescent="0.25"/>
  <cols>
    <col min="1" max="1" width="22.875" bestFit="1" customWidth="1"/>
    <col min="2" max="2" width="14.125" bestFit="1" customWidth="1"/>
    <col min="3" max="3" width="10.375" bestFit="1" customWidth="1"/>
    <col min="4" max="4" width="12.625" bestFit="1" customWidth="1"/>
    <col min="5" max="5" width="17.125" customWidth="1"/>
    <col min="6" max="6" width="19.625" customWidth="1"/>
    <col min="7" max="7" width="20" bestFit="1" customWidth="1"/>
    <col min="8" max="8" width="11.875" customWidth="1"/>
    <col min="9" max="9" width="22.125" bestFit="1" customWidth="1"/>
    <col min="10" max="10" width="9.375" bestFit="1" customWidth="1"/>
    <col min="11" max="11" width="10.875" bestFit="1" customWidth="1"/>
    <col min="16" max="16" width="15" bestFit="1" customWidth="1"/>
  </cols>
  <sheetData>
    <row r="1" spans="1:14" x14ac:dyDescent="0.25">
      <c r="A1" s="1" t="s">
        <v>0</v>
      </c>
    </row>
    <row r="2" spans="1:14" x14ac:dyDescent="0.25">
      <c r="A2" s="15" t="s">
        <v>31</v>
      </c>
      <c r="B2" s="15" t="s">
        <v>32</v>
      </c>
      <c r="C2" s="15" t="s">
        <v>39</v>
      </c>
      <c r="D2" s="15" t="s">
        <v>40</v>
      </c>
      <c r="E2" s="15" t="s">
        <v>42</v>
      </c>
      <c r="G2" s="22" t="s">
        <v>98</v>
      </c>
      <c r="H2" s="24" t="s">
        <v>97</v>
      </c>
    </row>
    <row r="3" spans="1:14" x14ac:dyDescent="0.25">
      <c r="A3" s="2" t="s">
        <v>33</v>
      </c>
      <c r="B3" s="46">
        <v>1</v>
      </c>
      <c r="C3" s="46">
        <f>B3*Assumptions!B10</f>
        <v>110</v>
      </c>
      <c r="D3" s="30">
        <f>C3*Assumptions!C10</f>
        <v>170368</v>
      </c>
      <c r="E3" s="20">
        <f t="shared" ref="E3:E14" si="0">(D3)/D$16</f>
        <v>0.1371782614872844</v>
      </c>
      <c r="G3" s="48">
        <f>1000*C3/300</f>
        <v>366.66666666666669</v>
      </c>
      <c r="H3" s="48">
        <f>D3/300</f>
        <v>567.89333333333332</v>
      </c>
    </row>
    <row r="4" spans="1:14" x14ac:dyDescent="0.25">
      <c r="A4" s="2" t="s">
        <v>43</v>
      </c>
      <c r="B4" s="46">
        <v>5</v>
      </c>
      <c r="C4" s="46">
        <f>B4*Assumptions!B11</f>
        <v>53.5</v>
      </c>
      <c r="D4" s="30">
        <f>C4*Assumptions!C11</f>
        <v>91500</v>
      </c>
      <c r="E4" s="20">
        <f t="shared" si="0"/>
        <v>7.3674697866304248E-2</v>
      </c>
      <c r="G4" s="48">
        <f t="shared" ref="G4:G14" si="1">1000*C4/300</f>
        <v>178.33333333333334</v>
      </c>
      <c r="H4" s="48">
        <f t="shared" ref="H4:H14" si="2">D4/300</f>
        <v>305</v>
      </c>
    </row>
    <row r="5" spans="1:14" x14ac:dyDescent="0.25">
      <c r="A5" t="s">
        <v>2</v>
      </c>
      <c r="B5" s="45">
        <v>10</v>
      </c>
      <c r="C5" s="45">
        <f>B5*Assumptions!B16</f>
        <v>30</v>
      </c>
      <c r="D5" s="16">
        <f>C5*Assumptions!C16</f>
        <v>71490</v>
      </c>
      <c r="E5" s="20">
        <f t="shared" si="0"/>
        <v>5.7562886890296081E-2</v>
      </c>
      <c r="G5" s="48">
        <f t="shared" si="1"/>
        <v>100</v>
      </c>
      <c r="H5" s="48">
        <f t="shared" si="2"/>
        <v>238.3</v>
      </c>
    </row>
    <row r="6" spans="1:14" x14ac:dyDescent="0.25">
      <c r="A6" t="s">
        <v>3</v>
      </c>
      <c r="B6" s="45">
        <v>20</v>
      </c>
      <c r="C6" s="45">
        <f>B6*Assumptions!B15</f>
        <v>20</v>
      </c>
      <c r="D6" s="16">
        <f>C6*Assumptions!C15</f>
        <v>26200</v>
      </c>
      <c r="E6" s="20">
        <f t="shared" si="0"/>
        <v>2.109592441636253E-2</v>
      </c>
      <c r="G6" s="48">
        <f t="shared" si="1"/>
        <v>66.666666666666671</v>
      </c>
      <c r="H6" s="48">
        <f t="shared" si="2"/>
        <v>87.333333333333329</v>
      </c>
    </row>
    <row r="7" spans="1:14" x14ac:dyDescent="0.25">
      <c r="A7" t="s">
        <v>12</v>
      </c>
      <c r="B7" s="45">
        <v>5</v>
      </c>
      <c r="C7" s="45">
        <f>B7*Assumptions!B14</f>
        <v>19.574999999999999</v>
      </c>
      <c r="D7" s="16">
        <f>C7*Assumptions!C14</f>
        <v>35039.25</v>
      </c>
      <c r="E7" s="20">
        <f t="shared" si="0"/>
        <v>2.821318204603171E-2</v>
      </c>
      <c r="G7" s="48">
        <f t="shared" si="1"/>
        <v>65.25</v>
      </c>
      <c r="H7" s="48">
        <f t="shared" si="2"/>
        <v>116.7975</v>
      </c>
    </row>
    <row r="8" spans="1:14" x14ac:dyDescent="0.25">
      <c r="A8" t="s">
        <v>34</v>
      </c>
      <c r="B8" s="45">
        <v>100</v>
      </c>
      <c r="C8" s="45">
        <f>B8*Assumptions!B13</f>
        <v>84</v>
      </c>
      <c r="D8" s="16">
        <f>C8*Assumptions!C13</f>
        <v>59640</v>
      </c>
      <c r="E8" s="20">
        <f t="shared" si="0"/>
        <v>4.8021409625643559E-2</v>
      </c>
      <c r="G8" s="48">
        <f t="shared" si="1"/>
        <v>280</v>
      </c>
      <c r="H8" s="48">
        <f t="shared" si="2"/>
        <v>198.8</v>
      </c>
    </row>
    <row r="9" spans="1:14" x14ac:dyDescent="0.25">
      <c r="A9" t="s">
        <v>41</v>
      </c>
      <c r="B9" s="45">
        <v>10</v>
      </c>
      <c r="C9" s="45">
        <f>B9*Assumptions!B17</f>
        <v>30</v>
      </c>
      <c r="D9" s="16">
        <f>C9*Assumptions!C17</f>
        <v>123300</v>
      </c>
      <c r="E9" s="20">
        <f t="shared" si="0"/>
        <v>9.9279674829675563E-2</v>
      </c>
      <c r="G9" s="48">
        <f t="shared" si="1"/>
        <v>100</v>
      </c>
      <c r="H9" s="48">
        <f t="shared" si="2"/>
        <v>411</v>
      </c>
    </row>
    <row r="10" spans="1:14" x14ac:dyDescent="0.25">
      <c r="A10" t="s">
        <v>4</v>
      </c>
      <c r="B10" s="45">
        <v>300</v>
      </c>
      <c r="C10" s="45">
        <f>B10*Assumptions!B18</f>
        <v>90</v>
      </c>
      <c r="D10" s="16">
        <f>C10*Assumptions!C18</f>
        <v>195300</v>
      </c>
      <c r="E10" s="20">
        <f t="shared" si="0"/>
        <v>0.15725320757693137</v>
      </c>
      <c r="G10" s="48">
        <f t="shared" si="1"/>
        <v>300</v>
      </c>
      <c r="H10" s="48">
        <f t="shared" si="2"/>
        <v>651</v>
      </c>
    </row>
    <row r="11" spans="1:14" x14ac:dyDescent="0.25">
      <c r="A11" t="s">
        <v>35</v>
      </c>
      <c r="B11" s="45">
        <v>10</v>
      </c>
      <c r="C11" s="45">
        <f>B11*Assumptions!B26*Assumptions!B2</f>
        <v>60.059999999999995</v>
      </c>
      <c r="D11" s="16">
        <f>C11*Assumptions!C2</f>
        <v>172972.79999999999</v>
      </c>
      <c r="E11" s="20">
        <f t="shared" si="0"/>
        <v>0.13927561507200734</v>
      </c>
      <c r="G11" s="48">
        <f t="shared" si="1"/>
        <v>200.2</v>
      </c>
      <c r="H11" s="48">
        <f t="shared" si="2"/>
        <v>576.57599999999991</v>
      </c>
      <c r="N11" s="26"/>
    </row>
    <row r="12" spans="1:14" x14ac:dyDescent="0.25">
      <c r="A12" t="s">
        <v>36</v>
      </c>
      <c r="B12" s="45">
        <v>12</v>
      </c>
      <c r="C12" s="45">
        <f>'Ine 70.1, S 1188 and S 1506'!B12*Assumptions!B22*Assumptions!B3</f>
        <v>181.8</v>
      </c>
      <c r="D12" s="16">
        <f>C12*Assumptions!C3</f>
        <v>54000</v>
      </c>
      <c r="E12" s="20">
        <f t="shared" si="0"/>
        <v>4.3480149560441855E-2</v>
      </c>
      <c r="G12" s="48">
        <f t="shared" si="1"/>
        <v>606</v>
      </c>
      <c r="H12" s="48">
        <f t="shared" si="2"/>
        <v>180</v>
      </c>
    </row>
    <row r="13" spans="1:14" x14ac:dyDescent="0.25">
      <c r="A13" t="s">
        <v>37</v>
      </c>
      <c r="B13" s="45">
        <v>30</v>
      </c>
      <c r="C13" s="45">
        <f>'Ine 70.1, S 1188 and S 1506'!B13*Assumptions!B22*Assumptions!B3</f>
        <v>454.5</v>
      </c>
      <c r="D13" s="16">
        <f>C13*Assumptions!C3</f>
        <v>135000</v>
      </c>
      <c r="E13" s="20">
        <f t="shared" si="0"/>
        <v>0.10870037390110464</v>
      </c>
      <c r="G13" s="48">
        <f t="shared" si="1"/>
        <v>1515</v>
      </c>
      <c r="H13" s="48">
        <f t="shared" si="2"/>
        <v>450</v>
      </c>
    </row>
    <row r="14" spans="1:14" x14ac:dyDescent="0.25">
      <c r="A14" t="s">
        <v>38</v>
      </c>
      <c r="B14" s="45">
        <v>1</v>
      </c>
      <c r="C14" s="45">
        <f>B14*Assumptions!B6*Assumptions!B22</f>
        <v>14.399999999999999</v>
      </c>
      <c r="D14" s="16">
        <f>C14*Assumptions!C6</f>
        <v>107135.99999999999</v>
      </c>
      <c r="E14" s="20">
        <f t="shared" si="0"/>
        <v>8.6264616727916632E-2</v>
      </c>
      <c r="G14" s="48">
        <f t="shared" si="1"/>
        <v>47.999999999999993</v>
      </c>
      <c r="H14" s="48">
        <f t="shared" si="2"/>
        <v>357.11999999999995</v>
      </c>
    </row>
    <row r="15" spans="1:14" x14ac:dyDescent="0.25">
      <c r="B15" s="45"/>
      <c r="C15" s="45"/>
      <c r="D15" s="16"/>
      <c r="E15" s="18"/>
      <c r="F15" s="19"/>
      <c r="G15" s="49"/>
      <c r="H15" s="39"/>
      <c r="I15" s="3"/>
      <c r="J15" s="3"/>
    </row>
    <row r="16" spans="1:14" x14ac:dyDescent="0.25">
      <c r="B16" s="2" t="s">
        <v>48</v>
      </c>
      <c r="C16" s="29">
        <f>SUM(C3:C14)</f>
        <v>1147.835</v>
      </c>
      <c r="D16" s="47">
        <f>SUM(D3:D14)</f>
        <v>1241946.05</v>
      </c>
      <c r="E16" s="47"/>
      <c r="F16" t="s">
        <v>49</v>
      </c>
      <c r="G16" s="48">
        <f>SUM(G3:G14)</f>
        <v>3826.1166666666668</v>
      </c>
      <c r="H16" s="48">
        <f t="shared" ref="H16" si="3">SUM(H3:H14)</f>
        <v>4139.8201666666664</v>
      </c>
      <c r="I16" s="25"/>
      <c r="J16" s="25"/>
    </row>
    <row r="17" spans="1:10" x14ac:dyDescent="0.25">
      <c r="B17" s="2"/>
      <c r="C17" s="29"/>
      <c r="D17" s="47"/>
      <c r="E17" s="47"/>
      <c r="G17" s="48"/>
      <c r="H17" s="48"/>
      <c r="I17" s="25"/>
      <c r="J17" s="25"/>
    </row>
    <row r="18" spans="1:10" x14ac:dyDescent="0.25">
      <c r="G18" s="17"/>
      <c r="H18" s="31"/>
      <c r="I18" s="31"/>
      <c r="J18" s="31"/>
    </row>
    <row r="19" spans="1:10" x14ac:dyDescent="0.25">
      <c r="G19" s="17"/>
      <c r="H19" s="31"/>
      <c r="I19" s="31"/>
      <c r="J19" s="31"/>
    </row>
    <row r="20" spans="1:10" x14ac:dyDescent="0.25">
      <c r="A20" s="1" t="s">
        <v>99</v>
      </c>
    </row>
    <row r="21" spans="1:10" x14ac:dyDescent="0.25">
      <c r="A21" s="15" t="s">
        <v>31</v>
      </c>
      <c r="B21" s="15" t="s">
        <v>32</v>
      </c>
      <c r="C21" s="15" t="s">
        <v>39</v>
      </c>
      <c r="D21" s="15" t="s">
        <v>40</v>
      </c>
      <c r="E21" s="15" t="s">
        <v>42</v>
      </c>
      <c r="G21" s="22" t="s">
        <v>98</v>
      </c>
      <c r="H21" s="24" t="s">
        <v>97</v>
      </c>
    </row>
    <row r="22" spans="1:10" x14ac:dyDescent="0.25">
      <c r="A22" t="s">
        <v>33</v>
      </c>
      <c r="B22">
        <v>1</v>
      </c>
      <c r="C22">
        <f>B22*Assumptions!B10</f>
        <v>110</v>
      </c>
      <c r="D22" s="3">
        <f>C22*Assumptions!C10</f>
        <v>170368</v>
      </c>
      <c r="E22" s="20">
        <f>D22/SUM(D$22:D$30)</f>
        <v>0.22607380679213998</v>
      </c>
      <c r="G22" s="16">
        <f>1000*C22/150</f>
        <v>733.33333333333337</v>
      </c>
      <c r="H22" s="16">
        <f>D22/150</f>
        <v>1135.7866666666666</v>
      </c>
    </row>
    <row r="23" spans="1:10" x14ac:dyDescent="0.25">
      <c r="A23" t="s">
        <v>43</v>
      </c>
      <c r="B23">
        <v>4</v>
      </c>
      <c r="C23">
        <f>B23*Assumptions!B11</f>
        <v>42.8</v>
      </c>
      <c r="D23" s="3">
        <f>C23*Assumptions!C11</f>
        <v>73200</v>
      </c>
      <c r="E23" s="20">
        <f t="shared" ref="E23:E30" si="4">D23/SUM(D$22:D$30)</f>
        <v>9.7134453988921898E-2</v>
      </c>
      <c r="G23" s="16">
        <f t="shared" ref="G23:G30" si="5">1000*C23/150</f>
        <v>285.33333333333331</v>
      </c>
      <c r="H23" s="16">
        <f t="shared" ref="H23:H30" si="6">D23/150</f>
        <v>488</v>
      </c>
    </row>
    <row r="24" spans="1:10" x14ac:dyDescent="0.25">
      <c r="A24" t="s">
        <v>44</v>
      </c>
      <c r="B24">
        <v>2</v>
      </c>
      <c r="C24">
        <f>Assumptions!B12*B24</f>
        <v>62.3</v>
      </c>
      <c r="D24" s="3">
        <f>C24*Assumptions!C12</f>
        <v>91581</v>
      </c>
      <c r="E24" s="20">
        <f t="shared" si="4"/>
        <v>0.12152555233277945</v>
      </c>
      <c r="G24" s="16">
        <f t="shared" si="5"/>
        <v>415.33333333333331</v>
      </c>
      <c r="H24" s="16">
        <f t="shared" si="6"/>
        <v>610.54</v>
      </c>
    </row>
    <row r="25" spans="1:10" x14ac:dyDescent="0.25">
      <c r="A25" t="s">
        <v>2</v>
      </c>
      <c r="B25">
        <v>5</v>
      </c>
      <c r="C25">
        <f>B25*Assumptions!B16</f>
        <v>15</v>
      </c>
      <c r="D25" s="3">
        <f>C25*Assumptions!C16</f>
        <v>35745</v>
      </c>
      <c r="E25" s="20">
        <f t="shared" si="4"/>
        <v>4.7432664724508376E-2</v>
      </c>
      <c r="G25" s="16">
        <f t="shared" si="5"/>
        <v>100</v>
      </c>
      <c r="H25" s="16">
        <f t="shared" si="6"/>
        <v>238.3</v>
      </c>
    </row>
    <row r="26" spans="1:10" x14ac:dyDescent="0.25">
      <c r="A26" t="s">
        <v>3</v>
      </c>
      <c r="B26">
        <v>10</v>
      </c>
      <c r="C26">
        <f>B26*Assumptions!B15</f>
        <v>10</v>
      </c>
      <c r="D26" s="3">
        <f>C26*Assumptions!C15</f>
        <v>13100</v>
      </c>
      <c r="E26" s="20">
        <f t="shared" si="4"/>
        <v>1.7383351738454601E-2</v>
      </c>
      <c r="G26" s="16">
        <f t="shared" si="5"/>
        <v>66.666666666666671</v>
      </c>
      <c r="H26" s="16">
        <f t="shared" si="6"/>
        <v>87.333333333333329</v>
      </c>
    </row>
    <row r="27" spans="1:10" x14ac:dyDescent="0.25">
      <c r="A27" t="s">
        <v>45</v>
      </c>
      <c r="B27">
        <v>10</v>
      </c>
      <c r="C27">
        <f>B27*Assumptions!B29</f>
        <v>3.2600000000000002</v>
      </c>
      <c r="D27" s="3">
        <f>C27*Assumptions!C17</f>
        <v>13398.6</v>
      </c>
      <c r="E27" s="20">
        <f t="shared" si="4"/>
        <v>1.7779586000218155E-2</v>
      </c>
      <c r="G27" s="16">
        <f t="shared" si="5"/>
        <v>21.733333333333338</v>
      </c>
      <c r="H27" s="16">
        <f t="shared" si="6"/>
        <v>89.323999999999998</v>
      </c>
    </row>
    <row r="28" spans="1:10" x14ac:dyDescent="0.25">
      <c r="A28" t="s">
        <v>4</v>
      </c>
      <c r="B28">
        <v>150</v>
      </c>
      <c r="C28">
        <f>B28*Assumptions!B18</f>
        <v>45</v>
      </c>
      <c r="D28" s="3">
        <f>C28*Assumptions!C18</f>
        <v>97650</v>
      </c>
      <c r="E28" s="20">
        <f t="shared" si="4"/>
        <v>0.12957895398931998</v>
      </c>
      <c r="G28" s="16">
        <f t="shared" si="5"/>
        <v>300</v>
      </c>
      <c r="H28" s="16">
        <f t="shared" si="6"/>
        <v>651</v>
      </c>
    </row>
    <row r="29" spans="1:10" x14ac:dyDescent="0.25">
      <c r="A29" t="s">
        <v>46</v>
      </c>
      <c r="B29">
        <v>30</v>
      </c>
      <c r="C29">
        <f>B29*Assumptions!B22*Assumptions!B3</f>
        <v>454.5</v>
      </c>
      <c r="D29" s="3">
        <f>C29*Assumptions!C3</f>
        <v>135000</v>
      </c>
      <c r="E29" s="20">
        <f t="shared" si="4"/>
        <v>0.17914141104514283</v>
      </c>
      <c r="G29" s="16">
        <f t="shared" si="5"/>
        <v>3030</v>
      </c>
      <c r="H29" s="16">
        <f t="shared" si="6"/>
        <v>900</v>
      </c>
    </row>
    <row r="30" spans="1:10" x14ac:dyDescent="0.25">
      <c r="A30" t="s">
        <v>47</v>
      </c>
      <c r="B30">
        <v>2</v>
      </c>
      <c r="C30">
        <f>B30*Assumptions!B22*Assumptions!B2</f>
        <v>42.9</v>
      </c>
      <c r="D30" s="3">
        <f>C30*Assumptions!C2</f>
        <v>123552</v>
      </c>
      <c r="E30" s="20">
        <f t="shared" si="4"/>
        <v>0.16395021938851473</v>
      </c>
      <c r="G30" s="16">
        <f t="shared" si="5"/>
        <v>286</v>
      </c>
      <c r="H30" s="16">
        <f t="shared" si="6"/>
        <v>823.68</v>
      </c>
    </row>
    <row r="32" spans="1:10" x14ac:dyDescent="0.25">
      <c r="B32" t="s">
        <v>48</v>
      </c>
      <c r="C32" s="21">
        <f>SUM(C22:C30)</f>
        <v>785.76</v>
      </c>
      <c r="D32" s="16">
        <f>SUM(D22:D30)</f>
        <v>753594.6</v>
      </c>
      <c r="F32" t="s">
        <v>49</v>
      </c>
      <c r="G32" s="3">
        <f>SUM(G22:G30)</f>
        <v>5238.3999999999996</v>
      </c>
      <c r="H32" s="3">
        <f>SUM(H22:H30)</f>
        <v>5023.9640000000009</v>
      </c>
    </row>
    <row r="36" spans="1:8" x14ac:dyDescent="0.25">
      <c r="A36" s="1" t="s">
        <v>100</v>
      </c>
    </row>
    <row r="37" spans="1:8" x14ac:dyDescent="0.25">
      <c r="A37" s="15" t="s">
        <v>31</v>
      </c>
      <c r="B37" s="15" t="s">
        <v>32</v>
      </c>
      <c r="C37" s="15" t="s">
        <v>39</v>
      </c>
      <c r="D37" s="15" t="s">
        <v>40</v>
      </c>
      <c r="E37" s="15" t="s">
        <v>42</v>
      </c>
      <c r="G37" s="22" t="s">
        <v>98</v>
      </c>
      <c r="H37" s="24" t="s">
        <v>97</v>
      </c>
    </row>
    <row r="38" spans="1:8" x14ac:dyDescent="0.25">
      <c r="A38" t="s">
        <v>33</v>
      </c>
      <c r="B38" s="54">
        <v>0.25</v>
      </c>
      <c r="C38">
        <f>B38*Assumptions!B10</f>
        <v>27.5</v>
      </c>
      <c r="D38">
        <f>C38*Assumptions!C10</f>
        <v>42592</v>
      </c>
      <c r="E38" s="28">
        <f>D38/SUM(D$38:D$44)</f>
        <v>0.18176658238112003</v>
      </c>
      <c r="G38" s="16">
        <f>1000*C38/60</f>
        <v>458.33333333333331</v>
      </c>
      <c r="H38" s="16">
        <f>D38/60</f>
        <v>709.86666666666667</v>
      </c>
    </row>
    <row r="39" spans="1:8" x14ac:dyDescent="0.25">
      <c r="A39" t="s">
        <v>43</v>
      </c>
      <c r="B39">
        <v>1</v>
      </c>
      <c r="C39">
        <f>B39*Assumptions!B11</f>
        <v>10.7</v>
      </c>
      <c r="D39">
        <f>C39*Assumptions!C11</f>
        <v>18300</v>
      </c>
      <c r="E39" s="28">
        <f t="shared" ref="E39:E44" si="7">D39/SUM(D$38:D$44)</f>
        <v>7.8097493838619844E-2</v>
      </c>
      <c r="G39" s="16">
        <f t="shared" ref="G39:G44" si="8">1000*C39/60</f>
        <v>178.33333333333334</v>
      </c>
      <c r="H39" s="16">
        <f t="shared" ref="H39:H44" si="9">D39/60</f>
        <v>305</v>
      </c>
    </row>
    <row r="40" spans="1:8" x14ac:dyDescent="0.25">
      <c r="A40" t="s">
        <v>44</v>
      </c>
      <c r="B40">
        <v>1</v>
      </c>
      <c r="C40">
        <f>B40*Assumptions!B12</f>
        <v>31.15</v>
      </c>
      <c r="D40">
        <f>C40*Assumptions!C12</f>
        <v>45790.5</v>
      </c>
      <c r="E40" s="28">
        <f t="shared" si="7"/>
        <v>0.19541657331242199</v>
      </c>
      <c r="G40" s="16">
        <f t="shared" si="8"/>
        <v>519.16666666666663</v>
      </c>
      <c r="H40" s="16">
        <f t="shared" si="9"/>
        <v>763.17499999999995</v>
      </c>
    </row>
    <row r="41" spans="1:8" x14ac:dyDescent="0.25">
      <c r="A41" t="s">
        <v>3</v>
      </c>
      <c r="B41">
        <v>4</v>
      </c>
      <c r="C41">
        <f>B41*Assumptions!B15</f>
        <v>4</v>
      </c>
      <c r="D41">
        <f>C41*Assumptions!C15</f>
        <v>5240</v>
      </c>
      <c r="E41" s="28">
        <f t="shared" si="7"/>
        <v>2.2362342498052898E-2</v>
      </c>
      <c r="G41" s="16">
        <f t="shared" si="8"/>
        <v>66.666666666666671</v>
      </c>
      <c r="H41" s="16">
        <f t="shared" si="9"/>
        <v>87.333333333333329</v>
      </c>
    </row>
    <row r="42" spans="1:8" x14ac:dyDescent="0.25">
      <c r="A42" t="s">
        <v>41</v>
      </c>
      <c r="B42">
        <v>2</v>
      </c>
      <c r="C42">
        <f>B42*Assumptions!B17</f>
        <v>6</v>
      </c>
      <c r="D42">
        <f>C42*Assumptions!C17</f>
        <v>24660</v>
      </c>
      <c r="E42" s="28">
        <f t="shared" si="7"/>
        <v>0.10523957366450085</v>
      </c>
      <c r="G42" s="16">
        <f t="shared" si="8"/>
        <v>100</v>
      </c>
      <c r="H42" s="16">
        <f t="shared" si="9"/>
        <v>411</v>
      </c>
    </row>
    <row r="43" spans="1:8" x14ac:dyDescent="0.25">
      <c r="A43" t="s">
        <v>4</v>
      </c>
      <c r="B43">
        <v>60</v>
      </c>
      <c r="C43">
        <f>B43*Assumptions!B18</f>
        <v>18</v>
      </c>
      <c r="D43">
        <f>C43*Assumptions!C18</f>
        <v>39060</v>
      </c>
      <c r="E43" s="28">
        <f t="shared" si="7"/>
        <v>0.16669333930800501</v>
      </c>
      <c r="G43" s="16">
        <f t="shared" si="8"/>
        <v>300</v>
      </c>
      <c r="H43" s="16">
        <f t="shared" si="9"/>
        <v>651</v>
      </c>
    </row>
    <row r="44" spans="1:8" x14ac:dyDescent="0.25">
      <c r="A44" t="s">
        <v>50</v>
      </c>
      <c r="B44">
        <v>40</v>
      </c>
      <c r="C44">
        <f>B44*Assumptions!B21*Assumptions!B3</f>
        <v>197.55599999999998</v>
      </c>
      <c r="D44">
        <f>C44*Assumptions!C3</f>
        <v>58679.999999999993</v>
      </c>
      <c r="E44" s="28">
        <f t="shared" si="7"/>
        <v>0.25042409499727936</v>
      </c>
      <c r="G44" s="16">
        <f t="shared" si="8"/>
        <v>3292.5999999999995</v>
      </c>
      <c r="H44" s="16">
        <f t="shared" si="9"/>
        <v>977.99999999999989</v>
      </c>
    </row>
    <row r="46" spans="1:8" x14ac:dyDescent="0.25">
      <c r="B46" s="55" t="s">
        <v>48</v>
      </c>
      <c r="C46">
        <f>SUM(C38:C44)</f>
        <v>294.90599999999995</v>
      </c>
      <c r="D46" s="27">
        <f>SUM(D38:D44)</f>
        <v>234322.5</v>
      </c>
      <c r="E46" s="27"/>
      <c r="F46" s="55" t="s">
        <v>49</v>
      </c>
      <c r="G46" s="3">
        <f>SUM(G38:G44)</f>
        <v>4915.0999999999995</v>
      </c>
      <c r="H46" s="3">
        <f>SUM(H37:H44)</f>
        <v>3905.375</v>
      </c>
    </row>
    <row r="49" spans="5:5" x14ac:dyDescent="0.25">
      <c r="E49" t="s">
        <v>51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1CF1-87EE-4F1A-8D19-1356B8EAEF8D}">
  <dimension ref="A1:BE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B36" sqref="BB36"/>
    </sheetView>
  </sheetViews>
  <sheetFormatPr defaultColWidth="8.875" defaultRowHeight="15.75" x14ac:dyDescent="0.25"/>
  <cols>
    <col min="3" max="3" width="31" bestFit="1" customWidth="1"/>
    <col min="4" max="4" width="11.125" bestFit="1" customWidth="1"/>
    <col min="5" max="5" width="14.125" bestFit="1" customWidth="1"/>
    <col min="8" max="8" width="31.125" bestFit="1" customWidth="1"/>
    <col min="9" max="9" width="11.875" bestFit="1" customWidth="1"/>
    <col min="10" max="10" width="14.125" bestFit="1" customWidth="1"/>
    <col min="12" max="12" width="15.125" customWidth="1"/>
    <col min="13" max="13" width="31" bestFit="1" customWidth="1"/>
    <col min="15" max="15" width="14.125" bestFit="1" customWidth="1"/>
    <col min="18" max="18" width="31" bestFit="1" customWidth="1"/>
    <col min="19" max="19" width="10.125" bestFit="1" customWidth="1"/>
    <col min="20" max="20" width="14.125" bestFit="1" customWidth="1"/>
    <col min="21" max="21" width="6.875" bestFit="1" customWidth="1"/>
    <col min="23" max="23" width="73" bestFit="1" customWidth="1"/>
    <col min="24" max="24" width="11.625" customWidth="1"/>
    <col min="25" max="25" width="14.125" bestFit="1" customWidth="1"/>
    <col min="26" max="26" width="9.875" bestFit="1" customWidth="1"/>
    <col min="27" max="27" width="22" customWidth="1"/>
    <col min="28" max="28" width="42.375" bestFit="1" customWidth="1"/>
    <col min="29" max="29" width="10.125" bestFit="1" customWidth="1"/>
    <col min="30" max="30" width="14.125" bestFit="1" customWidth="1"/>
    <col min="31" max="31" width="6.875" bestFit="1" customWidth="1"/>
    <col min="33" max="33" width="31" bestFit="1" customWidth="1"/>
    <col min="34" max="34" width="8.625" bestFit="1" customWidth="1"/>
    <col min="35" max="35" width="14.125" bestFit="1" customWidth="1"/>
    <col min="37" max="37" width="18.625" customWidth="1"/>
    <col min="38" max="38" width="31" bestFit="1" customWidth="1"/>
    <col min="39" max="39" width="8.625" bestFit="1" customWidth="1"/>
    <col min="40" max="40" width="14.125" bestFit="1" customWidth="1"/>
    <col min="41" max="41" width="6.875" bestFit="1" customWidth="1"/>
    <col min="42" max="42" width="15.5" customWidth="1"/>
    <col min="43" max="43" width="31" bestFit="1" customWidth="1"/>
    <col min="44" max="44" width="8.625" bestFit="1" customWidth="1"/>
    <col min="48" max="48" width="31" bestFit="1" customWidth="1"/>
    <col min="53" max="53" width="31" bestFit="1" customWidth="1"/>
    <col min="54" max="54" width="11.875" bestFit="1" customWidth="1"/>
  </cols>
  <sheetData>
    <row r="1" spans="1:57" x14ac:dyDescent="0.25">
      <c r="C1" s="53" t="s">
        <v>0</v>
      </c>
      <c r="D1" s="53"/>
      <c r="E1" s="53"/>
      <c r="F1" s="53"/>
      <c r="H1" s="53" t="s">
        <v>106</v>
      </c>
      <c r="I1" s="53"/>
      <c r="J1" s="53"/>
      <c r="K1" s="53"/>
      <c r="L1" s="39"/>
      <c r="M1" s="53" t="s">
        <v>115</v>
      </c>
      <c r="N1" s="53"/>
      <c r="O1" s="53"/>
      <c r="P1" s="53"/>
      <c r="Q1" s="39"/>
      <c r="R1" s="53" t="s">
        <v>116</v>
      </c>
      <c r="S1" s="53"/>
      <c r="T1" s="53"/>
      <c r="U1" s="53"/>
      <c r="W1" s="53" t="s">
        <v>117</v>
      </c>
      <c r="X1" s="53"/>
      <c r="Y1" s="53"/>
      <c r="Z1" s="53"/>
      <c r="AA1" s="39"/>
      <c r="AB1" s="53" t="s">
        <v>118</v>
      </c>
      <c r="AC1" s="53"/>
      <c r="AD1" s="53"/>
      <c r="AE1" s="53"/>
      <c r="AF1" s="39"/>
      <c r="AG1" s="53" t="s">
        <v>119</v>
      </c>
      <c r="AH1" s="53"/>
      <c r="AI1" s="53"/>
      <c r="AJ1" s="53"/>
      <c r="AK1" s="39"/>
      <c r="AL1" s="53" t="s">
        <v>120</v>
      </c>
      <c r="AM1" s="53"/>
      <c r="AN1" s="53"/>
      <c r="AO1" s="53"/>
      <c r="AP1" s="39"/>
      <c r="AQ1" s="53" t="s">
        <v>121</v>
      </c>
      <c r="AR1" s="53"/>
      <c r="AS1" s="53"/>
      <c r="AT1" s="53"/>
      <c r="AU1" s="39"/>
      <c r="AV1" s="53" t="s">
        <v>122</v>
      </c>
      <c r="AW1" s="53"/>
      <c r="AX1" s="53"/>
      <c r="AY1" s="53"/>
      <c r="AZ1" s="39"/>
      <c r="BA1" s="53" t="s">
        <v>123</v>
      </c>
      <c r="BB1" s="53"/>
      <c r="BC1" s="53"/>
      <c r="BD1" s="53"/>
      <c r="BE1" s="39"/>
    </row>
    <row r="2" spans="1:57" x14ac:dyDescent="0.25">
      <c r="C2" s="35" t="s">
        <v>58</v>
      </c>
      <c r="D2" s="34" t="s">
        <v>76</v>
      </c>
      <c r="E2" s="34" t="s">
        <v>77</v>
      </c>
      <c r="F2" s="34" t="s">
        <v>1</v>
      </c>
      <c r="H2" s="35" t="s">
        <v>58</v>
      </c>
      <c r="I2" s="34" t="s">
        <v>76</v>
      </c>
      <c r="J2" s="34" t="s">
        <v>77</v>
      </c>
      <c r="K2" s="34" t="s">
        <v>1</v>
      </c>
      <c r="M2" s="35" t="s">
        <v>58</v>
      </c>
      <c r="N2" s="34" t="s">
        <v>76</v>
      </c>
      <c r="O2" s="34" t="s">
        <v>77</v>
      </c>
      <c r="P2" s="34" t="s">
        <v>1</v>
      </c>
      <c r="R2" s="35" t="s">
        <v>75</v>
      </c>
      <c r="S2" s="34" t="s">
        <v>76</v>
      </c>
      <c r="T2" s="34" t="s">
        <v>77</v>
      </c>
      <c r="U2" s="34" t="s">
        <v>1</v>
      </c>
      <c r="W2" s="35" t="s">
        <v>75</v>
      </c>
      <c r="X2" s="34" t="s">
        <v>76</v>
      </c>
      <c r="Y2" s="34" t="s">
        <v>77</v>
      </c>
      <c r="Z2" s="34" t="s">
        <v>1</v>
      </c>
      <c r="AB2" s="35" t="s">
        <v>58</v>
      </c>
      <c r="AC2" s="34" t="s">
        <v>76</v>
      </c>
      <c r="AD2" s="34" t="s">
        <v>77</v>
      </c>
      <c r="AE2" s="34" t="s">
        <v>1</v>
      </c>
      <c r="AG2" s="35" t="s">
        <v>55</v>
      </c>
      <c r="AH2" s="34" t="s">
        <v>76</v>
      </c>
      <c r="AI2" s="34" t="s">
        <v>77</v>
      </c>
      <c r="AJ2" s="34" t="s">
        <v>1</v>
      </c>
      <c r="AL2" s="35" t="s">
        <v>58</v>
      </c>
      <c r="AM2" s="34" t="s">
        <v>76</v>
      </c>
      <c r="AN2" s="34" t="s">
        <v>77</v>
      </c>
      <c r="AO2" s="34" t="s">
        <v>1</v>
      </c>
      <c r="AQ2" s="35" t="s">
        <v>58</v>
      </c>
      <c r="AR2" s="34" t="s">
        <v>76</v>
      </c>
      <c r="AS2" s="34" t="s">
        <v>77</v>
      </c>
      <c r="AT2" s="34" t="s">
        <v>1</v>
      </c>
      <c r="AV2" s="35" t="s">
        <v>58</v>
      </c>
      <c r="AW2" s="34" t="s">
        <v>76</v>
      </c>
      <c r="AX2" s="34" t="s">
        <v>77</v>
      </c>
      <c r="AY2" s="34" t="s">
        <v>1</v>
      </c>
      <c r="BA2" s="35" t="s">
        <v>58</v>
      </c>
      <c r="BB2" s="34" t="s">
        <v>76</v>
      </c>
      <c r="BC2" s="34" t="s">
        <v>77</v>
      </c>
      <c r="BD2" s="34" t="s">
        <v>1</v>
      </c>
    </row>
    <row r="3" spans="1:57" x14ac:dyDescent="0.25">
      <c r="A3" t="s">
        <v>92</v>
      </c>
      <c r="C3" s="35" t="s">
        <v>104</v>
      </c>
      <c r="D3" s="51">
        <v>1</v>
      </c>
      <c r="E3" s="51">
        <f>D3*Assumptions!$B10</f>
        <v>110</v>
      </c>
      <c r="F3" s="51">
        <f>D3*Assumptions!$D10</f>
        <v>170368</v>
      </c>
      <c r="G3" s="39"/>
      <c r="H3" s="35">
        <v>7</v>
      </c>
      <c r="I3" s="51">
        <v>7</v>
      </c>
      <c r="J3" s="51">
        <f>I3*Assumptions!$B10</f>
        <v>770</v>
      </c>
      <c r="K3" s="51">
        <f>I3*Assumptions!$D10</f>
        <v>1192576</v>
      </c>
      <c r="L3" s="39"/>
      <c r="M3" s="35">
        <v>1</v>
      </c>
      <c r="N3" s="51">
        <v>1</v>
      </c>
      <c r="O3" s="51">
        <f>N3*Assumptions!$B10</f>
        <v>110</v>
      </c>
      <c r="P3" s="51">
        <f>N3*Assumptions!$D10</f>
        <v>170368</v>
      </c>
      <c r="Q3" s="39"/>
      <c r="R3" s="35">
        <v>1</v>
      </c>
      <c r="S3" s="51">
        <v>1</v>
      </c>
      <c r="T3" s="51">
        <f>S3*Assumptions!$B10</f>
        <v>110</v>
      </c>
      <c r="U3" s="51">
        <f>S3*Assumptions!$D10</f>
        <v>170368</v>
      </c>
      <c r="V3" s="39"/>
      <c r="W3" s="35">
        <v>1</v>
      </c>
      <c r="X3" s="51">
        <v>1</v>
      </c>
      <c r="Y3" s="51">
        <f>X3*Assumptions!$B10</f>
        <v>110</v>
      </c>
      <c r="Z3" s="51">
        <f>X3*Assumptions!$D10</f>
        <v>170368</v>
      </c>
      <c r="AA3" s="39"/>
      <c r="AB3" s="35">
        <v>1</v>
      </c>
      <c r="AC3" s="51">
        <v>1</v>
      </c>
      <c r="AD3" s="51">
        <f>AC3*Assumptions!$B10</f>
        <v>110</v>
      </c>
      <c r="AE3" s="51">
        <f>AC3*Assumptions!$D10</f>
        <v>170368</v>
      </c>
      <c r="AF3" s="39"/>
      <c r="AG3" s="35">
        <v>1</v>
      </c>
      <c r="AH3" s="51">
        <v>1</v>
      </c>
      <c r="AI3" s="51">
        <f>AH3*Assumptions!$B10</f>
        <v>110</v>
      </c>
      <c r="AJ3" s="51">
        <f>AH3*Assumptions!$D10</f>
        <v>170368</v>
      </c>
      <c r="AK3" s="39"/>
      <c r="AL3" s="35">
        <v>1</v>
      </c>
      <c r="AM3" s="51">
        <v>1</v>
      </c>
      <c r="AN3" s="51">
        <f>AM3*Assumptions!$B10</f>
        <v>110</v>
      </c>
      <c r="AO3" s="51">
        <f>AM3*Assumptions!$D10</f>
        <v>170368</v>
      </c>
      <c r="AP3" s="39"/>
      <c r="AQ3" s="35">
        <v>0</v>
      </c>
      <c r="AR3" s="51">
        <v>0</v>
      </c>
      <c r="AS3" s="51">
        <f>AR3*Assumptions!$B10</f>
        <v>0</v>
      </c>
      <c r="AT3" s="51">
        <f>AR3*Assumptions!$D10</f>
        <v>0</v>
      </c>
      <c r="AU3" s="39"/>
      <c r="AV3" s="35" t="s">
        <v>114</v>
      </c>
      <c r="AW3" s="51">
        <v>0.25</v>
      </c>
      <c r="AX3" s="51">
        <f>AW3*Assumptions!$B10</f>
        <v>27.5</v>
      </c>
      <c r="AY3" s="51">
        <f>AW3*Assumptions!$D10</f>
        <v>42592</v>
      </c>
      <c r="AZ3" s="39"/>
      <c r="BA3" s="35">
        <v>1</v>
      </c>
      <c r="BB3" s="51">
        <v>0.25</v>
      </c>
      <c r="BC3" s="51">
        <f>BB3*Assumptions!$B10</f>
        <v>27.5</v>
      </c>
      <c r="BD3" s="51">
        <f>BB3*Assumptions!$D10</f>
        <v>42592</v>
      </c>
    </row>
    <row r="4" spans="1:57" x14ac:dyDescent="0.25">
      <c r="A4" t="s">
        <v>43</v>
      </c>
      <c r="C4" s="35" t="s">
        <v>104</v>
      </c>
      <c r="D4" s="51">
        <v>5</v>
      </c>
      <c r="E4" s="51">
        <f>D4*Assumptions!$B11</f>
        <v>53.5</v>
      </c>
      <c r="F4" s="51">
        <f>D4*Assumptions!$D11</f>
        <v>91500</v>
      </c>
      <c r="G4" s="39"/>
      <c r="H4" s="35">
        <v>6</v>
      </c>
      <c r="I4" s="51">
        <v>6</v>
      </c>
      <c r="J4" s="51">
        <f>I4*Assumptions!$B11</f>
        <v>64.199999999999989</v>
      </c>
      <c r="K4" s="51">
        <f>I4*Assumptions!$D11</f>
        <v>109800</v>
      </c>
      <c r="L4" s="39"/>
      <c r="M4" s="35">
        <v>4</v>
      </c>
      <c r="N4" s="51">
        <v>4</v>
      </c>
      <c r="O4" s="51">
        <f>N4*Assumptions!$B11</f>
        <v>42.8</v>
      </c>
      <c r="P4" s="51">
        <f>N4*Assumptions!$D11</f>
        <v>73200</v>
      </c>
      <c r="Q4" s="39"/>
      <c r="R4" s="35">
        <v>6</v>
      </c>
      <c r="S4" s="51">
        <v>6</v>
      </c>
      <c r="T4" s="51">
        <f>S4*Assumptions!$B11</f>
        <v>64.199999999999989</v>
      </c>
      <c r="U4" s="51">
        <f>S4*Assumptions!$D11</f>
        <v>109800</v>
      </c>
      <c r="V4" s="39"/>
      <c r="W4" s="35" t="s">
        <v>107</v>
      </c>
      <c r="X4" s="51">
        <v>7</v>
      </c>
      <c r="Y4" s="51">
        <f>X4*Assumptions!$B11</f>
        <v>74.899999999999991</v>
      </c>
      <c r="Z4" s="51">
        <f>X4*Assumptions!$D11</f>
        <v>128100</v>
      </c>
      <c r="AA4" s="39"/>
      <c r="AB4" s="35">
        <v>4</v>
      </c>
      <c r="AC4" s="51">
        <v>4</v>
      </c>
      <c r="AD4" s="51">
        <f>AC4*Assumptions!$B11</f>
        <v>42.8</v>
      </c>
      <c r="AE4" s="51">
        <f>AC4*Assumptions!$D11</f>
        <v>73200</v>
      </c>
      <c r="AF4" s="39"/>
      <c r="AG4" s="35">
        <v>4</v>
      </c>
      <c r="AH4" s="51">
        <v>4</v>
      </c>
      <c r="AI4" s="51">
        <f>AH4*Assumptions!$B11</f>
        <v>42.8</v>
      </c>
      <c r="AJ4" s="51">
        <f>AH4*Assumptions!$D11</f>
        <v>73200</v>
      </c>
      <c r="AK4" s="39"/>
      <c r="AL4" s="35">
        <v>4</v>
      </c>
      <c r="AM4" s="51">
        <v>4</v>
      </c>
      <c r="AN4" s="51">
        <f>AM4*Assumptions!$B11</f>
        <v>42.8</v>
      </c>
      <c r="AO4" s="51">
        <f>AM4*Assumptions!$D11</f>
        <v>73200</v>
      </c>
      <c r="AP4" s="39"/>
      <c r="AQ4" s="35">
        <v>4</v>
      </c>
      <c r="AR4" s="51">
        <v>4</v>
      </c>
      <c r="AS4" s="51">
        <f>AR4*Assumptions!$B11</f>
        <v>42.8</v>
      </c>
      <c r="AT4" s="51">
        <f>AR4*Assumptions!$D11</f>
        <v>73200</v>
      </c>
      <c r="AU4" s="39"/>
      <c r="AV4" s="35">
        <v>1</v>
      </c>
      <c r="AW4" s="51">
        <v>1</v>
      </c>
      <c r="AX4" s="51">
        <f>AW4*Assumptions!$B11</f>
        <v>10.7</v>
      </c>
      <c r="AY4" s="51">
        <f>AW4*Assumptions!$D11</f>
        <v>18300</v>
      </c>
      <c r="AZ4" s="39"/>
      <c r="BA4" s="35" t="s">
        <v>69</v>
      </c>
      <c r="BB4" s="51">
        <v>14</v>
      </c>
      <c r="BC4" s="51">
        <f>BB4*Assumptions!$B11</f>
        <v>149.79999999999998</v>
      </c>
      <c r="BD4" s="51">
        <f>BB4*Assumptions!$D11</f>
        <v>256200</v>
      </c>
    </row>
    <row r="5" spans="1:57" x14ac:dyDescent="0.25">
      <c r="A5" t="s">
        <v>44</v>
      </c>
      <c r="C5" s="35">
        <v>0</v>
      </c>
      <c r="D5" s="51">
        <v>0</v>
      </c>
      <c r="E5" s="51">
        <f>D5*Assumptions!$B12</f>
        <v>0</v>
      </c>
      <c r="F5" s="51">
        <v>0</v>
      </c>
      <c r="G5" s="39"/>
      <c r="H5" s="35">
        <v>0</v>
      </c>
      <c r="I5" s="51">
        <v>0</v>
      </c>
      <c r="J5" s="51">
        <f>I5*Assumptions!$B12</f>
        <v>0</v>
      </c>
      <c r="K5" s="51">
        <v>0</v>
      </c>
      <c r="L5" s="39"/>
      <c r="M5" s="35" t="s">
        <v>61</v>
      </c>
      <c r="N5" s="51">
        <v>2</v>
      </c>
      <c r="O5" s="51">
        <f>N5*Assumptions!$B12</f>
        <v>62.3</v>
      </c>
      <c r="P5" s="51">
        <f>O5*Assumptions!$C12</f>
        <v>91581</v>
      </c>
      <c r="Q5" s="39"/>
      <c r="R5" s="35">
        <v>0</v>
      </c>
      <c r="S5" s="51">
        <v>0</v>
      </c>
      <c r="T5" s="51">
        <f>S5*Assumptions!$B12</f>
        <v>0</v>
      </c>
      <c r="U5" s="51">
        <v>0</v>
      </c>
      <c r="V5" s="39"/>
      <c r="W5" s="35" t="s">
        <v>108</v>
      </c>
      <c r="X5" s="51">
        <v>1</v>
      </c>
      <c r="Y5" s="51">
        <f>X5*Assumptions!$B12</f>
        <v>31.15</v>
      </c>
      <c r="Z5" s="51">
        <f>Y5*Assumptions!$C12</f>
        <v>45790.5</v>
      </c>
      <c r="AA5" s="39"/>
      <c r="AB5" s="35">
        <v>1</v>
      </c>
      <c r="AC5" s="51">
        <v>1</v>
      </c>
      <c r="AD5" s="51">
        <f>AC5*Assumptions!$B12</f>
        <v>31.15</v>
      </c>
      <c r="AE5" s="51">
        <v>0</v>
      </c>
      <c r="AF5" s="39"/>
      <c r="AG5" s="35">
        <v>0</v>
      </c>
      <c r="AH5" s="51">
        <v>0</v>
      </c>
      <c r="AI5" s="51">
        <f>AH5*Assumptions!$B12</f>
        <v>0</v>
      </c>
      <c r="AJ5" s="51">
        <v>0</v>
      </c>
      <c r="AK5" s="39"/>
      <c r="AL5" s="35">
        <v>0</v>
      </c>
      <c r="AM5" s="51">
        <v>0</v>
      </c>
      <c r="AN5" s="51">
        <f>AM5*Assumptions!$B12</f>
        <v>0</v>
      </c>
      <c r="AO5" s="51">
        <v>0</v>
      </c>
      <c r="AP5" s="39"/>
      <c r="AQ5" s="35">
        <v>0</v>
      </c>
      <c r="AR5" s="51">
        <v>0</v>
      </c>
      <c r="AS5" s="51">
        <f>AR5*Assumptions!$B12</f>
        <v>0</v>
      </c>
      <c r="AT5" s="51">
        <v>0</v>
      </c>
      <c r="AU5" s="39"/>
      <c r="AV5" s="35" t="s">
        <v>65</v>
      </c>
      <c r="AW5" s="51">
        <v>1</v>
      </c>
      <c r="AX5" s="51">
        <f>AW5*Assumptions!$B12</f>
        <v>31.15</v>
      </c>
      <c r="AY5" s="51">
        <f>AX5*Assumptions!$C12</f>
        <v>45790.5</v>
      </c>
      <c r="AZ5" s="39"/>
      <c r="BA5" s="35">
        <v>0</v>
      </c>
      <c r="BB5" s="51">
        <v>0</v>
      </c>
      <c r="BC5" s="51">
        <f>BB5*Assumptions!$B12</f>
        <v>0</v>
      </c>
      <c r="BD5" s="51">
        <f>BC5*Assumptions!$C12</f>
        <v>0</v>
      </c>
    </row>
    <row r="6" spans="1:57" x14ac:dyDescent="0.25">
      <c r="A6" t="s">
        <v>2</v>
      </c>
      <c r="C6" s="35">
        <v>10</v>
      </c>
      <c r="D6" s="51">
        <v>10</v>
      </c>
      <c r="E6" s="51">
        <f>D6*Assumptions!$B16</f>
        <v>30</v>
      </c>
      <c r="F6" s="51">
        <f>D6*Assumptions!$D16</f>
        <v>71490</v>
      </c>
      <c r="G6" s="39"/>
      <c r="H6" s="35">
        <v>0</v>
      </c>
      <c r="I6" s="51">
        <v>0</v>
      </c>
      <c r="J6" s="51">
        <f>I6*Assumptions!$B16</f>
        <v>0</v>
      </c>
      <c r="K6" s="51">
        <f>I6*Assumptions!$D16</f>
        <v>0</v>
      </c>
      <c r="L6" s="39"/>
      <c r="M6" s="35">
        <v>5</v>
      </c>
      <c r="N6" s="51">
        <v>5</v>
      </c>
      <c r="O6" s="51">
        <f>N6*Assumptions!$B16</f>
        <v>15</v>
      </c>
      <c r="P6" s="51">
        <f>N6*Assumptions!$D16</f>
        <v>35745</v>
      </c>
      <c r="Q6" s="39"/>
      <c r="R6" s="35">
        <v>0</v>
      </c>
      <c r="S6" s="51">
        <v>0</v>
      </c>
      <c r="T6" s="51">
        <f>S6*Assumptions!$B16</f>
        <v>0</v>
      </c>
      <c r="U6" s="51">
        <f>S6*Assumptions!$D16</f>
        <v>0</v>
      </c>
      <c r="V6" s="39"/>
      <c r="W6" s="35">
        <v>6</v>
      </c>
      <c r="X6" s="51">
        <v>6</v>
      </c>
      <c r="Y6" s="51">
        <f>X6*Assumptions!$B16</f>
        <v>18</v>
      </c>
      <c r="Z6" s="51">
        <f>X6*Assumptions!$D16</f>
        <v>42894</v>
      </c>
      <c r="AA6" s="39"/>
      <c r="AB6" s="35">
        <v>10</v>
      </c>
      <c r="AC6" s="51">
        <v>10</v>
      </c>
      <c r="AD6" s="51">
        <f>AC6*Assumptions!$B16</f>
        <v>30</v>
      </c>
      <c r="AE6" s="51">
        <f>AC6*Assumptions!$D16</f>
        <v>71490</v>
      </c>
      <c r="AF6" s="39"/>
      <c r="AG6" s="35">
        <v>10</v>
      </c>
      <c r="AH6" s="51">
        <v>10</v>
      </c>
      <c r="AI6" s="51">
        <f>AH6*Assumptions!$B16</f>
        <v>30</v>
      </c>
      <c r="AJ6" s="51">
        <f>AH6*Assumptions!$D16</f>
        <v>71490</v>
      </c>
      <c r="AK6" s="39"/>
      <c r="AL6" s="35">
        <v>0</v>
      </c>
      <c r="AM6" s="51">
        <v>0</v>
      </c>
      <c r="AN6" s="51">
        <f>AM6*Assumptions!$B16</f>
        <v>0</v>
      </c>
      <c r="AO6" s="51">
        <f>AM6*Assumptions!$D16</f>
        <v>0</v>
      </c>
      <c r="AP6" s="39"/>
      <c r="AQ6" s="35">
        <v>5</v>
      </c>
      <c r="AR6" s="51">
        <v>5</v>
      </c>
      <c r="AS6" s="51">
        <f>AR6*Assumptions!$B16</f>
        <v>15</v>
      </c>
      <c r="AT6" s="51">
        <f>AR6*Assumptions!$D16</f>
        <v>35745</v>
      </c>
      <c r="AU6" s="39"/>
      <c r="AV6" s="35">
        <v>0</v>
      </c>
      <c r="AW6" s="51">
        <v>0</v>
      </c>
      <c r="AX6" s="51">
        <f>AW6*Assumptions!$B16</f>
        <v>0</v>
      </c>
      <c r="AY6" s="51">
        <f>AW6*Assumptions!$D16</f>
        <v>0</v>
      </c>
      <c r="AZ6" s="39"/>
      <c r="BA6" s="35">
        <v>0</v>
      </c>
      <c r="BB6" s="51">
        <v>0</v>
      </c>
      <c r="BC6" s="51">
        <f>BB6*Assumptions!$B16</f>
        <v>0</v>
      </c>
      <c r="BD6" s="51">
        <f>BB6*Assumptions!$D16</f>
        <v>0</v>
      </c>
    </row>
    <row r="7" spans="1:57" x14ac:dyDescent="0.25">
      <c r="A7" t="s">
        <v>3</v>
      </c>
      <c r="C7" s="35">
        <v>20</v>
      </c>
      <c r="D7" s="51">
        <v>20</v>
      </c>
      <c r="E7" s="51">
        <f>D7*Assumptions!$B15</f>
        <v>20</v>
      </c>
      <c r="F7" s="51">
        <f>D7*Assumptions!$D15</f>
        <v>26200</v>
      </c>
      <c r="G7" s="39"/>
      <c r="H7" s="35">
        <v>0</v>
      </c>
      <c r="I7" s="51">
        <v>0</v>
      </c>
      <c r="J7" s="51">
        <f>I7*Assumptions!$B15</f>
        <v>0</v>
      </c>
      <c r="K7" s="51">
        <f>I7*Assumptions!$D15</f>
        <v>0</v>
      </c>
      <c r="L7" s="39"/>
      <c r="M7" s="35">
        <v>10</v>
      </c>
      <c r="N7" s="51">
        <v>10</v>
      </c>
      <c r="O7" s="51">
        <f>N7*Assumptions!$B15</f>
        <v>10</v>
      </c>
      <c r="P7" s="51">
        <f>N7*Assumptions!$D15</f>
        <v>13100</v>
      </c>
      <c r="Q7" s="39"/>
      <c r="R7" s="35">
        <v>0</v>
      </c>
      <c r="S7" s="51">
        <v>0</v>
      </c>
      <c r="T7" s="51">
        <f>S7*Assumptions!$B15</f>
        <v>0</v>
      </c>
      <c r="U7" s="51">
        <f>S7*Assumptions!$D15</f>
        <v>0</v>
      </c>
      <c r="V7" s="39"/>
      <c r="W7" s="35">
        <v>10</v>
      </c>
      <c r="X7" s="51">
        <v>10</v>
      </c>
      <c r="Y7" s="51">
        <f>X7*Assumptions!$B15</f>
        <v>10</v>
      </c>
      <c r="Z7" s="51">
        <f>X7*Assumptions!$D15</f>
        <v>13100</v>
      </c>
      <c r="AA7" s="39"/>
      <c r="AB7" s="35">
        <v>20</v>
      </c>
      <c r="AC7" s="51">
        <v>20</v>
      </c>
      <c r="AD7" s="51">
        <f>AC7*Assumptions!$B15</f>
        <v>20</v>
      </c>
      <c r="AE7" s="51">
        <f>AC7*Assumptions!$D15</f>
        <v>26200</v>
      </c>
      <c r="AF7" s="39"/>
      <c r="AG7" s="35">
        <v>20</v>
      </c>
      <c r="AH7" s="51">
        <v>20</v>
      </c>
      <c r="AI7" s="51">
        <f>AH7*Assumptions!$B15</f>
        <v>20</v>
      </c>
      <c r="AJ7" s="51">
        <f>AH7*Assumptions!$D15</f>
        <v>26200</v>
      </c>
      <c r="AK7" s="39"/>
      <c r="AL7" s="35">
        <v>20</v>
      </c>
      <c r="AM7" s="51">
        <v>20</v>
      </c>
      <c r="AN7" s="51">
        <f>AM7*Assumptions!$B15</f>
        <v>20</v>
      </c>
      <c r="AO7" s="51">
        <f>AM7*Assumptions!$D15</f>
        <v>26200</v>
      </c>
      <c r="AP7" s="39"/>
      <c r="AQ7" s="35">
        <v>10</v>
      </c>
      <c r="AR7" s="51">
        <v>10</v>
      </c>
      <c r="AS7" s="51">
        <f>AR7*Assumptions!$B15</f>
        <v>10</v>
      </c>
      <c r="AT7" s="51">
        <f>AR7*Assumptions!$D15</f>
        <v>13100</v>
      </c>
      <c r="AU7" s="39"/>
      <c r="AV7" s="35">
        <v>4</v>
      </c>
      <c r="AW7" s="51">
        <v>4</v>
      </c>
      <c r="AX7" s="51">
        <f>AW7*Assumptions!$B15</f>
        <v>4</v>
      </c>
      <c r="AY7" s="51">
        <f>AW7*Assumptions!$D15</f>
        <v>5240</v>
      </c>
      <c r="AZ7" s="39"/>
      <c r="BA7" s="35">
        <v>0</v>
      </c>
      <c r="BB7" s="51">
        <v>0</v>
      </c>
      <c r="BC7" s="51">
        <f>BB7*Assumptions!$B15</f>
        <v>0</v>
      </c>
      <c r="BD7" s="51">
        <f>BB7*Assumptions!$D15</f>
        <v>0</v>
      </c>
    </row>
    <row r="8" spans="1:57" x14ac:dyDescent="0.25">
      <c r="A8" t="s">
        <v>12</v>
      </c>
      <c r="C8" s="35">
        <v>5</v>
      </c>
      <c r="D8" s="51">
        <v>5</v>
      </c>
      <c r="E8" s="51">
        <f>D8*Assumptions!$B14</f>
        <v>19.574999999999999</v>
      </c>
      <c r="F8" s="51">
        <f>E8*Assumptions!C14</f>
        <v>35039.25</v>
      </c>
      <c r="G8" s="39"/>
      <c r="H8" s="35">
        <v>0</v>
      </c>
      <c r="I8" s="51">
        <v>0</v>
      </c>
      <c r="J8" s="51">
        <f>I8*Assumptions!$B14</f>
        <v>0</v>
      </c>
      <c r="K8" s="51">
        <v>0</v>
      </c>
      <c r="L8" s="39"/>
      <c r="M8" s="35">
        <v>0</v>
      </c>
      <c r="N8" s="51">
        <v>0</v>
      </c>
      <c r="O8" s="51">
        <f>N8*Assumptions!$B14</f>
        <v>0</v>
      </c>
      <c r="P8" s="51">
        <v>0</v>
      </c>
      <c r="Q8" s="39"/>
      <c r="R8" s="35">
        <v>0</v>
      </c>
      <c r="S8" s="51">
        <v>0</v>
      </c>
      <c r="T8" s="51">
        <f>S8*Assumptions!$B14</f>
        <v>0</v>
      </c>
      <c r="U8" s="51">
        <v>0</v>
      </c>
      <c r="V8" s="39"/>
      <c r="W8" s="35">
        <v>0</v>
      </c>
      <c r="X8" s="51">
        <v>0</v>
      </c>
      <c r="Y8" s="51">
        <f>X8*Assumptions!$B14</f>
        <v>0</v>
      </c>
      <c r="Z8" s="51">
        <v>0</v>
      </c>
      <c r="AA8" s="39"/>
      <c r="AB8" s="35">
        <v>0</v>
      </c>
      <c r="AC8" s="51">
        <v>0</v>
      </c>
      <c r="AD8" s="51">
        <f>AC8*Assumptions!$B14</f>
        <v>0</v>
      </c>
      <c r="AE8" s="51">
        <v>0</v>
      </c>
      <c r="AF8" s="39"/>
      <c r="AG8" s="35">
        <v>0</v>
      </c>
      <c r="AH8" s="51">
        <v>0</v>
      </c>
      <c r="AI8" s="51">
        <f>AH8*Assumptions!$B14</f>
        <v>0</v>
      </c>
      <c r="AJ8" s="51">
        <v>0</v>
      </c>
      <c r="AK8" s="39"/>
      <c r="AL8" s="35">
        <v>0</v>
      </c>
      <c r="AM8" s="51">
        <v>0</v>
      </c>
      <c r="AN8" s="51">
        <f>AM8*Assumptions!$B14</f>
        <v>0</v>
      </c>
      <c r="AO8" s="51">
        <v>0</v>
      </c>
      <c r="AP8" s="39"/>
      <c r="AQ8" s="35">
        <v>0</v>
      </c>
      <c r="AR8" s="51">
        <v>0</v>
      </c>
      <c r="AS8" s="51">
        <f>AR8*Assumptions!$B14</f>
        <v>0</v>
      </c>
      <c r="AT8" s="51">
        <v>0</v>
      </c>
      <c r="AU8" s="39"/>
      <c r="AV8" s="35">
        <v>0</v>
      </c>
      <c r="AW8" s="51">
        <v>0</v>
      </c>
      <c r="AX8" s="51">
        <f>AW8*Assumptions!$B14</f>
        <v>0</v>
      </c>
      <c r="AY8" s="51">
        <v>0</v>
      </c>
      <c r="AZ8" s="39"/>
      <c r="BA8" s="35">
        <v>0</v>
      </c>
      <c r="BB8" s="51">
        <v>0</v>
      </c>
      <c r="BC8" s="51">
        <f>BB8*Assumptions!$B14</f>
        <v>0</v>
      </c>
      <c r="BD8" s="51">
        <v>0</v>
      </c>
    </row>
    <row r="9" spans="1:57" x14ac:dyDescent="0.25">
      <c r="A9" t="s">
        <v>34</v>
      </c>
      <c r="C9" s="35">
        <v>100</v>
      </c>
      <c r="D9" s="51">
        <v>100</v>
      </c>
      <c r="E9" s="51">
        <f>D9*Assumptions!$B13</f>
        <v>84</v>
      </c>
      <c r="F9" s="51">
        <f>E9*Assumptions!C13</f>
        <v>59640</v>
      </c>
      <c r="G9" s="39"/>
      <c r="H9" s="35">
        <v>0</v>
      </c>
      <c r="I9" s="51">
        <v>0</v>
      </c>
      <c r="J9" s="51">
        <f>I9*Assumptions!$B13</f>
        <v>0</v>
      </c>
      <c r="K9" s="51">
        <v>0</v>
      </c>
      <c r="L9" s="39"/>
      <c r="M9" s="35">
        <v>0</v>
      </c>
      <c r="N9" s="51">
        <v>0</v>
      </c>
      <c r="O9" s="51">
        <f>N9*Assumptions!$B13</f>
        <v>0</v>
      </c>
      <c r="P9" s="51">
        <v>0</v>
      </c>
      <c r="Q9" s="39"/>
      <c r="R9" s="35">
        <v>0</v>
      </c>
      <c r="S9" s="51">
        <v>0</v>
      </c>
      <c r="T9" s="51">
        <f>S9*Assumptions!$B13</f>
        <v>0</v>
      </c>
      <c r="U9" s="51">
        <v>0</v>
      </c>
      <c r="V9" s="39"/>
      <c r="W9" s="35">
        <v>0</v>
      </c>
      <c r="X9" s="51">
        <v>0</v>
      </c>
      <c r="Y9" s="51">
        <f>X9*Assumptions!$B13</f>
        <v>0</v>
      </c>
      <c r="Z9" s="51">
        <v>0</v>
      </c>
      <c r="AA9" s="39"/>
      <c r="AB9" s="35">
        <v>0</v>
      </c>
      <c r="AC9" s="51">
        <v>0</v>
      </c>
      <c r="AD9" s="51">
        <f>AC9*Assumptions!$B13</f>
        <v>0</v>
      </c>
      <c r="AE9" s="51">
        <v>0</v>
      </c>
      <c r="AF9" s="39"/>
      <c r="AG9" s="35">
        <v>0</v>
      </c>
      <c r="AH9" s="51">
        <v>0</v>
      </c>
      <c r="AI9" s="51">
        <f>AH9*Assumptions!$B13</f>
        <v>0</v>
      </c>
      <c r="AJ9" s="51">
        <v>0</v>
      </c>
      <c r="AK9" s="39"/>
      <c r="AL9" s="35">
        <v>0</v>
      </c>
      <c r="AM9" s="51">
        <v>0</v>
      </c>
      <c r="AN9" s="51">
        <f>AM9*Assumptions!$B13</f>
        <v>0</v>
      </c>
      <c r="AO9" s="51">
        <v>0</v>
      </c>
      <c r="AP9" s="39"/>
      <c r="AQ9" s="35">
        <v>0</v>
      </c>
      <c r="AR9" s="51">
        <v>0</v>
      </c>
      <c r="AS9" s="51">
        <f>AR9*Assumptions!$B13</f>
        <v>0</v>
      </c>
      <c r="AT9" s="51">
        <v>0</v>
      </c>
      <c r="AU9" s="39"/>
      <c r="AV9" s="35">
        <v>0</v>
      </c>
      <c r="AW9" s="51">
        <v>0</v>
      </c>
      <c r="AX9" s="51">
        <f>AW9*Assumptions!$B13</f>
        <v>0</v>
      </c>
      <c r="AY9" s="51">
        <v>0</v>
      </c>
      <c r="AZ9" s="39"/>
      <c r="BA9" s="35">
        <v>0</v>
      </c>
      <c r="BB9" s="51">
        <v>0</v>
      </c>
      <c r="BC9" s="51">
        <f>BB9*Assumptions!$B13</f>
        <v>0</v>
      </c>
      <c r="BD9" s="51">
        <v>0</v>
      </c>
    </row>
    <row r="10" spans="1:57" x14ac:dyDescent="0.25">
      <c r="A10" s="33" t="s">
        <v>74</v>
      </c>
      <c r="B10" s="33"/>
      <c r="C10" s="35">
        <v>0</v>
      </c>
      <c r="D10" s="51">
        <v>0</v>
      </c>
      <c r="E10" s="51">
        <f>D10*Assumptions!$B30</f>
        <v>0</v>
      </c>
      <c r="F10" s="51">
        <f>E10*Assumptions!$C7</f>
        <v>0</v>
      </c>
      <c r="G10" s="52"/>
      <c r="H10" s="35">
        <v>0</v>
      </c>
      <c r="I10" s="51">
        <v>0</v>
      </c>
      <c r="J10" s="51">
        <f>I10*Assumptions!$B30</f>
        <v>0</v>
      </c>
      <c r="K10" s="51">
        <f>J10*Assumptions!$C7</f>
        <v>0</v>
      </c>
      <c r="L10" s="39"/>
      <c r="M10" s="35">
        <v>0</v>
      </c>
      <c r="N10" s="51">
        <v>0</v>
      </c>
      <c r="O10" s="51">
        <f>N10*Assumptions!$B30</f>
        <v>0</v>
      </c>
      <c r="P10" s="51">
        <f>O10*Assumptions!$C7</f>
        <v>0</v>
      </c>
      <c r="Q10" s="39"/>
      <c r="R10" s="35" t="s">
        <v>110</v>
      </c>
      <c r="S10" s="51">
        <v>3</v>
      </c>
      <c r="T10" s="51">
        <f>S10*Assumptions!$B30</f>
        <v>45</v>
      </c>
      <c r="U10" s="51">
        <f>T10*Assumptions!$C7</f>
        <v>222300</v>
      </c>
      <c r="V10" s="39"/>
      <c r="W10" s="35" t="s">
        <v>111</v>
      </c>
      <c r="X10" s="51">
        <v>1</v>
      </c>
      <c r="Y10" s="51">
        <f>X10*Assumptions!$B30</f>
        <v>15</v>
      </c>
      <c r="Z10" s="51">
        <f>Y10*Assumptions!$C7</f>
        <v>74100</v>
      </c>
      <c r="AA10" s="39"/>
      <c r="AB10" s="35" t="s">
        <v>109</v>
      </c>
      <c r="AC10" s="51">
        <v>2</v>
      </c>
      <c r="AD10" s="51">
        <f>AC10*Assumptions!$B30</f>
        <v>30</v>
      </c>
      <c r="AE10" s="51">
        <f>AD10*Assumptions!$C7</f>
        <v>148200</v>
      </c>
      <c r="AF10" s="39"/>
      <c r="AG10" s="35" t="s">
        <v>111</v>
      </c>
      <c r="AH10" s="51">
        <v>1</v>
      </c>
      <c r="AI10" s="51">
        <f>AH10*Assumptions!$B30</f>
        <v>15</v>
      </c>
      <c r="AJ10" s="51">
        <f>AI10*Assumptions!$C7</f>
        <v>74100</v>
      </c>
      <c r="AK10" s="39"/>
      <c r="AL10" s="35" t="s">
        <v>112</v>
      </c>
      <c r="AM10" s="51">
        <v>1</v>
      </c>
      <c r="AN10" s="51">
        <f>AM10*Assumptions!$B30</f>
        <v>15</v>
      </c>
      <c r="AO10" s="51">
        <f>AN10*Assumptions!$C7</f>
        <v>74100</v>
      </c>
      <c r="AP10" s="39"/>
      <c r="AQ10" s="35">
        <v>0</v>
      </c>
      <c r="AR10" s="51">
        <v>0</v>
      </c>
      <c r="AS10" s="51">
        <f>AR10*Assumptions!$B30</f>
        <v>0</v>
      </c>
      <c r="AT10" s="51">
        <f>AS10*Assumptions!$C7</f>
        <v>0</v>
      </c>
      <c r="AU10" s="39"/>
      <c r="AV10" s="35">
        <v>0</v>
      </c>
      <c r="AW10" s="51">
        <v>0</v>
      </c>
      <c r="AX10" s="51">
        <f>AW10*Assumptions!$B30</f>
        <v>0</v>
      </c>
      <c r="AY10" s="51">
        <f>AX10*Assumptions!$C7</f>
        <v>0</v>
      </c>
      <c r="AZ10" s="39"/>
      <c r="BA10" s="35">
        <v>0</v>
      </c>
      <c r="BB10" s="51">
        <v>0</v>
      </c>
      <c r="BC10" s="51">
        <f>BB10*Assumptions!$B30</f>
        <v>0</v>
      </c>
      <c r="BD10" s="51">
        <f>BC10*Assumptions!$C7</f>
        <v>0</v>
      </c>
    </row>
    <row r="11" spans="1:57" x14ac:dyDescent="0.25">
      <c r="A11" t="s">
        <v>15</v>
      </c>
      <c r="C11" s="35" t="s">
        <v>88</v>
      </c>
      <c r="D11" s="51">
        <v>10</v>
      </c>
      <c r="E11" s="51">
        <f>D11*Assumptions!$B17</f>
        <v>30</v>
      </c>
      <c r="F11" s="51">
        <f>E11*Assumptions!$C17</f>
        <v>123300</v>
      </c>
      <c r="G11" s="39"/>
      <c r="H11" s="35">
        <v>40</v>
      </c>
      <c r="I11" s="51">
        <v>40</v>
      </c>
      <c r="J11" s="51">
        <f>I11*Assumptions!$B17</f>
        <v>120</v>
      </c>
      <c r="K11" s="51">
        <f>J11*Assumptions!$C17</f>
        <v>493200</v>
      </c>
      <c r="L11" s="39"/>
      <c r="M11" s="35" t="s">
        <v>62</v>
      </c>
      <c r="N11" s="51">
        <v>10</v>
      </c>
      <c r="O11" s="51">
        <f>N11*Assumptions!B29</f>
        <v>3.2600000000000002</v>
      </c>
      <c r="P11" s="51">
        <f>O11*Assumptions!$C17</f>
        <v>13398.6</v>
      </c>
      <c r="Q11" s="39"/>
      <c r="R11" s="35" t="s">
        <v>110</v>
      </c>
      <c r="S11" s="51">
        <v>3</v>
      </c>
      <c r="T11" s="51">
        <f>S11*Assumptions!$B30</f>
        <v>45</v>
      </c>
      <c r="U11" s="51">
        <f>T11*Assumptions!$C17</f>
        <v>184950</v>
      </c>
      <c r="V11" s="39"/>
      <c r="W11" s="35" t="s">
        <v>111</v>
      </c>
      <c r="X11" s="51">
        <v>1</v>
      </c>
      <c r="Y11" s="51">
        <f>X11*Assumptions!$B30</f>
        <v>15</v>
      </c>
      <c r="Z11" s="51">
        <f>Y11*Assumptions!$C17</f>
        <v>61650</v>
      </c>
      <c r="AA11" s="39"/>
      <c r="AB11" s="35" t="s">
        <v>109</v>
      </c>
      <c r="AC11" s="51">
        <v>2</v>
      </c>
      <c r="AD11" s="51">
        <f>AC11*Assumptions!$B30</f>
        <v>30</v>
      </c>
      <c r="AE11" s="51">
        <f>AD11*Assumptions!$C17</f>
        <v>123300</v>
      </c>
      <c r="AF11" s="39"/>
      <c r="AG11" s="35" t="s">
        <v>111</v>
      </c>
      <c r="AH11" s="51">
        <v>1</v>
      </c>
      <c r="AI11" s="51">
        <f>AH11*Assumptions!$B30</f>
        <v>15</v>
      </c>
      <c r="AJ11" s="51">
        <f>AI11*Assumptions!$C17</f>
        <v>61650</v>
      </c>
      <c r="AK11" s="39"/>
      <c r="AL11" s="35" t="s">
        <v>112</v>
      </c>
      <c r="AM11" s="51">
        <v>1</v>
      </c>
      <c r="AN11" s="51">
        <f>AM11*Assumptions!$B30</f>
        <v>15</v>
      </c>
      <c r="AO11" s="51">
        <f>AN11*Assumptions!$C17</f>
        <v>61650</v>
      </c>
      <c r="AP11" s="39"/>
      <c r="AQ11" s="35" t="s">
        <v>113</v>
      </c>
      <c r="AR11" s="51">
        <v>1</v>
      </c>
      <c r="AS11" s="51">
        <f>AR11*Assumptions!$B30</f>
        <v>15</v>
      </c>
      <c r="AT11" s="51">
        <f>AS11*Assumptions!$C17</f>
        <v>61650</v>
      </c>
      <c r="AU11" s="39"/>
      <c r="AV11" s="35" t="s">
        <v>66</v>
      </c>
      <c r="AW11" s="51">
        <v>2</v>
      </c>
      <c r="AX11" s="51">
        <f>AW11*Assumptions!$B17</f>
        <v>6</v>
      </c>
      <c r="AY11" s="51">
        <f>AX11*Assumptions!$C17</f>
        <v>24660</v>
      </c>
      <c r="AZ11" s="39"/>
      <c r="BA11" s="35">
        <v>30</v>
      </c>
      <c r="BB11" s="51">
        <v>30</v>
      </c>
      <c r="BC11" s="51">
        <f>BB11*Assumptions!$B17</f>
        <v>90</v>
      </c>
      <c r="BD11" s="51">
        <f>BC11*Assumptions!$C17</f>
        <v>369900</v>
      </c>
    </row>
    <row r="12" spans="1:57" x14ac:dyDescent="0.25">
      <c r="A12" t="s">
        <v>10</v>
      </c>
      <c r="C12" s="35" t="s">
        <v>72</v>
      </c>
      <c r="D12" s="51">
        <v>1</v>
      </c>
      <c r="E12" s="51">
        <f>D12*Assumptions!$B22</f>
        <v>15</v>
      </c>
      <c r="F12" s="51">
        <f>E12*Assumptions!D6</f>
        <v>107136</v>
      </c>
      <c r="G12" s="39"/>
      <c r="H12" s="35">
        <v>0</v>
      </c>
      <c r="I12" s="51">
        <v>0</v>
      </c>
      <c r="J12" s="51">
        <f>I12*Assumptions!$B22</f>
        <v>0</v>
      </c>
      <c r="K12" s="51">
        <f>J12*Assumptions!$D6</f>
        <v>0</v>
      </c>
      <c r="L12" s="39"/>
      <c r="M12" s="35">
        <v>0</v>
      </c>
      <c r="N12" s="51">
        <v>0</v>
      </c>
      <c r="O12" s="51">
        <f>N12*Assumptions!$B21</f>
        <v>0</v>
      </c>
      <c r="P12" s="51">
        <f>O12*Assumptions!$D6</f>
        <v>0</v>
      </c>
      <c r="Q12" s="39"/>
      <c r="R12" s="35">
        <v>0</v>
      </c>
      <c r="S12" s="51">
        <v>0</v>
      </c>
      <c r="T12" s="51">
        <f>S12*Assumptions!$B21</f>
        <v>0</v>
      </c>
      <c r="U12" s="51">
        <f>T12*Assumptions!$D6</f>
        <v>0</v>
      </c>
      <c r="V12" s="39"/>
      <c r="W12" s="35" t="s">
        <v>54</v>
      </c>
      <c r="X12" s="51">
        <v>1</v>
      </c>
      <c r="Y12" s="51">
        <f>X12*Assumptions!$B21</f>
        <v>4.8899999999999997</v>
      </c>
      <c r="Z12" s="51">
        <f>Y12*Assumptions!$D6</f>
        <v>34926.335999999996</v>
      </c>
      <c r="AA12" s="39"/>
      <c r="AB12" s="35">
        <v>0</v>
      </c>
      <c r="AC12" s="51">
        <v>0</v>
      </c>
      <c r="AD12" s="51">
        <f>AC12*Assumptions!$B21</f>
        <v>0</v>
      </c>
      <c r="AE12" s="51">
        <f>AD12*Assumptions!$D6</f>
        <v>0</v>
      </c>
      <c r="AF12" s="39"/>
      <c r="AG12" s="35">
        <v>0</v>
      </c>
      <c r="AH12" s="51">
        <v>0</v>
      </c>
      <c r="AI12" s="51">
        <f>AH12*Assumptions!$B21</f>
        <v>0</v>
      </c>
      <c r="AJ12" s="51">
        <f>AI12*Assumptions!$D6</f>
        <v>0</v>
      </c>
      <c r="AK12" s="39"/>
      <c r="AL12" s="35">
        <v>0</v>
      </c>
      <c r="AM12" s="51">
        <v>0</v>
      </c>
      <c r="AN12" s="51">
        <f>AM12*Assumptions!$B21</f>
        <v>0</v>
      </c>
      <c r="AO12" s="51">
        <f>AN12*Assumptions!$D6</f>
        <v>0</v>
      </c>
      <c r="AP12" s="39"/>
      <c r="AQ12" s="35">
        <v>0</v>
      </c>
      <c r="AR12" s="51">
        <v>0</v>
      </c>
      <c r="AS12" s="51">
        <f>AR12*Assumptions!$B21</f>
        <v>0</v>
      </c>
      <c r="AT12" s="51">
        <f>AS12*Assumptions!$D6</f>
        <v>0</v>
      </c>
      <c r="AU12" s="39"/>
      <c r="AV12" s="35">
        <v>0</v>
      </c>
      <c r="AW12" s="51">
        <v>0</v>
      </c>
      <c r="AX12" s="51">
        <f>AW12*Assumptions!$B21</f>
        <v>0</v>
      </c>
      <c r="AY12" s="51">
        <f>AX12*Assumptions!$D6</f>
        <v>0</v>
      </c>
      <c r="AZ12" s="39"/>
      <c r="BA12" s="35">
        <v>0</v>
      </c>
      <c r="BB12" s="51">
        <v>0</v>
      </c>
      <c r="BC12" s="51">
        <f>BB12*Assumptions!$B21</f>
        <v>0</v>
      </c>
      <c r="BD12" s="51">
        <f>BC12*Assumptions!$D6</f>
        <v>0</v>
      </c>
    </row>
    <row r="13" spans="1:57" x14ac:dyDescent="0.25">
      <c r="A13" t="s">
        <v>71</v>
      </c>
      <c r="C13" s="35">
        <v>0</v>
      </c>
      <c r="D13" s="51">
        <v>0</v>
      </c>
      <c r="E13" s="51">
        <v>0</v>
      </c>
      <c r="F13" s="51">
        <v>0</v>
      </c>
      <c r="G13" s="39"/>
      <c r="H13" s="35" t="s">
        <v>53</v>
      </c>
      <c r="I13" s="51">
        <v>30</v>
      </c>
      <c r="J13" s="51">
        <f>I13*Assumptions!$B22</f>
        <v>450</v>
      </c>
      <c r="K13" s="51">
        <f>J13*Assumptions!D4</f>
        <v>1169595</v>
      </c>
      <c r="L13" s="39"/>
      <c r="M13" s="35">
        <v>0</v>
      </c>
      <c r="N13" s="51">
        <v>0</v>
      </c>
      <c r="O13" s="51">
        <v>0</v>
      </c>
      <c r="P13" s="51">
        <v>0</v>
      </c>
      <c r="Q13" s="39"/>
      <c r="R13" s="35">
        <v>0</v>
      </c>
      <c r="S13" s="51">
        <v>0</v>
      </c>
      <c r="T13" s="51">
        <v>0</v>
      </c>
      <c r="U13" s="51">
        <v>0</v>
      </c>
      <c r="V13" s="39"/>
      <c r="W13" s="35">
        <v>0</v>
      </c>
      <c r="X13" s="51">
        <v>0</v>
      </c>
      <c r="Y13" s="51">
        <v>0</v>
      </c>
      <c r="Z13" s="51">
        <v>0</v>
      </c>
      <c r="AA13" s="39"/>
      <c r="AB13" s="35">
        <v>0</v>
      </c>
      <c r="AC13" s="51">
        <v>0</v>
      </c>
      <c r="AD13" s="51">
        <v>0</v>
      </c>
      <c r="AE13" s="51">
        <v>0</v>
      </c>
      <c r="AF13" s="39"/>
      <c r="AG13" s="35">
        <v>0</v>
      </c>
      <c r="AH13" s="51">
        <v>0</v>
      </c>
      <c r="AI13" s="51">
        <v>0</v>
      </c>
      <c r="AJ13" s="51">
        <v>0</v>
      </c>
      <c r="AK13" s="39"/>
      <c r="AL13" s="35">
        <v>0</v>
      </c>
      <c r="AM13" s="51">
        <v>0</v>
      </c>
      <c r="AN13" s="51">
        <v>0</v>
      </c>
      <c r="AO13" s="51">
        <v>0</v>
      </c>
      <c r="AP13" s="39"/>
      <c r="AQ13" s="35">
        <v>0</v>
      </c>
      <c r="AR13" s="51">
        <v>0</v>
      </c>
      <c r="AS13" s="51">
        <v>0</v>
      </c>
      <c r="AT13" s="51">
        <v>0</v>
      </c>
      <c r="AU13" s="39"/>
      <c r="AV13" s="35">
        <v>0</v>
      </c>
      <c r="AW13" s="51">
        <v>0</v>
      </c>
      <c r="AX13" s="51">
        <v>0</v>
      </c>
      <c r="AY13" s="51">
        <v>0</v>
      </c>
      <c r="AZ13" s="39"/>
      <c r="BA13" s="35">
        <v>0</v>
      </c>
      <c r="BB13" s="51">
        <v>0</v>
      </c>
      <c r="BC13" s="51">
        <v>0</v>
      </c>
      <c r="BD13" s="51">
        <v>0</v>
      </c>
    </row>
    <row r="14" spans="1:57" x14ac:dyDescent="0.25">
      <c r="A14" t="s">
        <v>9</v>
      </c>
      <c r="C14" s="35">
        <v>0</v>
      </c>
      <c r="D14" s="51">
        <v>0</v>
      </c>
      <c r="E14" s="51">
        <v>0</v>
      </c>
      <c r="F14" s="51">
        <v>0</v>
      </c>
      <c r="G14" s="39"/>
      <c r="H14" s="35" t="s">
        <v>90</v>
      </c>
      <c r="I14" s="51">
        <v>4</v>
      </c>
      <c r="J14" s="51">
        <f>I14*Assumptions!$B22</f>
        <v>60</v>
      </c>
      <c r="K14" s="51">
        <f>J14*Assumptions!$D5</f>
        <v>115758</v>
      </c>
      <c r="L14" s="39"/>
      <c r="M14" s="35">
        <v>0</v>
      </c>
      <c r="N14" s="51">
        <v>0</v>
      </c>
      <c r="O14" s="51">
        <f>N14*Assumptions!$B22</f>
        <v>0</v>
      </c>
      <c r="P14" s="51">
        <f>O14*Assumptions!$D5</f>
        <v>0</v>
      </c>
      <c r="Q14" s="39"/>
      <c r="R14" s="35">
        <v>0</v>
      </c>
      <c r="S14" s="51">
        <v>0</v>
      </c>
      <c r="T14" s="51">
        <f>S14*Assumptions!$B22</f>
        <v>0</v>
      </c>
      <c r="U14" s="51">
        <f>T14*Assumptions!$D5</f>
        <v>0</v>
      </c>
      <c r="V14" s="39"/>
      <c r="W14" s="35">
        <v>0</v>
      </c>
      <c r="X14" s="51">
        <v>0</v>
      </c>
      <c r="Y14" s="51">
        <v>0</v>
      </c>
      <c r="Z14" s="51">
        <v>0</v>
      </c>
      <c r="AA14" s="39"/>
      <c r="AB14" s="35">
        <v>0</v>
      </c>
      <c r="AC14" s="51">
        <v>0</v>
      </c>
      <c r="AD14" s="51">
        <f>AC14*Assumptions!$B22</f>
        <v>0</v>
      </c>
      <c r="AE14" s="51">
        <f>AD14*Assumptions!$D5</f>
        <v>0</v>
      </c>
      <c r="AF14" s="39"/>
      <c r="AG14" s="35">
        <v>0</v>
      </c>
      <c r="AH14" s="51">
        <v>0</v>
      </c>
      <c r="AI14" s="51">
        <f>AH14*Assumptions!$B22</f>
        <v>0</v>
      </c>
      <c r="AJ14" s="51">
        <f>AI14*Assumptions!$D5</f>
        <v>0</v>
      </c>
      <c r="AK14" s="39"/>
      <c r="AL14" s="35">
        <v>0</v>
      </c>
      <c r="AM14" s="51">
        <v>0</v>
      </c>
      <c r="AN14" s="51">
        <f>AM14*Assumptions!$B22</f>
        <v>0</v>
      </c>
      <c r="AO14" s="51">
        <f>AN14*Assumptions!$D5</f>
        <v>0</v>
      </c>
      <c r="AP14" s="39"/>
      <c r="AQ14" s="35">
        <v>0</v>
      </c>
      <c r="AR14" s="51">
        <v>0</v>
      </c>
      <c r="AS14" s="51">
        <f>AR14*Assumptions!$B22</f>
        <v>0</v>
      </c>
      <c r="AT14" s="51">
        <f>AS14*Assumptions!$D5</f>
        <v>0</v>
      </c>
      <c r="AU14" s="39"/>
      <c r="AV14" s="35">
        <v>0</v>
      </c>
      <c r="AW14" s="51">
        <v>0</v>
      </c>
      <c r="AX14" s="51">
        <f>AW14*Assumptions!$B22</f>
        <v>0</v>
      </c>
      <c r="AY14" s="51">
        <f>AX14*Assumptions!$D5</f>
        <v>0</v>
      </c>
      <c r="AZ14" s="39"/>
      <c r="BA14" s="35" t="s">
        <v>68</v>
      </c>
      <c r="BB14" s="51">
        <v>3</v>
      </c>
      <c r="BC14" s="51">
        <f>BB14*Assumptions!$B23</f>
        <v>90</v>
      </c>
      <c r="BD14" s="51">
        <f>BC14*Assumptions!$D5</f>
        <v>173637</v>
      </c>
    </row>
    <row r="15" spans="1:57" x14ac:dyDescent="0.25">
      <c r="A15" t="s">
        <v>4</v>
      </c>
      <c r="C15" s="35">
        <v>300</v>
      </c>
      <c r="D15" s="51">
        <v>300</v>
      </c>
      <c r="E15" s="51">
        <f>D15*Assumptions!$B18</f>
        <v>90</v>
      </c>
      <c r="F15" s="51">
        <f>D15*Assumptions!$D18</f>
        <v>195300</v>
      </c>
      <c r="G15" s="39"/>
      <c r="H15" s="35">
        <v>0</v>
      </c>
      <c r="I15" s="51">
        <v>0</v>
      </c>
      <c r="J15" s="51">
        <f>I15*Assumptions!$B18</f>
        <v>0</v>
      </c>
      <c r="K15" s="51">
        <f>I15*Assumptions!$D18</f>
        <v>0</v>
      </c>
      <c r="L15" s="39"/>
      <c r="M15" s="35">
        <v>150</v>
      </c>
      <c r="N15" s="51">
        <v>150</v>
      </c>
      <c r="O15" s="51">
        <f>N15*Assumptions!$B18</f>
        <v>45</v>
      </c>
      <c r="P15" s="51">
        <f>N15*Assumptions!$D18</f>
        <v>97650</v>
      </c>
      <c r="Q15" s="39"/>
      <c r="R15" s="35">
        <v>400</v>
      </c>
      <c r="S15" s="51">
        <v>400</v>
      </c>
      <c r="T15" s="51">
        <f>S15*Assumptions!$B18</f>
        <v>120</v>
      </c>
      <c r="U15" s="51">
        <f>S15*Assumptions!$D18</f>
        <v>260400</v>
      </c>
      <c r="V15" s="39"/>
      <c r="W15" s="35">
        <v>300</v>
      </c>
      <c r="X15" s="51">
        <v>300</v>
      </c>
      <c r="Y15" s="51">
        <f>X15*Assumptions!$B18</f>
        <v>90</v>
      </c>
      <c r="Z15" s="51">
        <f>X15*Assumptions!$D18</f>
        <v>195300</v>
      </c>
      <c r="AA15" s="39"/>
      <c r="AB15" s="35">
        <v>200</v>
      </c>
      <c r="AC15" s="51">
        <v>200</v>
      </c>
      <c r="AD15" s="51">
        <f>AC15*Assumptions!$B18</f>
        <v>60</v>
      </c>
      <c r="AE15" s="51">
        <f>AC15*Assumptions!$D18</f>
        <v>130200</v>
      </c>
      <c r="AF15" s="39"/>
      <c r="AG15" s="35">
        <v>240</v>
      </c>
      <c r="AH15" s="51">
        <v>240</v>
      </c>
      <c r="AI15" s="51">
        <f>AH15*Assumptions!$B18</f>
        <v>72</v>
      </c>
      <c r="AJ15" s="51">
        <f>AH15*Assumptions!$D18</f>
        <v>156240</v>
      </c>
      <c r="AK15" s="39"/>
      <c r="AL15" s="35">
        <v>240</v>
      </c>
      <c r="AM15" s="51">
        <v>240</v>
      </c>
      <c r="AN15" s="51">
        <f>AM15*Assumptions!$B18</f>
        <v>72</v>
      </c>
      <c r="AO15" s="51">
        <f>AM15*Assumptions!$D18</f>
        <v>156240</v>
      </c>
      <c r="AP15" s="39"/>
      <c r="AQ15" s="35">
        <v>120</v>
      </c>
      <c r="AR15" s="51">
        <v>120</v>
      </c>
      <c r="AS15" s="51">
        <f>AR15*Assumptions!$B18</f>
        <v>36</v>
      </c>
      <c r="AT15" s="51">
        <f>AR15*Assumptions!$D18</f>
        <v>78120</v>
      </c>
      <c r="AU15" s="39"/>
      <c r="AV15" s="35">
        <v>60</v>
      </c>
      <c r="AW15" s="51">
        <v>60</v>
      </c>
      <c r="AX15" s="51">
        <f>AW15*Assumptions!$B18</f>
        <v>18</v>
      </c>
      <c r="AY15" s="51">
        <f>AW15*Assumptions!$D18</f>
        <v>39060</v>
      </c>
      <c r="AZ15" s="39"/>
      <c r="BA15" s="35">
        <v>0</v>
      </c>
      <c r="BB15" s="51">
        <v>0</v>
      </c>
      <c r="BC15" s="51">
        <f>BB15*Assumptions!$B18</f>
        <v>0</v>
      </c>
      <c r="BD15" s="51">
        <f>BB15*Assumptions!$D18</f>
        <v>0</v>
      </c>
    </row>
    <row r="16" spans="1:57" ht="15.75" customHeight="1" x14ac:dyDescent="0.25">
      <c r="A16" t="s">
        <v>52</v>
      </c>
      <c r="C16" s="35" t="s">
        <v>89</v>
      </c>
      <c r="D16" s="51">
        <v>42</v>
      </c>
      <c r="E16" s="51">
        <f>D16*Assumptions!$B22</f>
        <v>630</v>
      </c>
      <c r="F16" s="51">
        <f>E16*Assumptions!$D3</f>
        <v>189000</v>
      </c>
      <c r="G16" s="39"/>
      <c r="H16" s="35" t="s">
        <v>105</v>
      </c>
      <c r="I16" s="51">
        <v>3</v>
      </c>
      <c r="J16" s="51">
        <v>300</v>
      </c>
      <c r="K16" s="51">
        <f>J16*Assumptions!$D3</f>
        <v>90000</v>
      </c>
      <c r="L16" s="39"/>
      <c r="M16" s="35" t="s">
        <v>53</v>
      </c>
      <c r="N16" s="51">
        <v>30</v>
      </c>
      <c r="O16" s="51">
        <f>N16*Assumptions!$B22</f>
        <v>450</v>
      </c>
      <c r="P16" s="51">
        <f>O16*Assumptions!$D3</f>
        <v>135000</v>
      </c>
      <c r="Q16" s="39"/>
      <c r="R16" s="35">
        <v>0</v>
      </c>
      <c r="S16" s="51">
        <v>0</v>
      </c>
      <c r="T16" s="51">
        <f>S16*Assumptions!$B22</f>
        <v>0</v>
      </c>
      <c r="U16" s="51">
        <f>T16*Assumptions!$D3</f>
        <v>0</v>
      </c>
      <c r="V16" s="39"/>
      <c r="W16" s="35" t="s">
        <v>53</v>
      </c>
      <c r="X16" s="51">
        <v>30</v>
      </c>
      <c r="Y16" s="51">
        <f>X16*Assumptions!$B22</f>
        <v>450</v>
      </c>
      <c r="Z16" s="51">
        <f>Y16*Assumptions!$D3</f>
        <v>135000</v>
      </c>
      <c r="AA16" s="39"/>
      <c r="AB16" s="35">
        <v>0</v>
      </c>
      <c r="AC16" s="51">
        <v>0</v>
      </c>
      <c r="AD16" s="51">
        <f>AC16*Assumptions!$B22</f>
        <v>0</v>
      </c>
      <c r="AE16" s="51">
        <f>AD16*Assumptions!$D3</f>
        <v>0</v>
      </c>
      <c r="AF16" s="39"/>
      <c r="AG16" s="35">
        <v>0</v>
      </c>
      <c r="AH16" s="51">
        <v>0</v>
      </c>
      <c r="AI16" s="51">
        <f>AH16*Assumptions!$B22</f>
        <v>0</v>
      </c>
      <c r="AJ16" s="51">
        <f>AI16*Assumptions!$D3</f>
        <v>0</v>
      </c>
      <c r="AK16" s="39"/>
      <c r="AL16" s="35">
        <v>0</v>
      </c>
      <c r="AM16" s="51">
        <v>0</v>
      </c>
      <c r="AN16" s="51">
        <f>AM16*Assumptions!$B22</f>
        <v>0</v>
      </c>
      <c r="AO16" s="51">
        <f>AN16*Assumptions!$D3</f>
        <v>0</v>
      </c>
      <c r="AP16" s="39"/>
      <c r="AQ16" s="35">
        <v>0</v>
      </c>
      <c r="AR16" s="51">
        <v>0</v>
      </c>
      <c r="AS16" s="51">
        <f>AR16*Assumptions!$B22</f>
        <v>0</v>
      </c>
      <c r="AT16" s="51">
        <f>AS16*Assumptions!$D3</f>
        <v>0</v>
      </c>
      <c r="AU16" s="39"/>
      <c r="AV16" s="35" t="s">
        <v>64</v>
      </c>
      <c r="AW16" s="51">
        <v>40</v>
      </c>
      <c r="AX16" s="51">
        <f>AW16*Assumptions!B21</f>
        <v>195.6</v>
      </c>
      <c r="AY16" s="51">
        <f>AX16*Assumptions!$D3</f>
        <v>58680</v>
      </c>
      <c r="AZ16" s="39"/>
      <c r="BA16" s="35">
        <v>0</v>
      </c>
      <c r="BB16" s="51">
        <v>0</v>
      </c>
      <c r="BC16" s="51">
        <f>BB16*Assumptions!E21</f>
        <v>0</v>
      </c>
      <c r="BD16" s="51">
        <f>BC16*Assumptions!$D3</f>
        <v>0</v>
      </c>
    </row>
    <row r="17" spans="1:56" x14ac:dyDescent="0.25">
      <c r="A17" t="s">
        <v>70</v>
      </c>
      <c r="C17" s="35">
        <v>0</v>
      </c>
      <c r="D17" s="51">
        <v>0</v>
      </c>
      <c r="E17" s="51">
        <v>0</v>
      </c>
      <c r="F17" s="51">
        <v>0</v>
      </c>
      <c r="G17" s="39"/>
      <c r="H17" s="35">
        <v>0</v>
      </c>
      <c r="I17" s="51">
        <v>0</v>
      </c>
      <c r="J17" s="51">
        <v>0</v>
      </c>
      <c r="K17" s="51">
        <v>0</v>
      </c>
      <c r="L17" s="39"/>
      <c r="M17" s="35">
        <v>0</v>
      </c>
      <c r="N17" s="51">
        <v>0</v>
      </c>
      <c r="O17" s="51">
        <f>N17*Assumptions!$B22</f>
        <v>0</v>
      </c>
      <c r="P17" s="51">
        <f>O17*Assumptions!$D3</f>
        <v>0</v>
      </c>
      <c r="Q17" s="39"/>
      <c r="R17" s="35" t="s">
        <v>83</v>
      </c>
      <c r="S17" s="51">
        <v>56</v>
      </c>
      <c r="T17" s="51">
        <f>S17*Assumptions!$B22</f>
        <v>840</v>
      </c>
      <c r="U17" s="51">
        <f>T17*Assumptions!$D3</f>
        <v>252000</v>
      </c>
      <c r="V17" s="39"/>
      <c r="W17" s="35">
        <v>0</v>
      </c>
      <c r="X17" s="51">
        <v>0</v>
      </c>
      <c r="Y17" s="51">
        <v>0</v>
      </c>
      <c r="Z17" s="51">
        <v>0</v>
      </c>
      <c r="AA17" s="39"/>
      <c r="AB17" s="35" t="s">
        <v>57</v>
      </c>
      <c r="AC17" s="51">
        <v>60</v>
      </c>
      <c r="AD17" s="51">
        <f>AC17*Assumptions!$B22</f>
        <v>900</v>
      </c>
      <c r="AE17" s="51">
        <f>AD17*Assumptions!$D3</f>
        <v>270000</v>
      </c>
      <c r="AF17" s="39"/>
      <c r="AG17" s="35" t="s">
        <v>56</v>
      </c>
      <c r="AH17" s="51">
        <v>40</v>
      </c>
      <c r="AI17" s="51">
        <f>AH17*Assumptions!$B22</f>
        <v>600</v>
      </c>
      <c r="AJ17" s="51">
        <f>AI17*Assumptions!$D3</f>
        <v>180000</v>
      </c>
      <c r="AK17" s="39"/>
      <c r="AL17" s="35" t="s">
        <v>56</v>
      </c>
      <c r="AM17" s="51">
        <v>40</v>
      </c>
      <c r="AN17" s="51">
        <f>AM17*Assumptions!$B22</f>
        <v>600</v>
      </c>
      <c r="AO17" s="51">
        <f>AN17*Assumptions!$D3</f>
        <v>180000</v>
      </c>
      <c r="AP17" s="39"/>
      <c r="AQ17" s="35" t="s">
        <v>59</v>
      </c>
      <c r="AR17" s="51">
        <v>30</v>
      </c>
      <c r="AS17" s="51">
        <f>AR17*Assumptions!$B22</f>
        <v>450</v>
      </c>
      <c r="AT17" s="51">
        <f>AS17*Assumptions!$D3</f>
        <v>135000</v>
      </c>
      <c r="AU17" s="39"/>
      <c r="AV17" s="35">
        <v>0</v>
      </c>
      <c r="AW17" s="51">
        <v>0</v>
      </c>
      <c r="AX17" s="51">
        <f>AW17*Assumptions!$B22</f>
        <v>0</v>
      </c>
      <c r="AY17" s="51">
        <f>AX17*Assumptions!$D3</f>
        <v>0</v>
      </c>
      <c r="AZ17" s="39"/>
      <c r="BA17" s="35" t="s">
        <v>67</v>
      </c>
      <c r="BB17" s="51">
        <v>16</v>
      </c>
      <c r="BC17" s="51">
        <f>BB17*Assumptions!$B23</f>
        <v>480</v>
      </c>
      <c r="BD17" s="51">
        <f>BC17*Assumptions!$D3</f>
        <v>144000</v>
      </c>
    </row>
    <row r="18" spans="1:56" x14ac:dyDescent="0.25">
      <c r="A18" t="s">
        <v>6</v>
      </c>
      <c r="C18" s="35" t="s">
        <v>91</v>
      </c>
      <c r="D18" s="51">
        <v>10</v>
      </c>
      <c r="E18" s="51">
        <f>D18*Assumptions!B26</f>
        <v>42</v>
      </c>
      <c r="F18" s="51">
        <f>E18*Assumptions!$D2</f>
        <v>172972.79999999999</v>
      </c>
      <c r="G18" s="39"/>
      <c r="H18" s="35">
        <v>0</v>
      </c>
      <c r="I18" s="51">
        <v>0</v>
      </c>
      <c r="J18" s="51">
        <f>I18*Assumptions!E26</f>
        <v>0</v>
      </c>
      <c r="K18" s="51">
        <f>J18*Assumptions!$D2</f>
        <v>0</v>
      </c>
      <c r="L18" s="39"/>
      <c r="M18" s="35" t="s">
        <v>63</v>
      </c>
      <c r="N18" s="51">
        <v>1</v>
      </c>
      <c r="O18" s="51">
        <f>N18*Assumptions!$B23</f>
        <v>30</v>
      </c>
      <c r="P18" s="51">
        <f>O18*Assumptions!$D2</f>
        <v>123551.99999999999</v>
      </c>
      <c r="Q18" s="39"/>
      <c r="R18" s="35">
        <v>0</v>
      </c>
      <c r="S18" s="51">
        <v>0</v>
      </c>
      <c r="T18" s="51">
        <f>S18*Assumptions!$B21</f>
        <v>0</v>
      </c>
      <c r="U18" s="51">
        <f>T18*Assumptions!$D2</f>
        <v>0</v>
      </c>
      <c r="V18" s="39"/>
      <c r="W18" s="35" t="s">
        <v>54</v>
      </c>
      <c r="X18" s="51">
        <v>1</v>
      </c>
      <c r="Y18" s="51">
        <f>X18*Assumptions!$B21</f>
        <v>4.8899999999999997</v>
      </c>
      <c r="Z18" s="51">
        <f>Y18*Assumptions!$D2</f>
        <v>20138.975999999995</v>
      </c>
      <c r="AA18" s="39"/>
      <c r="AB18" s="35" t="s">
        <v>85</v>
      </c>
      <c r="AC18" s="51">
        <v>1</v>
      </c>
      <c r="AD18" s="51">
        <f>AC18*Assumptions!$B23</f>
        <v>30</v>
      </c>
      <c r="AE18" s="51">
        <f>AD18*Assumptions!$D2</f>
        <v>123551.99999999999</v>
      </c>
      <c r="AF18" s="39"/>
      <c r="AG18" s="35">
        <v>0</v>
      </c>
      <c r="AH18" s="51">
        <v>0</v>
      </c>
      <c r="AI18" s="51">
        <f>AH18*Assumptions!$B21</f>
        <v>0</v>
      </c>
      <c r="AJ18" s="51">
        <f>AI18*Assumptions!$D2</f>
        <v>0</v>
      </c>
      <c r="AK18" s="39"/>
      <c r="AL18" s="35">
        <v>0</v>
      </c>
      <c r="AM18" s="51">
        <v>0</v>
      </c>
      <c r="AN18" s="51">
        <f>AM18*Assumptions!E23</f>
        <v>0</v>
      </c>
      <c r="AO18" s="51">
        <f>AN18*Assumptions!$D2</f>
        <v>0</v>
      </c>
      <c r="AP18" s="39"/>
      <c r="AQ18" s="35" t="s">
        <v>54</v>
      </c>
      <c r="AR18" s="51">
        <v>1</v>
      </c>
      <c r="AS18" s="51">
        <f>AR18*Assumptions!$B21</f>
        <v>4.8899999999999997</v>
      </c>
      <c r="AT18" s="51">
        <f>AS18*Assumptions!$D2</f>
        <v>20138.975999999995</v>
      </c>
      <c r="AU18" s="39"/>
      <c r="AV18" s="35">
        <v>0</v>
      </c>
      <c r="AW18" s="51">
        <v>0</v>
      </c>
      <c r="AX18" s="51">
        <f>AW18*Assumptions!$B23</f>
        <v>0</v>
      </c>
      <c r="AY18" s="51">
        <f>AX18*Assumptions!$D2</f>
        <v>0</v>
      </c>
      <c r="AZ18" s="39"/>
      <c r="BA18" s="35" t="s">
        <v>54</v>
      </c>
      <c r="BB18" s="51">
        <v>1</v>
      </c>
      <c r="BC18" s="51">
        <f>BB18*Assumptions!$B21</f>
        <v>4.8899999999999997</v>
      </c>
      <c r="BD18" s="51">
        <f>BC18*Assumptions!$D2</f>
        <v>20138.975999999995</v>
      </c>
    </row>
    <row r="19" spans="1:56" x14ac:dyDescent="0.25">
      <c r="H19" s="32"/>
      <c r="M19" s="32"/>
      <c r="R19" s="32"/>
      <c r="W19" s="32"/>
      <c r="AB19" s="32"/>
      <c r="AG19" s="32"/>
      <c r="AL19" s="32"/>
      <c r="AQ19" s="32"/>
      <c r="AV19" s="32"/>
      <c r="BA19" s="32"/>
    </row>
    <row r="20" spans="1:56" x14ac:dyDescent="0.25">
      <c r="C20" s="34" t="s">
        <v>78</v>
      </c>
      <c r="D20" s="36">
        <f>SUM(F3:F18)</f>
        <v>1241946.05</v>
      </c>
      <c r="H20" s="34" t="s">
        <v>78</v>
      </c>
      <c r="I20" s="36">
        <f>SUM(K3:K18)</f>
        <v>3170929</v>
      </c>
      <c r="M20" s="35" t="s">
        <v>78</v>
      </c>
      <c r="N20" s="36">
        <f>SUM(P3:P18)</f>
        <v>753594.6</v>
      </c>
      <c r="R20" s="35" t="s">
        <v>78</v>
      </c>
      <c r="S20" s="36">
        <f>SUM(U3:U18)</f>
        <v>1199818</v>
      </c>
      <c r="W20" s="35" t="s">
        <v>78</v>
      </c>
      <c r="X20" s="36">
        <f>SUM(Z3:Z18)</f>
        <v>921367.81200000003</v>
      </c>
      <c r="AB20" s="35" t="s">
        <v>78</v>
      </c>
      <c r="AC20" s="36">
        <f>SUM(AE3:AE18)</f>
        <v>1136510</v>
      </c>
      <c r="AG20" s="35" t="s">
        <v>78</v>
      </c>
      <c r="AH20" s="36">
        <f>SUM(AJ3:AJ18)</f>
        <v>813248</v>
      </c>
      <c r="AL20" s="35" t="s">
        <v>78</v>
      </c>
      <c r="AM20" s="36">
        <f>SUM(AO3:AO18)</f>
        <v>741758</v>
      </c>
      <c r="AQ20" s="35" t="s">
        <v>78</v>
      </c>
      <c r="AR20" s="36">
        <f>SUM(AT3:AT18)</f>
        <v>416953.97600000002</v>
      </c>
      <c r="AV20" s="35" t="s">
        <v>78</v>
      </c>
      <c r="AW20" s="36">
        <f>SUM(AY3:AY18)</f>
        <v>234322.5</v>
      </c>
      <c r="BA20" s="35" t="s">
        <v>78</v>
      </c>
      <c r="BB20" s="36">
        <f>SUM(BD3:BD18)</f>
        <v>1006467.976</v>
      </c>
    </row>
    <row r="21" spans="1:56" x14ac:dyDescent="0.25">
      <c r="C21" s="35" t="s">
        <v>79</v>
      </c>
      <c r="D21" s="36">
        <f>SUM(F3:F12)</f>
        <v>684673.25</v>
      </c>
      <c r="H21" s="35" t="s">
        <v>79</v>
      </c>
      <c r="I21" s="36">
        <f>SUM(K3:K12)</f>
        <v>1795576</v>
      </c>
      <c r="M21" s="35" t="s">
        <v>79</v>
      </c>
      <c r="N21" s="36">
        <f>SUM(P3:P12)</f>
        <v>397392.6</v>
      </c>
      <c r="R21" s="35" t="s">
        <v>79</v>
      </c>
      <c r="S21" s="36">
        <f>SUM(U3:U12)</f>
        <v>687418</v>
      </c>
      <c r="W21" s="35" t="s">
        <v>79</v>
      </c>
      <c r="X21" s="36">
        <f>SUM(Z3:Z12)</f>
        <v>570928.83600000001</v>
      </c>
      <c r="AB21" s="35" t="s">
        <v>79</v>
      </c>
      <c r="AC21" s="36">
        <f>SUM(AE3:AE12)</f>
        <v>612758</v>
      </c>
      <c r="AG21" s="35" t="s">
        <v>79</v>
      </c>
      <c r="AH21" s="36">
        <f>SUM(AJ3:AJ12)</f>
        <v>477008</v>
      </c>
      <c r="AL21" s="35" t="s">
        <v>79</v>
      </c>
      <c r="AM21" s="36">
        <f>SUM(AO3:AO12)</f>
        <v>405518</v>
      </c>
      <c r="AQ21" s="35" t="s">
        <v>79</v>
      </c>
      <c r="AR21" s="36">
        <f>SUM(AT3:AT12)</f>
        <v>183695</v>
      </c>
      <c r="AV21" s="35" t="s">
        <v>79</v>
      </c>
      <c r="AW21" s="36">
        <f>SUM(AY3:AY12)</f>
        <v>136582.5</v>
      </c>
      <c r="BA21" s="35" t="s">
        <v>79</v>
      </c>
      <c r="BB21" s="36">
        <f>SUM(BD3:BD12)</f>
        <v>668692</v>
      </c>
    </row>
    <row r="22" spans="1:56" x14ac:dyDescent="0.25">
      <c r="C22" s="35" t="s">
        <v>80</v>
      </c>
      <c r="D22" s="40">
        <f>D21/D20</f>
        <v>0.5512906538895147</v>
      </c>
      <c r="H22" s="35" t="s">
        <v>80</v>
      </c>
      <c r="I22" s="40">
        <f>I21/I20</f>
        <v>0.56626181160158429</v>
      </c>
      <c r="M22" s="35" t="s">
        <v>80</v>
      </c>
      <c r="N22" s="40">
        <f>N21/N20</f>
        <v>0.5273294155770224</v>
      </c>
      <c r="R22" s="35" t="s">
        <v>80</v>
      </c>
      <c r="S22" s="40">
        <f>S21/S20</f>
        <v>0.57293522850965728</v>
      </c>
      <c r="W22" s="35" t="s">
        <v>80</v>
      </c>
      <c r="X22" s="40">
        <f>X21/X20</f>
        <v>0.61965355047588744</v>
      </c>
      <c r="AB22" s="35" t="s">
        <v>80</v>
      </c>
      <c r="AC22" s="40">
        <f>AC21/AC20</f>
        <v>0.53915759650157058</v>
      </c>
      <c r="AG22" s="35" t="s">
        <v>80</v>
      </c>
      <c r="AH22" s="40">
        <f>AH21/AH20</f>
        <v>0.58654678523648385</v>
      </c>
      <c r="AL22" s="35" t="s">
        <v>80</v>
      </c>
      <c r="AM22" s="40">
        <f>AM21/AM20</f>
        <v>0.54669851892396171</v>
      </c>
      <c r="AQ22" s="35" t="s">
        <v>80</v>
      </c>
      <c r="AR22" s="40">
        <f>AR21/AR20</f>
        <v>0.44056421229569948</v>
      </c>
      <c r="AV22" s="35" t="s">
        <v>80</v>
      </c>
      <c r="AW22" s="40">
        <f>AW21/AW20</f>
        <v>0.58288256569471564</v>
      </c>
      <c r="BA22" s="35" t="s">
        <v>80</v>
      </c>
      <c r="BB22" s="40">
        <f>BB21/BB20</f>
        <v>0.66439471095501601</v>
      </c>
    </row>
    <row r="23" spans="1:56" x14ac:dyDescent="0.25">
      <c r="C23" s="35" t="s">
        <v>73</v>
      </c>
      <c r="D23" s="34">
        <f>D15</f>
        <v>300</v>
      </c>
      <c r="H23" s="35" t="s">
        <v>73</v>
      </c>
      <c r="I23" s="42">
        <f>K14/Assumptions!$D18</f>
        <v>177.81566820276498</v>
      </c>
      <c r="M23" s="35" t="s">
        <v>73</v>
      </c>
      <c r="N23" s="34">
        <f>N15</f>
        <v>150</v>
      </c>
      <c r="R23" s="35" t="s">
        <v>73</v>
      </c>
      <c r="S23" s="34">
        <f>S15</f>
        <v>400</v>
      </c>
      <c r="W23" s="35" t="s">
        <v>73</v>
      </c>
      <c r="X23" s="34">
        <f>X15+Y14</f>
        <v>300</v>
      </c>
      <c r="AB23" s="35" t="s">
        <v>73</v>
      </c>
      <c r="AC23" s="34">
        <f>AC15</f>
        <v>200</v>
      </c>
      <c r="AG23" s="35" t="s">
        <v>73</v>
      </c>
      <c r="AH23" s="34">
        <f>AH15</f>
        <v>240</v>
      </c>
      <c r="AL23" s="35" t="s">
        <v>73</v>
      </c>
      <c r="AM23" s="34">
        <f>AM15</f>
        <v>240</v>
      </c>
      <c r="AQ23" s="35" t="s">
        <v>73</v>
      </c>
      <c r="AR23" s="34">
        <f>AR15</f>
        <v>120</v>
      </c>
      <c r="AV23" s="35" t="s">
        <v>73</v>
      </c>
      <c r="AW23" s="34">
        <f>AW15</f>
        <v>60</v>
      </c>
      <c r="BA23" s="35" t="s">
        <v>73</v>
      </c>
      <c r="BB23" s="42">
        <f>BD14/Assumptions!$D18</f>
        <v>266.72350230414747</v>
      </c>
    </row>
    <row r="24" spans="1:56" x14ac:dyDescent="0.25">
      <c r="C24" s="35" t="s">
        <v>86</v>
      </c>
      <c r="D24" s="36">
        <f>D20/D23</f>
        <v>4139.8201666666664</v>
      </c>
      <c r="H24" s="35" t="s">
        <v>86</v>
      </c>
      <c r="I24" s="36">
        <f>I20/I23</f>
        <v>17832.674882081585</v>
      </c>
      <c r="M24" s="35" t="s">
        <v>86</v>
      </c>
      <c r="N24" s="36">
        <f>N20/N23</f>
        <v>5023.9639999999999</v>
      </c>
      <c r="R24" s="35" t="s">
        <v>86</v>
      </c>
      <c r="S24" s="36">
        <f>S20/S23</f>
        <v>2999.5450000000001</v>
      </c>
      <c r="W24" s="35" t="s">
        <v>86</v>
      </c>
      <c r="X24" s="36">
        <f>X20/X23</f>
        <v>3071.22604</v>
      </c>
      <c r="AB24" s="35" t="s">
        <v>86</v>
      </c>
      <c r="AC24" s="36">
        <f>AC20/AC23</f>
        <v>5682.55</v>
      </c>
      <c r="AG24" s="35" t="s">
        <v>86</v>
      </c>
      <c r="AH24" s="36">
        <f>AH20/AH23</f>
        <v>3388.5333333333333</v>
      </c>
      <c r="AL24" s="35" t="s">
        <v>86</v>
      </c>
      <c r="AM24" s="36">
        <f>AM20/AM23</f>
        <v>3090.6583333333333</v>
      </c>
      <c r="AQ24" s="35" t="s">
        <v>86</v>
      </c>
      <c r="AR24" s="36">
        <f>AR20/AR23</f>
        <v>3474.6164666666668</v>
      </c>
      <c r="AV24" s="35" t="s">
        <v>86</v>
      </c>
      <c r="AW24" s="36">
        <f>AW20/AW23</f>
        <v>3905.375</v>
      </c>
      <c r="BA24" s="35" t="s">
        <v>86</v>
      </c>
      <c r="BB24" s="36">
        <f>BB20/BB23</f>
        <v>3773.4506607232329</v>
      </c>
    </row>
    <row r="25" spans="1:56" x14ac:dyDescent="0.25">
      <c r="C25" s="35" t="s">
        <v>82</v>
      </c>
      <c r="D25" s="34">
        <f>E16/D23</f>
        <v>2.1</v>
      </c>
      <c r="H25" s="35" t="s">
        <v>82</v>
      </c>
      <c r="I25" s="43">
        <f>J16/I23</f>
        <v>1.6871404136215207</v>
      </c>
      <c r="M25" s="35" t="s">
        <v>82</v>
      </c>
      <c r="N25" s="34">
        <f>(O16+O17)/N23</f>
        <v>3</v>
      </c>
      <c r="R25" s="35" t="s">
        <v>82</v>
      </c>
      <c r="S25" s="34">
        <f>(T16+T17)/S23</f>
        <v>2.1</v>
      </c>
      <c r="W25" s="35" t="s">
        <v>82</v>
      </c>
      <c r="X25" s="34">
        <f>Y16/X23</f>
        <v>1.5</v>
      </c>
      <c r="AB25" s="35" t="s">
        <v>82</v>
      </c>
      <c r="AC25" s="34">
        <f>(AD16+AD17)/AC23</f>
        <v>4.5</v>
      </c>
      <c r="AG25" s="35" t="s">
        <v>82</v>
      </c>
      <c r="AH25" s="34">
        <f>(AI16+AI17)/AH23</f>
        <v>2.5</v>
      </c>
      <c r="AL25" s="35" t="s">
        <v>82</v>
      </c>
      <c r="AM25" s="34">
        <f>(AN16+AN17)/AM23</f>
        <v>2.5</v>
      </c>
      <c r="AQ25" s="35" t="s">
        <v>82</v>
      </c>
      <c r="AR25" s="34">
        <f>(AS16+AS17)/AR23</f>
        <v>3.75</v>
      </c>
      <c r="AV25" s="35" t="s">
        <v>82</v>
      </c>
      <c r="AW25" s="34">
        <f>(AX16+AX17)/AW23</f>
        <v>3.26</v>
      </c>
      <c r="BA25" s="35" t="s">
        <v>82</v>
      </c>
      <c r="BB25" s="44">
        <f>(BC16+BC17)/BB23</f>
        <v>1.7996164411962887</v>
      </c>
    </row>
    <row r="26" spans="1:56" x14ac:dyDescent="0.25">
      <c r="C26" s="35" t="s">
        <v>81</v>
      </c>
      <c r="D26" s="43">
        <f>SUM(E3:E10)/D23</f>
        <v>1.0569166666666667</v>
      </c>
      <c r="H26" s="35" t="s">
        <v>81</v>
      </c>
      <c r="I26" s="43">
        <f>SUM(J3:J10)/I23</f>
        <v>4.6913751101435759</v>
      </c>
      <c r="M26" s="35" t="s">
        <v>81</v>
      </c>
      <c r="N26" s="43">
        <f>SUM(O3:O10)/N23</f>
        <v>1.6006666666666669</v>
      </c>
      <c r="R26" s="35" t="s">
        <v>81</v>
      </c>
      <c r="S26" s="43">
        <f>SUM(T3:T10)/S23</f>
        <v>0.54799999999999993</v>
      </c>
      <c r="W26" s="35" t="s">
        <v>81</v>
      </c>
      <c r="X26" s="43">
        <f>SUM(Y3:Y10)/X23</f>
        <v>0.86349999999999982</v>
      </c>
      <c r="AB26" s="35" t="s">
        <v>81</v>
      </c>
      <c r="AC26" s="43">
        <f>SUM(AD3:AD10)/AC23</f>
        <v>1.3197500000000002</v>
      </c>
      <c r="AG26" s="35" t="s">
        <v>81</v>
      </c>
      <c r="AH26" s="43">
        <f>SUM(AI3:AI10)/AH23</f>
        <v>0.90750000000000008</v>
      </c>
      <c r="AL26" s="35" t="s">
        <v>81</v>
      </c>
      <c r="AM26" s="43">
        <f>SUM(AN3:AN10)/AM23</f>
        <v>0.78250000000000008</v>
      </c>
      <c r="AQ26" s="35" t="s">
        <v>81</v>
      </c>
      <c r="AR26" s="43">
        <f>SUM(AS3:AS10)/AR23</f>
        <v>0.56499999999999995</v>
      </c>
      <c r="AV26" s="35" t="s">
        <v>81</v>
      </c>
      <c r="AW26" s="43">
        <f>SUM(AX3:AX10)/AW23</f>
        <v>1.2224999999999999</v>
      </c>
      <c r="BA26" s="35" t="s">
        <v>81</v>
      </c>
      <c r="BB26" s="43">
        <f>SUM(BC3:BC10)/BB23</f>
        <v>0.66473332296687915</v>
      </c>
    </row>
    <row r="27" spans="1:56" x14ac:dyDescent="0.25">
      <c r="C27" s="41" t="s">
        <v>87</v>
      </c>
      <c r="D27" s="43">
        <f>SUM(E3:E12)/D23</f>
        <v>1.2069166666666666</v>
      </c>
      <c r="H27" s="41" t="s">
        <v>87</v>
      </c>
      <c r="I27" s="43">
        <f>SUM(J3:J12)/I23</f>
        <v>5.3662312755921837</v>
      </c>
      <c r="M27" s="41" t="s">
        <v>87</v>
      </c>
      <c r="N27" s="43">
        <f>SUM(O3:O12)/N23</f>
        <v>1.6224000000000001</v>
      </c>
      <c r="R27" s="41" t="s">
        <v>87</v>
      </c>
      <c r="S27" s="43">
        <f>SUM(T3:T12)/S23</f>
        <v>0.66049999999999998</v>
      </c>
      <c r="W27" s="41" t="s">
        <v>87</v>
      </c>
      <c r="X27" s="43">
        <f>SUM(Y3:Y12)/X23</f>
        <v>0.92979999999999985</v>
      </c>
      <c r="AB27" s="41" t="s">
        <v>87</v>
      </c>
      <c r="AC27" s="43">
        <f>SUM(AD3:AD12)/AC23</f>
        <v>1.4697500000000003</v>
      </c>
      <c r="AG27" s="41" t="s">
        <v>87</v>
      </c>
      <c r="AH27" s="43">
        <f>SUM(AI3:AI12)/AH23</f>
        <v>0.97000000000000008</v>
      </c>
      <c r="AL27" s="41" t="s">
        <v>87</v>
      </c>
      <c r="AM27" s="43">
        <f>SUM(AN3:AN12)/AM23</f>
        <v>0.84500000000000008</v>
      </c>
      <c r="AQ27" s="41" t="s">
        <v>87</v>
      </c>
      <c r="AR27" s="43">
        <f>SUM(AS3:AS12)/AR23</f>
        <v>0.69</v>
      </c>
      <c r="AV27" s="41" t="s">
        <v>87</v>
      </c>
      <c r="AW27" s="43">
        <f>SUM(AX3:AX12)/AW23</f>
        <v>1.3225</v>
      </c>
      <c r="BA27" s="41" t="s">
        <v>87</v>
      </c>
      <c r="BB27" s="43">
        <f>SUM(BC3:BC12)/BB23</f>
        <v>1.0021614056911832</v>
      </c>
    </row>
    <row r="28" spans="1:56" x14ac:dyDescent="0.25">
      <c r="R28" s="32"/>
      <c r="AJ28" s="32"/>
    </row>
    <row r="29" spans="1:56" x14ac:dyDescent="0.25">
      <c r="R29" s="32"/>
    </row>
    <row r="38" spans="8:9" x14ac:dyDescent="0.25">
      <c r="H38" s="2"/>
      <c r="I38" s="37"/>
    </row>
    <row r="39" spans="8:9" x14ac:dyDescent="0.25">
      <c r="H39" s="2"/>
      <c r="I39" s="37"/>
    </row>
    <row r="40" spans="8:9" x14ac:dyDescent="0.25">
      <c r="H40" s="2"/>
      <c r="I40" s="37"/>
    </row>
    <row r="41" spans="8:9" x14ac:dyDescent="0.25">
      <c r="I41" s="37"/>
    </row>
    <row r="42" spans="8:9" x14ac:dyDescent="0.25">
      <c r="I42" s="37"/>
    </row>
    <row r="43" spans="8:9" x14ac:dyDescent="0.25">
      <c r="I43" s="37"/>
    </row>
    <row r="44" spans="8:9" x14ac:dyDescent="0.25">
      <c r="H44" s="4"/>
      <c r="I44" s="37"/>
    </row>
    <row r="45" spans="8:9" x14ac:dyDescent="0.25">
      <c r="H45" s="4"/>
      <c r="I45" s="37"/>
    </row>
  </sheetData>
  <mergeCells count="11">
    <mergeCell ref="C1:F1"/>
    <mergeCell ref="H1:K1"/>
    <mergeCell ref="M1:P1"/>
    <mergeCell ref="AV1:AY1"/>
    <mergeCell ref="BA1:BD1"/>
    <mergeCell ref="R1:U1"/>
    <mergeCell ref="AL1:AO1"/>
    <mergeCell ref="AG1:AJ1"/>
    <mergeCell ref="AB1:AE1"/>
    <mergeCell ref="W1:Z1"/>
    <mergeCell ref="AQ1:A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</vt:lpstr>
      <vt:lpstr>Ine 70.1, S 1188 and S 1506</vt:lpstr>
      <vt:lpstr>New wide comparison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revision/>
  <dcterms:created xsi:type="dcterms:W3CDTF">2020-04-03T09:37:40Z</dcterms:created>
  <dcterms:modified xsi:type="dcterms:W3CDTF">2021-08-19T15:30:19Z</dcterms:modified>
  <cp:category/>
  <cp:contentStatus/>
</cp:coreProperties>
</file>