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Asus\Documents\Dropbox\Chrish Absell\Paper Reconstruction of foreign trade series\NEW SERIES\"/>
    </mc:Choice>
  </mc:AlternateContent>
  <bookViews>
    <workbookView xWindow="0" yWindow="465" windowWidth="33600" windowHeight="18945" tabRatio="928" activeTab="9"/>
  </bookViews>
  <sheets>
    <sheet name="Sterling" sheetId="1" r:id="rId1"/>
    <sheet name="Dollars" sheetId="2" r:id="rId2"/>
    <sheet name="Alternative series" sheetId="3" r:id="rId3"/>
    <sheet name="Trade balance" sheetId="5" r:id="rId4"/>
    <sheet name="Price indices" sheetId="4" r:id="rId5"/>
    <sheet name="Import prices" sheetId="7" r:id="rId6"/>
    <sheet name="Export prices" sheetId="9" r:id="rId7"/>
    <sheet name="Freights" sheetId="6" r:id="rId8"/>
    <sheet name="Trading partner sample" sheetId="10" r:id="rId9"/>
    <sheet name="Price comparison" sheetId="11" r:id="rId10"/>
  </sheets>
  <externalReferences>
    <externalReference r:id="rId11"/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5" l="1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D74" i="5"/>
  <c r="C74" i="5"/>
  <c r="D73" i="5"/>
  <c r="C73" i="5"/>
  <c r="D72" i="5"/>
  <c r="C72" i="5"/>
  <c r="D71" i="5"/>
  <c r="C71" i="5"/>
  <c r="D70" i="5"/>
  <c r="C70" i="5"/>
  <c r="D69" i="5"/>
  <c r="C69" i="5"/>
  <c r="D68" i="5"/>
  <c r="C68" i="5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D16" i="5"/>
  <c r="C16" i="5"/>
  <c r="D15" i="5"/>
  <c r="C15" i="5"/>
  <c r="D14" i="5"/>
  <c r="C14" i="5"/>
  <c r="D13" i="5"/>
  <c r="C13" i="5"/>
  <c r="D12" i="5"/>
  <c r="C12" i="5"/>
  <c r="D11" i="5"/>
  <c r="C11" i="5"/>
  <c r="D10" i="5"/>
  <c r="C10" i="5"/>
  <c r="D9" i="5"/>
  <c r="C9" i="5"/>
  <c r="D8" i="5"/>
  <c r="C8" i="5"/>
  <c r="D7" i="5"/>
  <c r="C7" i="5"/>
  <c r="D6" i="5"/>
  <c r="C6" i="5"/>
  <c r="D5" i="5"/>
  <c r="C5" i="5"/>
  <c r="D4" i="5"/>
  <c r="C4" i="5"/>
  <c r="H96" i="5" l="1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L96" i="2"/>
  <c r="M96" i="2"/>
  <c r="F96" i="2"/>
  <c r="B96" i="5" s="1"/>
  <c r="B96" i="2"/>
  <c r="L95" i="2"/>
  <c r="E95" i="5" s="1"/>
  <c r="M95" i="2"/>
  <c r="F95" i="2"/>
  <c r="B95" i="2"/>
  <c r="L94" i="2"/>
  <c r="M94" i="2"/>
  <c r="F94" i="2"/>
  <c r="B94" i="2"/>
  <c r="L93" i="2"/>
  <c r="E93" i="5" s="1"/>
  <c r="M93" i="2"/>
  <c r="F93" i="2"/>
  <c r="B93" i="2"/>
  <c r="L92" i="2"/>
  <c r="M92" i="2"/>
  <c r="F92" i="2"/>
  <c r="B92" i="2"/>
  <c r="L91" i="2"/>
  <c r="E91" i="5" s="1"/>
  <c r="M91" i="2"/>
  <c r="F91" i="2"/>
  <c r="B91" i="5" s="1"/>
  <c r="B91" i="2"/>
  <c r="L90" i="2"/>
  <c r="M90" i="2"/>
  <c r="F90" i="2"/>
  <c r="B90" i="2"/>
  <c r="L89" i="2"/>
  <c r="E89" i="5" s="1"/>
  <c r="M89" i="2"/>
  <c r="F89" i="2"/>
  <c r="B89" i="5" s="1"/>
  <c r="B89" i="2"/>
  <c r="L88" i="2"/>
  <c r="M88" i="2"/>
  <c r="F88" i="2"/>
  <c r="B88" i="5" s="1"/>
  <c r="B88" i="2"/>
  <c r="L87" i="2"/>
  <c r="E87" i="5" s="1"/>
  <c r="M87" i="2"/>
  <c r="F87" i="2"/>
  <c r="B87" i="5" s="1"/>
  <c r="B87" i="2"/>
  <c r="L86" i="2"/>
  <c r="M86" i="2"/>
  <c r="F86" i="2"/>
  <c r="B86" i="2"/>
  <c r="L85" i="2"/>
  <c r="E85" i="5" s="1"/>
  <c r="M85" i="2"/>
  <c r="F85" i="2"/>
  <c r="B85" i="2"/>
  <c r="L84" i="2"/>
  <c r="M84" i="2"/>
  <c r="F84" i="2"/>
  <c r="B84" i="2"/>
  <c r="L83" i="2"/>
  <c r="E83" i="5" s="1"/>
  <c r="M83" i="2"/>
  <c r="F83" i="2"/>
  <c r="B83" i="2"/>
  <c r="L82" i="2"/>
  <c r="M82" i="2"/>
  <c r="F82" i="2"/>
  <c r="B82" i="2"/>
  <c r="L81" i="2"/>
  <c r="E81" i="5" s="1"/>
  <c r="M81" i="2"/>
  <c r="F81" i="2"/>
  <c r="B81" i="5" s="1"/>
  <c r="B81" i="2"/>
  <c r="L80" i="2"/>
  <c r="M80" i="2"/>
  <c r="F80" i="2"/>
  <c r="B80" i="5" s="1"/>
  <c r="B80" i="2"/>
  <c r="L79" i="2"/>
  <c r="E79" i="5" s="1"/>
  <c r="M79" i="2"/>
  <c r="F79" i="2"/>
  <c r="B79" i="2"/>
  <c r="L78" i="2"/>
  <c r="M78" i="2"/>
  <c r="F78" i="2"/>
  <c r="B78" i="2"/>
  <c r="L77" i="2"/>
  <c r="E77" i="5" s="1"/>
  <c r="M77" i="2"/>
  <c r="F77" i="2"/>
  <c r="B77" i="2"/>
  <c r="L76" i="2"/>
  <c r="M76" i="2"/>
  <c r="F76" i="2"/>
  <c r="B76" i="2"/>
  <c r="L75" i="2"/>
  <c r="E75" i="5" s="1"/>
  <c r="M75" i="2"/>
  <c r="F75" i="2"/>
  <c r="B75" i="5" s="1"/>
  <c r="B75" i="2"/>
  <c r="L74" i="2"/>
  <c r="M74" i="2"/>
  <c r="F74" i="2"/>
  <c r="B74" i="2"/>
  <c r="L73" i="2"/>
  <c r="E73" i="5" s="1"/>
  <c r="M73" i="2"/>
  <c r="F73" i="2"/>
  <c r="B73" i="5" s="1"/>
  <c r="B73" i="2"/>
  <c r="L72" i="2"/>
  <c r="M72" i="2"/>
  <c r="F72" i="2"/>
  <c r="B72" i="2"/>
  <c r="L71" i="2"/>
  <c r="E71" i="5" s="1"/>
  <c r="M71" i="2"/>
  <c r="F71" i="2"/>
  <c r="B71" i="2"/>
  <c r="L70" i="2"/>
  <c r="E70" i="5" s="1"/>
  <c r="M70" i="2"/>
  <c r="F70" i="2"/>
  <c r="B70" i="5" s="1"/>
  <c r="B70" i="2"/>
  <c r="L69" i="2"/>
  <c r="E69" i="5" s="1"/>
  <c r="M69" i="2"/>
  <c r="F69" i="2"/>
  <c r="B69" i="2"/>
  <c r="L68" i="2"/>
  <c r="M68" i="2"/>
  <c r="F68" i="2"/>
  <c r="B68" i="5" s="1"/>
  <c r="B68" i="2"/>
  <c r="L67" i="2"/>
  <c r="E67" i="5" s="1"/>
  <c r="M67" i="2"/>
  <c r="F67" i="2"/>
  <c r="B67" i="2"/>
  <c r="L66" i="2"/>
  <c r="E66" i="5" s="1"/>
  <c r="M66" i="2"/>
  <c r="F66" i="2"/>
  <c r="B66" i="2"/>
  <c r="L65" i="2"/>
  <c r="E65" i="5" s="1"/>
  <c r="M65" i="2"/>
  <c r="F65" i="2"/>
  <c r="B65" i="5" s="1"/>
  <c r="B65" i="2"/>
  <c r="L64" i="2"/>
  <c r="M64" i="2"/>
  <c r="F64" i="2"/>
  <c r="B64" i="2"/>
  <c r="L63" i="2"/>
  <c r="E63" i="5" s="1"/>
  <c r="M63" i="2"/>
  <c r="F63" i="2"/>
  <c r="B63" i="2"/>
  <c r="L62" i="2"/>
  <c r="E62" i="5" s="1"/>
  <c r="M62" i="2"/>
  <c r="F62" i="2"/>
  <c r="B62" i="2"/>
  <c r="L61" i="2"/>
  <c r="E61" i="5" s="1"/>
  <c r="M61" i="2"/>
  <c r="F61" i="2"/>
  <c r="B61" i="2"/>
  <c r="L60" i="2"/>
  <c r="M60" i="2"/>
  <c r="F60" i="2"/>
  <c r="B60" i="2"/>
  <c r="L59" i="2"/>
  <c r="E59" i="5" s="1"/>
  <c r="M59" i="2"/>
  <c r="F59" i="2"/>
  <c r="B59" i="2"/>
  <c r="L58" i="2"/>
  <c r="E58" i="5" s="1"/>
  <c r="M58" i="2"/>
  <c r="F58" i="2"/>
  <c r="B58" i="2"/>
  <c r="L57" i="2"/>
  <c r="E57" i="5" s="1"/>
  <c r="M57" i="2"/>
  <c r="F57" i="2"/>
  <c r="B57" i="5" s="1"/>
  <c r="B57" i="2"/>
  <c r="L56" i="2"/>
  <c r="M56" i="2"/>
  <c r="F56" i="2"/>
  <c r="B56" i="2"/>
  <c r="L55" i="2"/>
  <c r="E55" i="5" s="1"/>
  <c r="M55" i="2"/>
  <c r="F55" i="2"/>
  <c r="B55" i="2"/>
  <c r="L54" i="2"/>
  <c r="E54" i="5" s="1"/>
  <c r="M54" i="2"/>
  <c r="F54" i="2"/>
  <c r="B54" i="2"/>
  <c r="L53" i="2"/>
  <c r="E53" i="5" s="1"/>
  <c r="M53" i="2"/>
  <c r="F53" i="2"/>
  <c r="B53" i="2"/>
  <c r="L52" i="2"/>
  <c r="M52" i="2"/>
  <c r="F52" i="2"/>
  <c r="B52" i="2"/>
  <c r="L51" i="2"/>
  <c r="E51" i="5" s="1"/>
  <c r="M51" i="2"/>
  <c r="F51" i="2"/>
  <c r="B51" i="2"/>
  <c r="L50" i="2"/>
  <c r="E50" i="5" s="1"/>
  <c r="M50" i="2"/>
  <c r="F50" i="2"/>
  <c r="B50" i="2"/>
  <c r="L49" i="2"/>
  <c r="E49" i="5" s="1"/>
  <c r="M49" i="2"/>
  <c r="F49" i="2"/>
  <c r="B49" i="2"/>
  <c r="L48" i="2"/>
  <c r="M48" i="2"/>
  <c r="F48" i="2"/>
  <c r="B48" i="5" s="1"/>
  <c r="B48" i="2"/>
  <c r="L47" i="2"/>
  <c r="E47" i="5" s="1"/>
  <c r="M47" i="2"/>
  <c r="F47" i="2"/>
  <c r="B47" i="2"/>
  <c r="L46" i="2"/>
  <c r="E46" i="5" s="1"/>
  <c r="M46" i="2"/>
  <c r="F46" i="2"/>
  <c r="B46" i="2"/>
  <c r="L45" i="2"/>
  <c r="E45" i="5" s="1"/>
  <c r="M45" i="2"/>
  <c r="F45" i="2"/>
  <c r="B45" i="2"/>
  <c r="L44" i="2"/>
  <c r="M44" i="2"/>
  <c r="F44" i="2"/>
  <c r="B44" i="2"/>
  <c r="L43" i="2"/>
  <c r="E43" i="5" s="1"/>
  <c r="M43" i="2"/>
  <c r="F43" i="2"/>
  <c r="B43" i="2"/>
  <c r="L42" i="2"/>
  <c r="E42" i="5" s="1"/>
  <c r="M42" i="2"/>
  <c r="F42" i="2"/>
  <c r="B42" i="2"/>
  <c r="L41" i="2"/>
  <c r="E41" i="5" s="1"/>
  <c r="M41" i="2"/>
  <c r="F41" i="2"/>
  <c r="B41" i="2"/>
  <c r="L40" i="2"/>
  <c r="M40" i="2"/>
  <c r="F40" i="2"/>
  <c r="B40" i="2"/>
  <c r="L39" i="2"/>
  <c r="E39" i="5" s="1"/>
  <c r="M39" i="2"/>
  <c r="F39" i="2"/>
  <c r="B39" i="2"/>
  <c r="L38" i="2"/>
  <c r="E38" i="5" s="1"/>
  <c r="M38" i="2"/>
  <c r="F38" i="2"/>
  <c r="B38" i="2"/>
  <c r="L37" i="2"/>
  <c r="E37" i="5" s="1"/>
  <c r="M37" i="2"/>
  <c r="F37" i="2"/>
  <c r="B37" i="5" s="1"/>
  <c r="B37" i="2"/>
  <c r="L36" i="2"/>
  <c r="M36" i="2"/>
  <c r="F36" i="2"/>
  <c r="B36" i="2"/>
  <c r="L35" i="2"/>
  <c r="E35" i="5" s="1"/>
  <c r="M35" i="2"/>
  <c r="F35" i="2"/>
  <c r="B35" i="2"/>
  <c r="L34" i="2"/>
  <c r="E34" i="5" s="1"/>
  <c r="M34" i="2"/>
  <c r="F34" i="2"/>
  <c r="B34" i="2"/>
  <c r="L33" i="2"/>
  <c r="E33" i="5" s="1"/>
  <c r="M33" i="2"/>
  <c r="F33" i="2"/>
  <c r="B33" i="2"/>
  <c r="L32" i="2"/>
  <c r="M32" i="2"/>
  <c r="F32" i="2"/>
  <c r="B32" i="5" s="1"/>
  <c r="B32" i="2"/>
  <c r="L31" i="2"/>
  <c r="E31" i="5" s="1"/>
  <c r="M31" i="2"/>
  <c r="F31" i="2"/>
  <c r="B31" i="5" s="1"/>
  <c r="B31" i="2"/>
  <c r="L30" i="2"/>
  <c r="E30" i="5" s="1"/>
  <c r="M30" i="2"/>
  <c r="F30" i="2"/>
  <c r="B30" i="2"/>
  <c r="L29" i="2"/>
  <c r="E29" i="5" s="1"/>
  <c r="M29" i="2"/>
  <c r="F29" i="2"/>
  <c r="B29" i="2"/>
  <c r="L28" i="2"/>
  <c r="M28" i="2"/>
  <c r="F28" i="2"/>
  <c r="B28" i="2"/>
  <c r="L27" i="2"/>
  <c r="E27" i="5" s="1"/>
  <c r="M27" i="2"/>
  <c r="F27" i="2"/>
  <c r="B27" i="5" s="1"/>
  <c r="B27" i="2"/>
  <c r="L26" i="2"/>
  <c r="E26" i="5" s="1"/>
  <c r="M26" i="2"/>
  <c r="F26" i="2"/>
  <c r="B26" i="5" s="1"/>
  <c r="B26" i="2"/>
  <c r="L25" i="2"/>
  <c r="E25" i="5" s="1"/>
  <c r="M25" i="2"/>
  <c r="F25" i="2"/>
  <c r="B25" i="2"/>
  <c r="L24" i="2"/>
  <c r="M24" i="2"/>
  <c r="F24" i="2"/>
  <c r="B24" i="2"/>
  <c r="L23" i="2"/>
  <c r="E23" i="5" s="1"/>
  <c r="M23" i="2"/>
  <c r="F23" i="2"/>
  <c r="B23" i="2"/>
  <c r="L22" i="2"/>
  <c r="E22" i="5" s="1"/>
  <c r="M22" i="2"/>
  <c r="F22" i="2"/>
  <c r="B22" i="2"/>
  <c r="L21" i="2"/>
  <c r="E21" i="5" s="1"/>
  <c r="M21" i="2"/>
  <c r="F21" i="2"/>
  <c r="B21" i="2"/>
  <c r="L20" i="2"/>
  <c r="M20" i="2"/>
  <c r="F20" i="2"/>
  <c r="B20" i="2"/>
  <c r="L19" i="2"/>
  <c r="E19" i="5" s="1"/>
  <c r="M19" i="2"/>
  <c r="F19" i="2"/>
  <c r="B19" i="2"/>
  <c r="L18" i="2"/>
  <c r="E18" i="5" s="1"/>
  <c r="M18" i="2"/>
  <c r="F18" i="2"/>
  <c r="B18" i="5" s="1"/>
  <c r="B18" i="2"/>
  <c r="L17" i="2"/>
  <c r="E17" i="5" s="1"/>
  <c r="M17" i="2"/>
  <c r="F17" i="2"/>
  <c r="B17" i="2"/>
  <c r="L16" i="2"/>
  <c r="M16" i="2"/>
  <c r="F16" i="2"/>
  <c r="B16" i="2"/>
  <c r="L15" i="2"/>
  <c r="E15" i="5" s="1"/>
  <c r="M15" i="2"/>
  <c r="F15" i="2"/>
  <c r="B15" i="2"/>
  <c r="L14" i="2"/>
  <c r="E14" i="5" s="1"/>
  <c r="M14" i="2"/>
  <c r="F14" i="2"/>
  <c r="B14" i="5" s="1"/>
  <c r="B14" i="2"/>
  <c r="L13" i="2"/>
  <c r="E13" i="5" s="1"/>
  <c r="M13" i="2"/>
  <c r="F13" i="2"/>
  <c r="B13" i="2"/>
  <c r="L12" i="2"/>
  <c r="M12" i="2"/>
  <c r="F12" i="2"/>
  <c r="B12" i="5" s="1"/>
  <c r="B12" i="2"/>
  <c r="L11" i="2"/>
  <c r="E11" i="5" s="1"/>
  <c r="M11" i="2"/>
  <c r="F11" i="2"/>
  <c r="B11" i="5" s="1"/>
  <c r="B11" i="2"/>
  <c r="L10" i="2"/>
  <c r="E10" i="5" s="1"/>
  <c r="M10" i="2"/>
  <c r="F10" i="2"/>
  <c r="B10" i="2"/>
  <c r="L9" i="2"/>
  <c r="E9" i="5" s="1"/>
  <c r="M9" i="2"/>
  <c r="F9" i="2"/>
  <c r="B9" i="2"/>
  <c r="L8" i="2"/>
  <c r="M8" i="2"/>
  <c r="F8" i="2"/>
  <c r="B8" i="5" s="1"/>
  <c r="B8" i="2"/>
  <c r="L7" i="2"/>
  <c r="E7" i="5" s="1"/>
  <c r="M7" i="2"/>
  <c r="F7" i="2"/>
  <c r="B7" i="5" s="1"/>
  <c r="B7" i="2"/>
  <c r="L6" i="2"/>
  <c r="E6" i="5" s="1"/>
  <c r="M6" i="2"/>
  <c r="F6" i="2"/>
  <c r="B6" i="5" s="1"/>
  <c r="B6" i="2"/>
  <c r="L5" i="2"/>
  <c r="E5" i="5" s="1"/>
  <c r="M5" i="2"/>
  <c r="F5" i="2"/>
  <c r="B5" i="2"/>
  <c r="L4" i="2"/>
  <c r="M4" i="2"/>
  <c r="F4" i="2"/>
  <c r="B4" i="5" s="1"/>
  <c r="B4" i="2"/>
  <c r="C102" i="1"/>
  <c r="K11" i="4"/>
  <c r="K10" i="4"/>
  <c r="K9" i="4"/>
  <c r="K8" i="4"/>
  <c r="K7" i="4"/>
  <c r="K6" i="4"/>
  <c r="AH70" i="11"/>
  <c r="AC70" i="11"/>
  <c r="AD70" i="11" s="1"/>
  <c r="X70" i="11"/>
  <c r="Y70" i="11" s="1"/>
  <c r="S70" i="11"/>
  <c r="T70" i="11" s="1"/>
  <c r="N70" i="11"/>
  <c r="O70" i="11" s="1"/>
  <c r="G70" i="11"/>
  <c r="I70" i="11" s="1"/>
  <c r="J70" i="11" s="1"/>
  <c r="D70" i="11"/>
  <c r="E70" i="11"/>
  <c r="AH69" i="11"/>
  <c r="AC69" i="11"/>
  <c r="AD69" i="11" s="1"/>
  <c r="X69" i="11"/>
  <c r="Y69" i="11" s="1"/>
  <c r="S69" i="11"/>
  <c r="T69" i="11" s="1"/>
  <c r="N69" i="11"/>
  <c r="O69" i="11" s="1"/>
  <c r="G69" i="11"/>
  <c r="I69" i="11" s="1"/>
  <c r="J69" i="11"/>
  <c r="D69" i="11"/>
  <c r="E69" i="11"/>
  <c r="AH68" i="11"/>
  <c r="AC68" i="11"/>
  <c r="AD68" i="11" s="1"/>
  <c r="X68" i="11"/>
  <c r="Y68" i="11" s="1"/>
  <c r="S68" i="11"/>
  <c r="T68" i="11" s="1"/>
  <c r="N68" i="11"/>
  <c r="O68" i="11" s="1"/>
  <c r="G68" i="11"/>
  <c r="I68" i="11" s="1"/>
  <c r="J68" i="11" s="1"/>
  <c r="D68" i="11"/>
  <c r="E68" i="11"/>
  <c r="AH67" i="11"/>
  <c r="AC67" i="11"/>
  <c r="AD67" i="11" s="1"/>
  <c r="X67" i="11"/>
  <c r="Y67" i="11" s="1"/>
  <c r="S67" i="11"/>
  <c r="T67" i="11" s="1"/>
  <c r="N67" i="11"/>
  <c r="O67" i="11" s="1"/>
  <c r="G67" i="11"/>
  <c r="I67" i="11" s="1"/>
  <c r="J67" i="11"/>
  <c r="D67" i="11"/>
  <c r="E67" i="11"/>
  <c r="AH66" i="11"/>
  <c r="AC66" i="11"/>
  <c r="AD66" i="11" s="1"/>
  <c r="X66" i="11"/>
  <c r="Y66" i="11" s="1"/>
  <c r="S66" i="11"/>
  <c r="T66" i="11" s="1"/>
  <c r="N66" i="11"/>
  <c r="O66" i="11" s="1"/>
  <c r="G66" i="11"/>
  <c r="I66" i="11" s="1"/>
  <c r="J66" i="11" s="1"/>
  <c r="D66" i="11"/>
  <c r="E66" i="11"/>
  <c r="AH65" i="11"/>
  <c r="AC65" i="11"/>
  <c r="AD65" i="11" s="1"/>
  <c r="X65" i="11"/>
  <c r="Y65" i="11" s="1"/>
  <c r="S65" i="11"/>
  <c r="T65" i="11" s="1"/>
  <c r="N65" i="11"/>
  <c r="O65" i="11" s="1"/>
  <c r="G65" i="11"/>
  <c r="I65" i="11" s="1"/>
  <c r="J65" i="11"/>
  <c r="D65" i="11"/>
  <c r="E65" i="11"/>
  <c r="AH64" i="11"/>
  <c r="AC64" i="11"/>
  <c r="AD64" i="11" s="1"/>
  <c r="X64" i="11"/>
  <c r="Y64" i="11" s="1"/>
  <c r="S64" i="11"/>
  <c r="T64" i="11" s="1"/>
  <c r="N64" i="11"/>
  <c r="O64" i="11" s="1"/>
  <c r="G64" i="11"/>
  <c r="I64" i="11" s="1"/>
  <c r="J64" i="11" s="1"/>
  <c r="D64" i="11"/>
  <c r="E64" i="11"/>
  <c r="AH63" i="11"/>
  <c r="AC63" i="11"/>
  <c r="AD63" i="11" s="1"/>
  <c r="X63" i="11"/>
  <c r="Y63" i="11" s="1"/>
  <c r="S63" i="11"/>
  <c r="T63" i="11" s="1"/>
  <c r="N63" i="11"/>
  <c r="O63" i="11" s="1"/>
  <c r="G63" i="11"/>
  <c r="I63" i="11" s="1"/>
  <c r="J63" i="11"/>
  <c r="D63" i="11"/>
  <c r="E63" i="11"/>
  <c r="AH62" i="11"/>
  <c r="AC62" i="11"/>
  <c r="AD62" i="11" s="1"/>
  <c r="X62" i="11"/>
  <c r="Y62" i="11" s="1"/>
  <c r="S62" i="11"/>
  <c r="T62" i="11" s="1"/>
  <c r="N62" i="11"/>
  <c r="O62" i="11" s="1"/>
  <c r="G62" i="11"/>
  <c r="I62" i="11" s="1"/>
  <c r="J62" i="11" s="1"/>
  <c r="D62" i="11"/>
  <c r="E62" i="11"/>
  <c r="AH61" i="11"/>
  <c r="AC61" i="11"/>
  <c r="AD61" i="11" s="1"/>
  <c r="X61" i="11"/>
  <c r="Y61" i="11" s="1"/>
  <c r="S61" i="11"/>
  <c r="T61" i="11" s="1"/>
  <c r="N61" i="11"/>
  <c r="O61" i="11" s="1"/>
  <c r="G61" i="11"/>
  <c r="I61" i="11" s="1"/>
  <c r="J61" i="11"/>
  <c r="D61" i="11"/>
  <c r="E61" i="11"/>
  <c r="AH60" i="11"/>
  <c r="AC60" i="11"/>
  <c r="AD60" i="11" s="1"/>
  <c r="X60" i="11"/>
  <c r="Y60" i="11" s="1"/>
  <c r="S60" i="11"/>
  <c r="T60" i="11" s="1"/>
  <c r="N60" i="11"/>
  <c r="O60" i="11" s="1"/>
  <c r="G60" i="11"/>
  <c r="I60" i="11" s="1"/>
  <c r="J60" i="11" s="1"/>
  <c r="D60" i="11"/>
  <c r="E60" i="11"/>
  <c r="AH59" i="11"/>
  <c r="AC59" i="11"/>
  <c r="AD59" i="11" s="1"/>
  <c r="X59" i="11"/>
  <c r="Y59" i="11" s="1"/>
  <c r="S59" i="11"/>
  <c r="T59" i="11" s="1"/>
  <c r="N59" i="11"/>
  <c r="O59" i="11" s="1"/>
  <c r="G59" i="11"/>
  <c r="I59" i="11" s="1"/>
  <c r="J59" i="11"/>
  <c r="D59" i="11"/>
  <c r="E59" i="11"/>
  <c r="AH58" i="11"/>
  <c r="AC58" i="11"/>
  <c r="AD58" i="11" s="1"/>
  <c r="X58" i="11"/>
  <c r="Y58" i="11" s="1"/>
  <c r="S58" i="11"/>
  <c r="T58" i="11" s="1"/>
  <c r="N58" i="11"/>
  <c r="O58" i="11" s="1"/>
  <c r="G58" i="11"/>
  <c r="I58" i="11" s="1"/>
  <c r="J58" i="11" s="1"/>
  <c r="D58" i="11"/>
  <c r="E58" i="11"/>
  <c r="A49" i="11"/>
  <c r="A50" i="11"/>
  <c r="A51" i="11" s="1"/>
  <c r="A52" i="11"/>
  <c r="A53" i="11" s="1"/>
  <c r="A54" i="11" s="1"/>
  <c r="A55" i="11" s="1"/>
  <c r="A56" i="1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H48" i="11"/>
  <c r="AC48" i="11"/>
  <c r="AD48" i="11" s="1"/>
  <c r="X48" i="11"/>
  <c r="Y48" i="11" s="1"/>
  <c r="S48" i="11"/>
  <c r="T48" i="11" s="1"/>
  <c r="N48" i="11"/>
  <c r="O48" i="11" s="1"/>
  <c r="I48" i="11"/>
  <c r="J48" i="11" s="1"/>
  <c r="D48" i="11"/>
  <c r="E48" i="11" s="1"/>
  <c r="AH47" i="11"/>
  <c r="AC47" i="11"/>
  <c r="AD47" i="11"/>
  <c r="W47" i="11"/>
  <c r="V47" i="11"/>
  <c r="X47" i="11" s="1"/>
  <c r="Y47" i="11"/>
  <c r="R47" i="11"/>
  <c r="Q47" i="11"/>
  <c r="S47" i="11" s="1"/>
  <c r="T47" i="11" s="1"/>
  <c r="N47" i="11"/>
  <c r="O47" i="11"/>
  <c r="I47" i="11"/>
  <c r="J47" i="11"/>
  <c r="D47" i="11"/>
  <c r="E47" i="11"/>
  <c r="AH45" i="11"/>
  <c r="AC45" i="11"/>
  <c r="AD45" i="11" s="1"/>
  <c r="X45" i="11"/>
  <c r="Y45" i="11" s="1"/>
  <c r="S45" i="11"/>
  <c r="T45" i="11"/>
  <c r="N45" i="11"/>
  <c r="O45" i="11"/>
  <c r="I45" i="11"/>
  <c r="J45" i="11"/>
  <c r="D45" i="11"/>
  <c r="E45" i="11"/>
  <c r="AH44" i="11"/>
  <c r="AC44" i="11"/>
  <c r="AD44" i="11" s="1"/>
  <c r="X44" i="11"/>
  <c r="Y44" i="11" s="1"/>
  <c r="S44" i="11"/>
  <c r="T44" i="11" s="1"/>
  <c r="N44" i="11"/>
  <c r="O44" i="11" s="1"/>
  <c r="I44" i="11"/>
  <c r="J44" i="11" s="1"/>
  <c r="D44" i="11"/>
  <c r="E44" i="11" s="1"/>
  <c r="AH43" i="11"/>
  <c r="AC43" i="11"/>
  <c r="AD43" i="11"/>
  <c r="X43" i="11"/>
  <c r="Y43" i="11"/>
  <c r="S43" i="11"/>
  <c r="T43" i="11"/>
  <c r="N43" i="11"/>
  <c r="O43" i="11"/>
  <c r="I43" i="11"/>
  <c r="J43" i="11"/>
  <c r="D43" i="11"/>
  <c r="E43" i="11"/>
  <c r="AH42" i="11"/>
  <c r="AC42" i="11"/>
  <c r="AD42" i="11" s="1"/>
  <c r="X42" i="11"/>
  <c r="Y42" i="11" s="1"/>
  <c r="S42" i="11"/>
  <c r="T42" i="11" s="1"/>
  <c r="N42" i="11"/>
  <c r="O42" i="11" s="1"/>
  <c r="I42" i="11"/>
  <c r="J42" i="11" s="1"/>
  <c r="D42" i="11"/>
  <c r="E42" i="11" s="1"/>
  <c r="AH41" i="11"/>
  <c r="AC41" i="11"/>
  <c r="AD41" i="11"/>
  <c r="X41" i="11"/>
  <c r="Y41" i="11"/>
  <c r="S41" i="11"/>
  <c r="T41" i="11"/>
  <c r="N41" i="11"/>
  <c r="O41" i="11"/>
  <c r="I41" i="11"/>
  <c r="J41" i="11"/>
  <c r="D41" i="11"/>
  <c r="E41" i="11"/>
  <c r="AH39" i="11"/>
  <c r="AC39" i="11"/>
  <c r="AD39" i="11" s="1"/>
  <c r="X39" i="11"/>
  <c r="Y39" i="11" s="1"/>
  <c r="S39" i="11"/>
  <c r="T39" i="11" s="1"/>
  <c r="N39" i="11"/>
  <c r="O39" i="11" s="1"/>
  <c r="I39" i="11"/>
  <c r="J39" i="11" s="1"/>
  <c r="D39" i="11"/>
  <c r="E39" i="11" s="1"/>
  <c r="AH38" i="11"/>
  <c r="AC38" i="11"/>
  <c r="AD38" i="11"/>
  <c r="W38" i="11"/>
  <c r="V38" i="11"/>
  <c r="X38" i="11" s="1"/>
  <c r="Y38" i="11"/>
  <c r="S38" i="11"/>
  <c r="T38" i="11"/>
  <c r="M38" i="11"/>
  <c r="L38" i="11"/>
  <c r="N38" i="11" s="1"/>
  <c r="O38" i="11" s="1"/>
  <c r="I38" i="11"/>
  <c r="J38" i="11"/>
  <c r="D38" i="11"/>
  <c r="E38" i="11"/>
  <c r="AH37" i="11"/>
  <c r="AC37" i="11"/>
  <c r="AD37" i="11" s="1"/>
  <c r="W37" i="11"/>
  <c r="V37" i="11"/>
  <c r="X37" i="11"/>
  <c r="Y37" i="11" s="1"/>
  <c r="S37" i="11"/>
  <c r="T37" i="11" s="1"/>
  <c r="N37" i="11"/>
  <c r="O37" i="11" s="1"/>
  <c r="I37" i="11"/>
  <c r="J37" i="11" s="1"/>
  <c r="D37" i="11"/>
  <c r="E37" i="11" s="1"/>
  <c r="AH36" i="11"/>
  <c r="AC36" i="11"/>
  <c r="AD36" i="11"/>
  <c r="W36" i="11"/>
  <c r="V36" i="11"/>
  <c r="X36" i="11" s="1"/>
  <c r="Y36" i="11"/>
  <c r="S36" i="11"/>
  <c r="T36" i="11"/>
  <c r="M36" i="11"/>
  <c r="L36" i="11"/>
  <c r="N36" i="11" s="1"/>
  <c r="O36" i="11" s="1"/>
  <c r="I36" i="11"/>
  <c r="J36" i="11"/>
  <c r="D36" i="11"/>
  <c r="E36" i="11"/>
  <c r="AH35" i="11"/>
  <c r="AC35" i="11"/>
  <c r="AD35" i="11" s="1"/>
  <c r="X35" i="11"/>
  <c r="Y35" i="11" s="1"/>
  <c r="S35" i="11"/>
  <c r="T35" i="11" s="1"/>
  <c r="N35" i="11"/>
  <c r="O35" i="11" s="1"/>
  <c r="I35" i="11"/>
  <c r="J35" i="11" s="1"/>
  <c r="D35" i="11"/>
  <c r="E35" i="11" s="1"/>
  <c r="A30" i="11"/>
  <c r="A31" i="11" s="1"/>
  <c r="A32" i="1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F29" i="11"/>
  <c r="AH29" i="11" s="1"/>
  <c r="AB29" i="11"/>
  <c r="AA29" i="11"/>
  <c r="AC29" i="11"/>
  <c r="AD29" i="11" s="1"/>
  <c r="W29" i="11"/>
  <c r="V29" i="11"/>
  <c r="X29" i="11"/>
  <c r="Y29" i="11" s="1"/>
  <c r="M29" i="11"/>
  <c r="L29" i="11"/>
  <c r="N29" i="11"/>
  <c r="O29" i="11" s="1"/>
  <c r="I29" i="11"/>
  <c r="J29" i="11" s="1"/>
  <c r="C29" i="11"/>
  <c r="D29" i="11" s="1"/>
  <c r="E29" i="11"/>
  <c r="AH28" i="11"/>
  <c r="AC28" i="11"/>
  <c r="AD28" i="11" s="1"/>
  <c r="X28" i="11"/>
  <c r="Y28" i="11" s="1"/>
  <c r="S28" i="11"/>
  <c r="T28" i="11" s="1"/>
  <c r="N28" i="11"/>
  <c r="O28" i="11" s="1"/>
  <c r="I28" i="11"/>
  <c r="J28" i="11" s="1"/>
  <c r="D28" i="11"/>
  <c r="E28" i="11" s="1"/>
  <c r="AH27" i="11"/>
  <c r="AC27" i="11"/>
  <c r="AD27" i="11"/>
  <c r="X27" i="11"/>
  <c r="Y27" i="11"/>
  <c r="S27" i="11"/>
  <c r="T27" i="11"/>
  <c r="N27" i="11"/>
  <c r="O27" i="11"/>
  <c r="I27" i="11"/>
  <c r="J27" i="11"/>
  <c r="D27" i="11"/>
  <c r="E27" i="11"/>
  <c r="A7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F6" i="11"/>
  <c r="AH6" i="11" s="1"/>
  <c r="AA6" i="11"/>
  <c r="AC6" i="11" s="1"/>
  <c r="AD6" i="11"/>
  <c r="M6" i="11"/>
  <c r="L6" i="11"/>
  <c r="N6" i="11" s="1"/>
  <c r="O6" i="11" s="1"/>
  <c r="I6" i="11"/>
  <c r="J6" i="11"/>
  <c r="B6" i="11"/>
  <c r="D6" i="11"/>
  <c r="E6" i="11" s="1"/>
  <c r="AF5" i="11"/>
  <c r="AH5" i="11" s="1"/>
  <c r="AB5" i="11"/>
  <c r="AA5" i="11"/>
  <c r="AC5" i="11"/>
  <c r="AD5" i="11" s="1"/>
  <c r="W5" i="11"/>
  <c r="V5" i="11"/>
  <c r="X5" i="11"/>
  <c r="Y5" i="11" s="1"/>
  <c r="R5" i="11"/>
  <c r="Q5" i="11"/>
  <c r="S5" i="11"/>
  <c r="T5" i="11" s="1"/>
  <c r="M5" i="11"/>
  <c r="L5" i="11"/>
  <c r="N5" i="11"/>
  <c r="O5" i="11" s="1"/>
  <c r="H5" i="11"/>
  <c r="I5" i="11" s="1"/>
  <c r="J5" i="11"/>
  <c r="C5" i="11"/>
  <c r="B5" i="11"/>
  <c r="D5" i="11" s="1"/>
  <c r="E5" i="11" s="1"/>
  <c r="AF4" i="11"/>
  <c r="AH4" i="11"/>
  <c r="AB4" i="11"/>
  <c r="AA4" i="11"/>
  <c r="AC4" i="11" s="1"/>
  <c r="AD4" i="11"/>
  <c r="W4" i="11"/>
  <c r="V4" i="11"/>
  <c r="X4" i="11" s="1"/>
  <c r="Y4" i="11" s="1"/>
  <c r="R4" i="11"/>
  <c r="Q4" i="11"/>
  <c r="S4" i="11" s="1"/>
  <c r="T4" i="11"/>
  <c r="M4" i="11"/>
  <c r="L4" i="11"/>
  <c r="N4" i="11" s="1"/>
  <c r="O4" i="11" s="1"/>
  <c r="H4" i="11"/>
  <c r="I4" i="11"/>
  <c r="J4" i="11" s="1"/>
  <c r="C4" i="11"/>
  <c r="B4" i="11"/>
  <c r="D4" i="11"/>
  <c r="E4" i="11" s="1"/>
  <c r="AF3" i="11"/>
  <c r="AH3" i="11" s="1"/>
  <c r="AA3" i="11"/>
  <c r="AC3" i="11" s="1"/>
  <c r="AD3" i="11" s="1"/>
  <c r="V3" i="11"/>
  <c r="X3" i="11"/>
  <c r="Y3" i="11" s="1"/>
  <c r="Q3" i="11"/>
  <c r="S3" i="11" s="1"/>
  <c r="T3" i="11" s="1"/>
  <c r="L3" i="11"/>
  <c r="N3" i="11"/>
  <c r="O3" i="11" s="1"/>
  <c r="I3" i="11"/>
  <c r="J3" i="11" s="1"/>
  <c r="B3" i="11"/>
  <c r="D3" i="11" s="1"/>
  <c r="E3" i="11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A7" i="10"/>
  <c r="A8" i="10" s="1"/>
  <c r="A9" i="10" s="1"/>
  <c r="A10" i="10" s="1"/>
  <c r="A11" i="10"/>
  <c r="A12" i="10" s="1"/>
  <c r="A13" i="10" s="1"/>
  <c r="A14" i="10" s="1"/>
  <c r="A15" i="10" s="1"/>
  <c r="Z95" i="9"/>
  <c r="V95" i="9"/>
  <c r="Q95" i="9"/>
  <c r="L95" i="9"/>
  <c r="F95" i="9"/>
  <c r="Z94" i="9"/>
  <c r="V94" i="9"/>
  <c r="Q94" i="9"/>
  <c r="L94" i="9"/>
  <c r="F94" i="9"/>
  <c r="A37" i="9"/>
  <c r="A38" i="9"/>
  <c r="A39" i="9" s="1"/>
  <c r="A40" i="9" s="1"/>
  <c r="A41" i="9" s="1"/>
  <c r="A42" i="9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Z93" i="9"/>
  <c r="V93" i="9"/>
  <c r="Q93" i="9"/>
  <c r="L93" i="9"/>
  <c r="F93" i="9"/>
  <c r="Z92" i="9"/>
  <c r="V92" i="9"/>
  <c r="Q92" i="9"/>
  <c r="L92" i="9"/>
  <c r="F92" i="9"/>
  <c r="Z91" i="9"/>
  <c r="V91" i="9"/>
  <c r="Q91" i="9"/>
  <c r="L91" i="9"/>
  <c r="F91" i="9"/>
  <c r="Z90" i="9"/>
  <c r="V90" i="9"/>
  <c r="Q90" i="9"/>
  <c r="L90" i="9"/>
  <c r="F90" i="9"/>
  <c r="Z89" i="9"/>
  <c r="V89" i="9"/>
  <c r="Q89" i="9"/>
  <c r="L89" i="9"/>
  <c r="F89" i="9"/>
  <c r="Z88" i="9"/>
  <c r="V88" i="9"/>
  <c r="Q88" i="9"/>
  <c r="L88" i="9"/>
  <c r="F88" i="9"/>
  <c r="Z87" i="9"/>
  <c r="V87" i="9"/>
  <c r="Q87" i="9"/>
  <c r="L87" i="9"/>
  <c r="F87" i="9"/>
  <c r="Z86" i="9"/>
  <c r="V86" i="9"/>
  <c r="Q86" i="9"/>
  <c r="L86" i="9"/>
  <c r="F86" i="9"/>
  <c r="Z85" i="9"/>
  <c r="V85" i="9"/>
  <c r="Q85" i="9"/>
  <c r="L85" i="9"/>
  <c r="F85" i="9"/>
  <c r="Z84" i="9"/>
  <c r="V84" i="9"/>
  <c r="Q84" i="9"/>
  <c r="L84" i="9"/>
  <c r="F84" i="9"/>
  <c r="Z83" i="9"/>
  <c r="V83" i="9"/>
  <c r="Q83" i="9"/>
  <c r="L83" i="9"/>
  <c r="F83" i="9"/>
  <c r="Z82" i="9"/>
  <c r="V82" i="9"/>
  <c r="Q82" i="9"/>
  <c r="L82" i="9"/>
  <c r="F82" i="9"/>
  <c r="Z81" i="9"/>
  <c r="V81" i="9"/>
  <c r="Q81" i="9"/>
  <c r="L81" i="9"/>
  <c r="F81" i="9"/>
  <c r="Z80" i="9"/>
  <c r="V80" i="9"/>
  <c r="Q80" i="9"/>
  <c r="L80" i="9"/>
  <c r="F80" i="9"/>
  <c r="Z79" i="9"/>
  <c r="V79" i="9"/>
  <c r="Q79" i="9"/>
  <c r="L79" i="9"/>
  <c r="F79" i="9"/>
  <c r="Z78" i="9"/>
  <c r="V78" i="9"/>
  <c r="Q78" i="9"/>
  <c r="L78" i="9"/>
  <c r="F78" i="9"/>
  <c r="Z77" i="9"/>
  <c r="V77" i="9"/>
  <c r="Q77" i="9"/>
  <c r="L77" i="9"/>
  <c r="F77" i="9"/>
  <c r="Z76" i="9"/>
  <c r="V76" i="9"/>
  <c r="Q76" i="9"/>
  <c r="L76" i="9"/>
  <c r="F76" i="9"/>
  <c r="Z75" i="9"/>
  <c r="V75" i="9"/>
  <c r="Q75" i="9"/>
  <c r="L75" i="9"/>
  <c r="F75" i="9"/>
  <c r="Z74" i="9"/>
  <c r="V74" i="9"/>
  <c r="Q74" i="9"/>
  <c r="L74" i="9"/>
  <c r="F74" i="9"/>
  <c r="Z73" i="9"/>
  <c r="V73" i="9"/>
  <c r="Q73" i="9"/>
  <c r="L73" i="9"/>
  <c r="F73" i="9"/>
  <c r="Z72" i="9"/>
  <c r="V72" i="9"/>
  <c r="Q72" i="9"/>
  <c r="L72" i="9"/>
  <c r="F72" i="9"/>
  <c r="Z71" i="9"/>
  <c r="V71" i="9"/>
  <c r="Q71" i="9"/>
  <c r="L71" i="9"/>
  <c r="F71" i="9"/>
  <c r="Z70" i="9"/>
  <c r="V70" i="9"/>
  <c r="Q70" i="9"/>
  <c r="L70" i="9"/>
  <c r="F70" i="9"/>
  <c r="Z69" i="9"/>
  <c r="V69" i="9"/>
  <c r="Q69" i="9"/>
  <c r="L69" i="9"/>
  <c r="F69" i="9"/>
  <c r="Z68" i="9"/>
  <c r="V68" i="9"/>
  <c r="Q68" i="9"/>
  <c r="L68" i="9"/>
  <c r="F68" i="9"/>
  <c r="Z67" i="9"/>
  <c r="V67" i="9"/>
  <c r="Q67" i="9"/>
  <c r="L67" i="9"/>
  <c r="F67" i="9"/>
  <c r="Z66" i="9"/>
  <c r="V66" i="9"/>
  <c r="Q66" i="9"/>
  <c r="L66" i="9"/>
  <c r="F66" i="9"/>
  <c r="Z65" i="9"/>
  <c r="V65" i="9"/>
  <c r="Q65" i="9"/>
  <c r="L65" i="9"/>
  <c r="F65" i="9"/>
  <c r="Z64" i="9"/>
  <c r="V64" i="9"/>
  <c r="Q64" i="9"/>
  <c r="L64" i="9"/>
  <c r="F64" i="9"/>
  <c r="Z63" i="9"/>
  <c r="V63" i="9"/>
  <c r="Q63" i="9"/>
  <c r="L63" i="9"/>
  <c r="F63" i="9"/>
  <c r="Z62" i="9"/>
  <c r="V62" i="9"/>
  <c r="Q62" i="9"/>
  <c r="L62" i="9"/>
  <c r="F62" i="9"/>
  <c r="Z61" i="9"/>
  <c r="V61" i="9"/>
  <c r="Q61" i="9"/>
  <c r="L61" i="9"/>
  <c r="F61" i="9"/>
  <c r="Z60" i="9"/>
  <c r="V60" i="9"/>
  <c r="Q60" i="9"/>
  <c r="L60" i="9"/>
  <c r="F60" i="9"/>
  <c r="Z59" i="9"/>
  <c r="V59" i="9"/>
  <c r="Q59" i="9"/>
  <c r="L59" i="9"/>
  <c r="F59" i="9"/>
  <c r="Z58" i="9"/>
  <c r="V58" i="9"/>
  <c r="Q58" i="9"/>
  <c r="L58" i="9"/>
  <c r="F58" i="9"/>
  <c r="Z57" i="9"/>
  <c r="V57" i="9"/>
  <c r="Q57" i="9"/>
  <c r="L57" i="9"/>
  <c r="F57" i="9"/>
  <c r="Z56" i="9"/>
  <c r="V56" i="9"/>
  <c r="Q56" i="9"/>
  <c r="L56" i="9"/>
  <c r="F56" i="9"/>
  <c r="Z55" i="9"/>
  <c r="V55" i="9"/>
  <c r="Q55" i="9"/>
  <c r="L55" i="9"/>
  <c r="F55" i="9"/>
  <c r="Z54" i="9"/>
  <c r="V54" i="9"/>
  <c r="Q54" i="9"/>
  <c r="L54" i="9"/>
  <c r="F54" i="9"/>
  <c r="Z53" i="9"/>
  <c r="V53" i="9"/>
  <c r="Q53" i="9"/>
  <c r="L53" i="9"/>
  <c r="F53" i="9"/>
  <c r="Z52" i="9"/>
  <c r="V52" i="9"/>
  <c r="Q52" i="9"/>
  <c r="L52" i="9"/>
  <c r="F52" i="9"/>
  <c r="Z51" i="9"/>
  <c r="V51" i="9"/>
  <c r="Q51" i="9"/>
  <c r="L51" i="9"/>
  <c r="F51" i="9"/>
  <c r="Z50" i="9"/>
  <c r="V50" i="9"/>
  <c r="Q50" i="9"/>
  <c r="L50" i="9"/>
  <c r="F50" i="9"/>
  <c r="Z49" i="9"/>
  <c r="V49" i="9"/>
  <c r="Q49" i="9"/>
  <c r="L49" i="9"/>
  <c r="F49" i="9"/>
  <c r="Z48" i="9"/>
  <c r="V48" i="9"/>
  <c r="Q48" i="9"/>
  <c r="L48" i="9"/>
  <c r="F48" i="9"/>
  <c r="Z47" i="9"/>
  <c r="V47" i="9"/>
  <c r="Q47" i="9"/>
  <c r="L47" i="9"/>
  <c r="F47" i="9"/>
  <c r="Z46" i="9"/>
  <c r="V46" i="9"/>
  <c r="Q46" i="9"/>
  <c r="L46" i="9"/>
  <c r="F46" i="9"/>
  <c r="Z45" i="9"/>
  <c r="V45" i="9"/>
  <c r="Q45" i="9"/>
  <c r="L45" i="9"/>
  <c r="F45" i="9"/>
  <c r="Z44" i="9"/>
  <c r="V44" i="9"/>
  <c r="Q44" i="9"/>
  <c r="L44" i="9"/>
  <c r="F44" i="9"/>
  <c r="Z43" i="9"/>
  <c r="X43" i="9"/>
  <c r="Y43" i="9" s="1"/>
  <c r="V43" i="9"/>
  <c r="R43" i="9"/>
  <c r="U43" i="9"/>
  <c r="T43" i="9"/>
  <c r="Q43" i="9"/>
  <c r="M43" i="9"/>
  <c r="L43" i="9"/>
  <c r="H43" i="9"/>
  <c r="F43" i="9"/>
  <c r="B43" i="9"/>
  <c r="Z42" i="9"/>
  <c r="X42" i="9"/>
  <c r="Y42" i="9"/>
  <c r="V42" i="9"/>
  <c r="R42" i="9"/>
  <c r="U42" i="9" s="1"/>
  <c r="T42" i="9"/>
  <c r="Q42" i="9"/>
  <c r="M42" i="9"/>
  <c r="L42" i="9"/>
  <c r="H42" i="9"/>
  <c r="F42" i="9"/>
  <c r="B42" i="9"/>
  <c r="Z41" i="9"/>
  <c r="X41" i="9"/>
  <c r="Y41" i="9" s="1"/>
  <c r="V41" i="9"/>
  <c r="R41" i="9"/>
  <c r="U41" i="9"/>
  <c r="T41" i="9"/>
  <c r="Q41" i="9"/>
  <c r="M41" i="9"/>
  <c r="L41" i="9"/>
  <c r="H41" i="9"/>
  <c r="F41" i="9"/>
  <c r="B41" i="9"/>
  <c r="Z40" i="9"/>
  <c r="X40" i="9"/>
  <c r="Y40" i="9"/>
  <c r="V40" i="9"/>
  <c r="R40" i="9"/>
  <c r="U40" i="9" s="1"/>
  <c r="T40" i="9"/>
  <c r="Q40" i="9"/>
  <c r="M40" i="9"/>
  <c r="L40" i="9"/>
  <c r="H40" i="9"/>
  <c r="F40" i="9"/>
  <c r="B40" i="9"/>
  <c r="Z39" i="9"/>
  <c r="X39" i="9"/>
  <c r="Y39" i="9" s="1"/>
  <c r="V39" i="9"/>
  <c r="R39" i="9"/>
  <c r="U39" i="9"/>
  <c r="T39" i="9"/>
  <c r="Q39" i="9"/>
  <c r="M39" i="9"/>
  <c r="P39" i="9"/>
  <c r="L39" i="9"/>
  <c r="H39" i="9"/>
  <c r="F39" i="9"/>
  <c r="B39" i="9"/>
  <c r="Z38" i="9"/>
  <c r="X38" i="9"/>
  <c r="Y38" i="9" s="1"/>
  <c r="V38" i="9"/>
  <c r="R38" i="9"/>
  <c r="U38" i="9"/>
  <c r="T38" i="9"/>
  <c r="M38" i="9"/>
  <c r="P38" i="9" s="1"/>
  <c r="Q38" i="9" s="1"/>
  <c r="L38" i="9"/>
  <c r="H38" i="9"/>
  <c r="F38" i="9"/>
  <c r="B38" i="9"/>
  <c r="X37" i="9"/>
  <c r="Y37" i="9"/>
  <c r="Z37" i="9" s="1"/>
  <c r="V37" i="9"/>
  <c r="R37" i="9"/>
  <c r="U37" i="9"/>
  <c r="T37" i="9"/>
  <c r="M37" i="9"/>
  <c r="P37" i="9" s="1"/>
  <c r="Q37" i="9" s="1"/>
  <c r="L37" i="9"/>
  <c r="H37" i="9"/>
  <c r="B37" i="9"/>
  <c r="E37" i="9"/>
  <c r="F37" i="9" s="1"/>
  <c r="X36" i="9"/>
  <c r="Y36" i="9" s="1"/>
  <c r="Z36" i="9" s="1"/>
  <c r="R36" i="9"/>
  <c r="U36" i="9"/>
  <c r="V36" i="9" s="1"/>
  <c r="T36" i="9"/>
  <c r="M36" i="9"/>
  <c r="P36" i="9"/>
  <c r="Q36" i="9" s="1"/>
  <c r="L36" i="9"/>
  <c r="H36" i="9"/>
  <c r="B36" i="9"/>
  <c r="E36" i="9" s="1"/>
  <c r="F36" i="9"/>
  <c r="X35" i="9"/>
  <c r="Y35" i="9"/>
  <c r="Z35" i="9" s="1"/>
  <c r="T35" i="9"/>
  <c r="R35" i="9"/>
  <c r="U35" i="9"/>
  <c r="V35" i="9" s="1"/>
  <c r="M35" i="9"/>
  <c r="Q35" i="9" s="1"/>
  <c r="H35" i="9"/>
  <c r="L35" i="9" s="1"/>
  <c r="B35" i="9"/>
  <c r="F35" i="9" s="1"/>
  <c r="A4" i="9"/>
  <c r="A5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X34" i="9"/>
  <c r="Y34" i="9" s="1"/>
  <c r="Z34" i="9"/>
  <c r="T34" i="9"/>
  <c r="R34" i="9"/>
  <c r="U34" i="9" s="1"/>
  <c r="V34" i="9"/>
  <c r="M34" i="9"/>
  <c r="Q34" i="9"/>
  <c r="H34" i="9"/>
  <c r="L34" i="9"/>
  <c r="B34" i="9"/>
  <c r="F34" i="9"/>
  <c r="X33" i="9"/>
  <c r="Y33" i="9"/>
  <c r="Z33" i="9" s="1"/>
  <c r="T33" i="9"/>
  <c r="R33" i="9"/>
  <c r="U33" i="9"/>
  <c r="V33" i="9" s="1"/>
  <c r="M33" i="9"/>
  <c r="Q33" i="9" s="1"/>
  <c r="H33" i="9"/>
  <c r="L33" i="9" s="1"/>
  <c r="B33" i="9"/>
  <c r="F33" i="9" s="1"/>
  <c r="X32" i="9"/>
  <c r="Y32" i="9" s="1"/>
  <c r="Z32" i="9"/>
  <c r="T32" i="9"/>
  <c r="R32" i="9"/>
  <c r="U32" i="9" s="1"/>
  <c r="V32" i="9" s="1"/>
  <c r="O32" i="9"/>
  <c r="M32" i="9"/>
  <c r="P32" i="9" s="1"/>
  <c r="Q32" i="9"/>
  <c r="J32" i="9"/>
  <c r="H32" i="9"/>
  <c r="K32" i="9" s="1"/>
  <c r="L32" i="9" s="1"/>
  <c r="D32" i="9"/>
  <c r="B32" i="9"/>
  <c r="E32" i="9" s="1"/>
  <c r="F32" i="9"/>
  <c r="X31" i="9"/>
  <c r="Z31" i="9"/>
  <c r="T31" i="9"/>
  <c r="R31" i="9"/>
  <c r="U31" i="9" s="1"/>
  <c r="V31" i="9" s="1"/>
  <c r="O31" i="9"/>
  <c r="M31" i="9"/>
  <c r="P31" i="9" s="1"/>
  <c r="Q31" i="9"/>
  <c r="J31" i="9"/>
  <c r="H31" i="9"/>
  <c r="K31" i="9" s="1"/>
  <c r="L31" i="9" s="1"/>
  <c r="D31" i="9"/>
  <c r="B31" i="9"/>
  <c r="E31" i="9" s="1"/>
  <c r="F31" i="9"/>
  <c r="X30" i="9"/>
  <c r="Z30" i="9"/>
  <c r="T30" i="9"/>
  <c r="R30" i="9"/>
  <c r="U30" i="9" s="1"/>
  <c r="V30" i="9" s="1"/>
  <c r="O30" i="9"/>
  <c r="M30" i="9"/>
  <c r="P30" i="9" s="1"/>
  <c r="Q30" i="9"/>
  <c r="J30" i="9"/>
  <c r="H30" i="9"/>
  <c r="K30" i="9" s="1"/>
  <c r="L30" i="9" s="1"/>
  <c r="D30" i="9"/>
  <c r="B30" i="9"/>
  <c r="E30" i="9" s="1"/>
  <c r="F30" i="9"/>
  <c r="X29" i="9"/>
  <c r="Z29" i="9"/>
  <c r="T29" i="9"/>
  <c r="R29" i="9"/>
  <c r="U29" i="9" s="1"/>
  <c r="V29" i="9" s="1"/>
  <c r="O29" i="9"/>
  <c r="M29" i="9"/>
  <c r="P29" i="9" s="1"/>
  <c r="Q29" i="9"/>
  <c r="J29" i="9"/>
  <c r="H29" i="9"/>
  <c r="K29" i="9" s="1"/>
  <c r="L29" i="9" s="1"/>
  <c r="D29" i="9"/>
  <c r="B29" i="9"/>
  <c r="E29" i="9" s="1"/>
  <c r="F29" i="9"/>
  <c r="X28" i="9"/>
  <c r="Z28" i="9"/>
  <c r="T28" i="9"/>
  <c r="R28" i="9"/>
  <c r="U28" i="9" s="1"/>
  <c r="V28" i="9" s="1"/>
  <c r="O28" i="9"/>
  <c r="M28" i="9"/>
  <c r="P28" i="9" s="1"/>
  <c r="Q28" i="9"/>
  <c r="J28" i="9"/>
  <c r="H28" i="9"/>
  <c r="K28" i="9" s="1"/>
  <c r="L28" i="9" s="1"/>
  <c r="D28" i="9"/>
  <c r="B28" i="9"/>
  <c r="E28" i="9" s="1"/>
  <c r="F28" i="9"/>
  <c r="X27" i="9"/>
  <c r="Z27" i="9"/>
  <c r="T27" i="9"/>
  <c r="V27" i="9"/>
  <c r="O27" i="9"/>
  <c r="Q27" i="9"/>
  <c r="J27" i="9"/>
  <c r="L27" i="9"/>
  <c r="D27" i="9"/>
  <c r="F27" i="9"/>
  <c r="X26" i="9"/>
  <c r="Z26" i="9"/>
  <c r="T26" i="9"/>
  <c r="V26" i="9"/>
  <c r="O26" i="9"/>
  <c r="Q26" i="9"/>
  <c r="J26" i="9"/>
  <c r="L26" i="9"/>
  <c r="D26" i="9"/>
  <c r="F26" i="9"/>
  <c r="X25" i="9"/>
  <c r="Z25" i="9"/>
  <c r="T25" i="9"/>
  <c r="V25" i="9"/>
  <c r="O25" i="9"/>
  <c r="Q25" i="9"/>
  <c r="J25" i="9"/>
  <c r="L25" i="9"/>
  <c r="D25" i="9"/>
  <c r="F25" i="9"/>
  <c r="X24" i="9"/>
  <c r="Z24" i="9"/>
  <c r="T24" i="9"/>
  <c r="V24" i="9"/>
  <c r="O24" i="9"/>
  <c r="Q24" i="9"/>
  <c r="J24" i="9"/>
  <c r="L24" i="9"/>
  <c r="D24" i="9"/>
  <c r="F24" i="9"/>
  <c r="X23" i="9"/>
  <c r="Z23" i="9"/>
  <c r="T23" i="9"/>
  <c r="V23" i="9"/>
  <c r="O23" i="9"/>
  <c r="Q23" i="9"/>
  <c r="J23" i="9"/>
  <c r="L23" i="9"/>
  <c r="D23" i="9"/>
  <c r="F23" i="9"/>
  <c r="X22" i="9"/>
  <c r="Z22" i="9"/>
  <c r="T22" i="9"/>
  <c r="V22" i="9"/>
  <c r="O22" i="9"/>
  <c r="Q22" i="9"/>
  <c r="J22" i="9"/>
  <c r="L22" i="9"/>
  <c r="D22" i="9"/>
  <c r="F22" i="9"/>
  <c r="X21" i="9"/>
  <c r="Z21" i="9"/>
  <c r="T21" i="9"/>
  <c r="V21" i="9"/>
  <c r="O21" i="9"/>
  <c r="Q21" i="9"/>
  <c r="J21" i="9"/>
  <c r="L21" i="9"/>
  <c r="D21" i="9"/>
  <c r="F21" i="9"/>
  <c r="X20" i="9"/>
  <c r="Z20" i="9"/>
  <c r="T20" i="9"/>
  <c r="V20" i="9"/>
  <c r="O20" i="9"/>
  <c r="Q20" i="9"/>
  <c r="J20" i="9"/>
  <c r="L20" i="9"/>
  <c r="D20" i="9"/>
  <c r="F20" i="9"/>
  <c r="X19" i="9"/>
  <c r="Z19" i="9"/>
  <c r="T19" i="9"/>
  <c r="V19" i="9"/>
  <c r="O19" i="9"/>
  <c r="Q19" i="9"/>
  <c r="J19" i="9"/>
  <c r="L19" i="9"/>
  <c r="D19" i="9"/>
  <c r="F19" i="9"/>
  <c r="X18" i="9"/>
  <c r="Z18" i="9"/>
  <c r="T18" i="9"/>
  <c r="V18" i="9"/>
  <c r="O18" i="9"/>
  <c r="Q18" i="9"/>
  <c r="J18" i="9"/>
  <c r="L18" i="9"/>
  <c r="D18" i="9"/>
  <c r="F18" i="9"/>
  <c r="X17" i="9"/>
  <c r="Z17" i="9"/>
  <c r="T17" i="9"/>
  <c r="V17" i="9"/>
  <c r="O17" i="9"/>
  <c r="Q17" i="9"/>
  <c r="J17" i="9"/>
  <c r="L17" i="9"/>
  <c r="D17" i="9"/>
  <c r="F17" i="9"/>
  <c r="X16" i="9"/>
  <c r="Z16" i="9"/>
  <c r="T16" i="9"/>
  <c r="V16" i="9"/>
  <c r="O16" i="9"/>
  <c r="Q16" i="9"/>
  <c r="J16" i="9"/>
  <c r="L16" i="9"/>
  <c r="D16" i="9"/>
  <c r="F16" i="9"/>
  <c r="X15" i="9"/>
  <c r="Z15" i="9"/>
  <c r="T15" i="9"/>
  <c r="V15" i="9"/>
  <c r="O15" i="9"/>
  <c r="Q15" i="9"/>
  <c r="J15" i="9"/>
  <c r="L15" i="9"/>
  <c r="D15" i="9"/>
  <c r="F15" i="9"/>
  <c r="X14" i="9"/>
  <c r="Z14" i="9"/>
  <c r="T14" i="9"/>
  <c r="V14" i="9"/>
  <c r="O14" i="9"/>
  <c r="Q14" i="9"/>
  <c r="J14" i="9"/>
  <c r="L14" i="9"/>
  <c r="D14" i="9"/>
  <c r="F14" i="9"/>
  <c r="X13" i="9"/>
  <c r="Z13" i="9"/>
  <c r="T13" i="9"/>
  <c r="V13" i="9"/>
  <c r="O13" i="9"/>
  <c r="Q13" i="9"/>
  <c r="J13" i="9"/>
  <c r="L13" i="9"/>
  <c r="D13" i="9"/>
  <c r="F13" i="9"/>
  <c r="X12" i="9"/>
  <c r="Z12" i="9"/>
  <c r="T12" i="9"/>
  <c r="V12" i="9"/>
  <c r="O12" i="9"/>
  <c r="Q12" i="9"/>
  <c r="J12" i="9"/>
  <c r="L12" i="9"/>
  <c r="D12" i="9"/>
  <c r="F12" i="9"/>
  <c r="X11" i="9"/>
  <c r="Z11" i="9"/>
  <c r="T11" i="9"/>
  <c r="V11" i="9"/>
  <c r="O11" i="9"/>
  <c r="Q11" i="9"/>
  <c r="J11" i="9"/>
  <c r="L11" i="9"/>
  <c r="D11" i="9"/>
  <c r="F11" i="9"/>
  <c r="X10" i="9"/>
  <c r="Z10" i="9"/>
  <c r="T10" i="9"/>
  <c r="V10" i="9"/>
  <c r="O10" i="9"/>
  <c r="Q10" i="9"/>
  <c r="J10" i="9"/>
  <c r="L10" i="9"/>
  <c r="D10" i="9"/>
  <c r="F10" i="9"/>
  <c r="X9" i="9"/>
  <c r="Z9" i="9"/>
  <c r="T9" i="9"/>
  <c r="V9" i="9"/>
  <c r="O9" i="9"/>
  <c r="Q9" i="9"/>
  <c r="J9" i="9"/>
  <c r="L9" i="9"/>
  <c r="D9" i="9"/>
  <c r="F9" i="9"/>
  <c r="X8" i="9"/>
  <c r="Z8" i="9"/>
  <c r="T8" i="9"/>
  <c r="V8" i="9"/>
  <c r="O8" i="9"/>
  <c r="Q8" i="9"/>
  <c r="J8" i="9"/>
  <c r="L8" i="9"/>
  <c r="D8" i="9"/>
  <c r="F8" i="9"/>
  <c r="X7" i="9"/>
  <c r="Z7" i="9"/>
  <c r="T7" i="9"/>
  <c r="V7" i="9"/>
  <c r="O7" i="9"/>
  <c r="Q7" i="9"/>
  <c r="J7" i="9"/>
  <c r="L7" i="9"/>
  <c r="D7" i="9"/>
  <c r="F7" i="9"/>
  <c r="X6" i="9"/>
  <c r="Z6" i="9"/>
  <c r="T6" i="9"/>
  <c r="V6" i="9"/>
  <c r="O6" i="9"/>
  <c r="Q6" i="9"/>
  <c r="J6" i="9"/>
  <c r="L6" i="9"/>
  <c r="D6" i="9"/>
  <c r="F6" i="9"/>
  <c r="X5" i="9"/>
  <c r="Z5" i="9"/>
  <c r="T5" i="9"/>
  <c r="V5" i="9"/>
  <c r="O5" i="9"/>
  <c r="Q5" i="9"/>
  <c r="J5" i="9"/>
  <c r="L5" i="9"/>
  <c r="D5" i="9"/>
  <c r="F5" i="9"/>
  <c r="X4" i="9"/>
  <c r="Z4" i="9"/>
  <c r="T4" i="9"/>
  <c r="V4" i="9"/>
  <c r="O4" i="9"/>
  <c r="Q4" i="9"/>
  <c r="J4" i="9"/>
  <c r="L4" i="9"/>
  <c r="D4" i="9"/>
  <c r="F4" i="9"/>
  <c r="X3" i="9"/>
  <c r="Z3" i="9"/>
  <c r="T3" i="9"/>
  <c r="V3" i="9"/>
  <c r="O3" i="9"/>
  <c r="Q3" i="9"/>
  <c r="J3" i="9"/>
  <c r="L3" i="9"/>
  <c r="D3" i="9"/>
  <c r="F3" i="9"/>
  <c r="X79" i="7"/>
  <c r="E96" i="5"/>
  <c r="E94" i="5"/>
  <c r="E92" i="5"/>
  <c r="E90" i="5"/>
  <c r="E88" i="5"/>
  <c r="E86" i="5"/>
  <c r="E84" i="5"/>
  <c r="E82" i="5"/>
  <c r="E80" i="5"/>
  <c r="E78" i="5"/>
  <c r="E76" i="5"/>
  <c r="E74" i="5"/>
  <c r="E72" i="5"/>
  <c r="E68" i="5"/>
  <c r="E64" i="5"/>
  <c r="E60" i="5"/>
  <c r="E56" i="5"/>
  <c r="E52" i="5"/>
  <c r="E48" i="5"/>
  <c r="E44" i="5"/>
  <c r="E40" i="5"/>
  <c r="E36" i="5"/>
  <c r="E32" i="5"/>
  <c r="E28" i="5"/>
  <c r="E24" i="5"/>
  <c r="E20" i="5"/>
  <c r="E16" i="5"/>
  <c r="E12" i="5"/>
  <c r="E8" i="5"/>
  <c r="E4" i="5"/>
  <c r="A39" i="5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5" i="5"/>
  <c r="A6" i="5"/>
  <c r="A7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C99" i="1"/>
  <c r="C108" i="1"/>
  <c r="C107" i="1"/>
  <c r="C106" i="1"/>
  <c r="C105" i="1"/>
  <c r="C104" i="1"/>
  <c r="C103" i="1"/>
  <c r="C101" i="1"/>
  <c r="C100" i="1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A41" i="4"/>
  <c r="A42" i="4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" i="4"/>
  <c r="A8" i="4"/>
  <c r="A9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G95" i="1"/>
  <c r="G95" i="2" s="1"/>
  <c r="G94" i="1"/>
  <c r="G94" i="2" s="1"/>
  <c r="G93" i="1"/>
  <c r="G93" i="2" s="1"/>
  <c r="B92" i="5"/>
  <c r="G91" i="1"/>
  <c r="G91" i="2"/>
  <c r="G90" i="1"/>
  <c r="G90" i="2"/>
  <c r="G89" i="1"/>
  <c r="G89" i="2"/>
  <c r="G87" i="1"/>
  <c r="G87" i="2" s="1"/>
  <c r="G86" i="1"/>
  <c r="G86" i="2" s="1"/>
  <c r="G85" i="1"/>
  <c r="G85" i="2" s="1"/>
  <c r="B84" i="5"/>
  <c r="G83" i="1"/>
  <c r="G83" i="2"/>
  <c r="G82" i="1"/>
  <c r="G82" i="2"/>
  <c r="G81" i="1"/>
  <c r="G81" i="2"/>
  <c r="G79" i="1"/>
  <c r="G79" i="2" s="1"/>
  <c r="G78" i="1"/>
  <c r="G78" i="2" s="1"/>
  <c r="G77" i="1"/>
  <c r="G77" i="2" s="1"/>
  <c r="B76" i="5"/>
  <c r="G75" i="1"/>
  <c r="G75" i="2"/>
  <c r="G74" i="1"/>
  <c r="G74" i="2"/>
  <c r="G73" i="1"/>
  <c r="G72" i="1"/>
  <c r="G72" i="2" s="1"/>
  <c r="G71" i="1"/>
  <c r="G71" i="2" s="1"/>
  <c r="G70" i="1"/>
  <c r="G70" i="2" s="1"/>
  <c r="G69" i="1"/>
  <c r="G69" i="2" s="1"/>
  <c r="G68" i="1"/>
  <c r="G68" i="2" s="1"/>
  <c r="G67" i="1"/>
  <c r="G67" i="2" s="1"/>
  <c r="G66" i="1"/>
  <c r="G66" i="2" s="1"/>
  <c r="G65" i="1"/>
  <c r="G65" i="2" s="1"/>
  <c r="G64" i="1"/>
  <c r="G64" i="2" s="1"/>
  <c r="G63" i="1"/>
  <c r="G63" i="2" s="1"/>
  <c r="B62" i="5"/>
  <c r="G61" i="1"/>
  <c r="G61" i="2"/>
  <c r="G60" i="1"/>
  <c r="G60" i="2"/>
  <c r="G59" i="1"/>
  <c r="G59" i="2"/>
  <c r="G58" i="1"/>
  <c r="G58" i="2"/>
  <c r="G57" i="1"/>
  <c r="G57" i="2"/>
  <c r="G56" i="1"/>
  <c r="G56" i="2"/>
  <c r="G55" i="1"/>
  <c r="G55" i="2"/>
  <c r="G54" i="1"/>
  <c r="G54" i="2"/>
  <c r="G53" i="1"/>
  <c r="G52" i="1"/>
  <c r="G52" i="2" s="1"/>
  <c r="G51" i="1"/>
  <c r="G51" i="2" s="1"/>
  <c r="G50" i="1"/>
  <c r="G50" i="2" s="1"/>
  <c r="G49" i="1"/>
  <c r="G49" i="2" s="1"/>
  <c r="G48" i="1"/>
  <c r="G48" i="2" s="1"/>
  <c r="G47" i="1"/>
  <c r="G47" i="2" s="1"/>
  <c r="G46" i="1"/>
  <c r="G46" i="2" s="1"/>
  <c r="G45" i="1"/>
  <c r="G45" i="2" s="1"/>
  <c r="G44" i="1"/>
  <c r="G44" i="2" s="1"/>
  <c r="G43" i="1"/>
  <c r="G43" i="2" s="1"/>
  <c r="G42" i="1"/>
  <c r="G42" i="2" s="1"/>
  <c r="G41" i="1"/>
  <c r="G41" i="2" s="1"/>
  <c r="G40" i="1"/>
  <c r="G40" i="2" s="1"/>
  <c r="G39" i="1"/>
  <c r="G39" i="2" s="1"/>
  <c r="G38" i="1"/>
  <c r="G38" i="2" s="1"/>
  <c r="G37" i="1"/>
  <c r="G37" i="2" s="1"/>
  <c r="G36" i="1"/>
  <c r="G36" i="2" s="1"/>
  <c r="G35" i="1"/>
  <c r="G35" i="2" s="1"/>
  <c r="G34" i="1"/>
  <c r="G34" i="2" s="1"/>
  <c r="G33" i="1"/>
  <c r="G10" i="1"/>
  <c r="G32" i="1"/>
  <c r="G32" i="2" s="1"/>
  <c r="G31" i="1"/>
  <c r="G31" i="2" s="1"/>
  <c r="B30" i="5"/>
  <c r="G29" i="1"/>
  <c r="G29" i="2"/>
  <c r="G28" i="1"/>
  <c r="G28" i="2"/>
  <c r="G27" i="1"/>
  <c r="G27" i="2"/>
  <c r="G25" i="1"/>
  <c r="G25" i="2" s="1"/>
  <c r="G24" i="1"/>
  <c r="G24" i="2" s="1"/>
  <c r="G23" i="1"/>
  <c r="G23" i="2" s="1"/>
  <c r="B22" i="5"/>
  <c r="G21" i="1"/>
  <c r="G21" i="2"/>
  <c r="G19" i="1"/>
  <c r="G19" i="2"/>
  <c r="G17" i="1"/>
  <c r="G17" i="2"/>
  <c r="G15" i="1"/>
  <c r="G15" i="2"/>
  <c r="G13" i="1"/>
  <c r="G13" i="2" s="1"/>
  <c r="G11" i="1"/>
  <c r="G11" i="2" s="1"/>
  <c r="B9" i="5"/>
  <c r="B5" i="5"/>
  <c r="A41" i="3"/>
  <c r="A42" i="3" s="1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" i="3"/>
  <c r="A8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G96" i="1"/>
  <c r="G96" i="2" s="1"/>
  <c r="G92" i="1"/>
  <c r="G92" i="2" s="1"/>
  <c r="G80" i="1"/>
  <c r="G80" i="2" s="1"/>
  <c r="G62" i="1"/>
  <c r="G62" i="2" s="1"/>
  <c r="G30" i="1"/>
  <c r="G30" i="2" s="1"/>
  <c r="G20" i="1"/>
  <c r="G20" i="2" s="1"/>
  <c r="G18" i="1"/>
  <c r="G18" i="2" s="1"/>
  <c r="G16" i="1"/>
  <c r="G16" i="2" s="1"/>
  <c r="G14" i="1"/>
  <c r="G14" i="2" s="1"/>
  <c r="G12" i="1"/>
  <c r="G12" i="2" s="1"/>
  <c r="G10" i="2"/>
  <c r="B85" i="5"/>
  <c r="B77" i="5"/>
  <c r="B71" i="5"/>
  <c r="B67" i="5"/>
  <c r="B59" i="5"/>
  <c r="B49" i="5"/>
  <c r="B33" i="5"/>
  <c r="B20" i="5"/>
  <c r="B16" i="5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A39" i="2"/>
  <c r="A40" i="2"/>
  <c r="A41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9" i="1"/>
  <c r="A40" i="1"/>
  <c r="A41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B21" i="5"/>
  <c r="B29" i="5"/>
  <c r="B42" i="5"/>
  <c r="B53" i="5"/>
  <c r="B83" i="5"/>
  <c r="B95" i="5"/>
  <c r="B79" i="5"/>
  <c r="B52" i="5"/>
  <c r="B44" i="5"/>
  <c r="B38" i="5"/>
  <c r="G22" i="1"/>
  <c r="G22" i="2" s="1"/>
  <c r="G100" i="1"/>
  <c r="G53" i="2"/>
  <c r="B94" i="5"/>
  <c r="G26" i="1"/>
  <c r="G26" i="2"/>
  <c r="G88" i="1"/>
  <c r="G88" i="2"/>
  <c r="B64" i="5"/>
  <c r="B60" i="5"/>
  <c r="B56" i="5"/>
  <c r="B50" i="5"/>
  <c r="B36" i="5"/>
  <c r="B34" i="5"/>
  <c r="B19" i="5"/>
  <c r="B17" i="5"/>
  <c r="B15" i="5"/>
  <c r="B13" i="5"/>
  <c r="B24" i="5"/>
  <c r="B39" i="5"/>
  <c r="B41" i="5"/>
  <c r="B45" i="5"/>
  <c r="B47" i="5"/>
  <c r="B54" i="5"/>
  <c r="B66" i="5"/>
  <c r="G76" i="1"/>
  <c r="G76" i="2" s="1"/>
  <c r="G84" i="1"/>
  <c r="G84" i="2" s="1"/>
  <c r="B72" i="5"/>
  <c r="B46" i="5"/>
  <c r="B40" i="5"/>
  <c r="B25" i="5"/>
  <c r="B23" i="5"/>
  <c r="G107" i="1"/>
  <c r="G102" i="1"/>
  <c r="B10" i="5"/>
  <c r="B28" i="5"/>
  <c r="B35" i="5"/>
  <c r="B43" i="5"/>
  <c r="B51" i="5"/>
  <c r="B55" i="5"/>
  <c r="B58" i="5"/>
  <c r="B61" i="5"/>
  <c r="B63" i="5"/>
  <c r="B69" i="5"/>
  <c r="B74" i="5"/>
  <c r="B78" i="5"/>
  <c r="B82" i="5"/>
  <c r="B86" i="5"/>
  <c r="B90" i="5"/>
  <c r="B93" i="5"/>
  <c r="G33" i="2"/>
  <c r="G99" i="1"/>
  <c r="G103" i="1"/>
  <c r="G105" i="1"/>
  <c r="G101" i="1"/>
  <c r="G106" i="1"/>
  <c r="G104" i="1"/>
  <c r="G108" i="1"/>
  <c r="G73" i="2"/>
</calcChain>
</file>

<file path=xl/comments1.xml><?xml version="1.0" encoding="utf-8"?>
<comments xmlns="http://schemas.openxmlformats.org/spreadsheetml/2006/main">
  <authors>
    <author>ABSELL , CHRISTOPHER DAVID</author>
  </authors>
  <commentList>
    <comment ref="E2" authorId="0" shapeId="0">
      <text>
        <r>
          <rPr>
            <b/>
            <sz val="9"/>
            <color indexed="81"/>
            <rFont val="Tahoma"/>
          </rPr>
          <t>ABSELL , CHRISTOPHER DAVID:</t>
        </r>
        <r>
          <rPr>
            <sz val="9"/>
            <color indexed="81"/>
            <rFont val="Tahoma"/>
          </rPr>
          <t xml:space="preserve">
Assumption: 1 barrel =88.9kg</t>
        </r>
      </text>
    </comment>
    <comment ref="O2" authorId="0" shapeId="0">
      <text>
        <r>
          <rPr>
            <b/>
            <sz val="9"/>
            <color indexed="81"/>
            <rFont val="Tahoma"/>
          </rPr>
          <t>ABSELL , CHRISTOPHER DAVID:</t>
        </r>
        <r>
          <rPr>
            <sz val="9"/>
            <color indexed="81"/>
            <rFont val="Tahoma"/>
          </rPr>
          <t xml:space="preserve">
Assumption: 5 yards per lb = 2.26 yards per kg</t>
        </r>
      </text>
    </comment>
  </commentList>
</comments>
</file>

<file path=xl/sharedStrings.xml><?xml version="1.0" encoding="utf-8"?>
<sst xmlns="http://schemas.openxmlformats.org/spreadsheetml/2006/main" count="273" uniqueCount="150">
  <si>
    <t>Year</t>
  </si>
  <si>
    <t xml:space="preserve">Corrected, </t>
  </si>
  <si>
    <t>Corrected,</t>
  </si>
  <si>
    <t xml:space="preserve">Export price index, </t>
  </si>
  <si>
    <t>(1913=1)</t>
  </si>
  <si>
    <t>Exports</t>
  </si>
  <si>
    <t>Imports</t>
  </si>
  <si>
    <t>New estimate</t>
  </si>
  <si>
    <t>current</t>
  </si>
  <si>
    <t>Constant</t>
  </si>
  <si>
    <t>Import price index</t>
  </si>
  <si>
    <t>Current</t>
  </si>
  <si>
    <t>United Kingdom</t>
  </si>
  <si>
    <t>Pounds/$</t>
  </si>
  <si>
    <t>from Federico-Tena World Trade database</t>
  </si>
  <si>
    <t>Official series</t>
  </si>
  <si>
    <t>Corrected series</t>
  </si>
  <si>
    <t>New freight series, high taxes</t>
  </si>
  <si>
    <t>Sterling</t>
  </si>
  <si>
    <t>Dollar</t>
  </si>
  <si>
    <t>New freight series, no taxes</t>
  </si>
  <si>
    <t>Sum sample</t>
  </si>
  <si>
    <t>Gonçalves</t>
  </si>
  <si>
    <t>New series</t>
  </si>
  <si>
    <t>Imlah</t>
  </si>
  <si>
    <t>Blattman, Hwang and Williamson</t>
  </si>
  <si>
    <t>Growth rates</t>
  </si>
  <si>
    <t>1821-1850</t>
  </si>
  <si>
    <t>1821-1870</t>
  </si>
  <si>
    <t>1821-1890</t>
  </si>
  <si>
    <t>1821-1913</t>
  </si>
  <si>
    <t>1850-1870</t>
  </si>
  <si>
    <t>1850-1890</t>
  </si>
  <si>
    <t>1850-1913</t>
  </si>
  <si>
    <t>1870-1890</t>
  </si>
  <si>
    <t>1870-1913</t>
  </si>
  <si>
    <t>1890-1913</t>
  </si>
  <si>
    <t>1827-1850</t>
  </si>
  <si>
    <t>1827-1870</t>
  </si>
  <si>
    <t>1827-1890</t>
  </si>
  <si>
    <t>1827-1913</t>
  </si>
  <si>
    <t>Official</t>
  </si>
  <si>
    <t>Beer and ale</t>
  </si>
  <si>
    <t>Coals</t>
  </si>
  <si>
    <t>Plain</t>
  </si>
  <si>
    <t>Printed</t>
  </si>
  <si>
    <t>Dyed</t>
  </si>
  <si>
    <t>Bleached</t>
  </si>
  <si>
    <t>Unbleached</t>
  </si>
  <si>
    <t>Beef, salted or cured</t>
  </si>
  <si>
    <t>Wheat flour</t>
  </si>
  <si>
    <t>Iron bars</t>
  </si>
  <si>
    <t>Petroleum</t>
  </si>
  <si>
    <t>Weighted Freight factor</t>
  </si>
  <si>
    <t>Commodity freight factor</t>
  </si>
  <si>
    <t>Coffee</t>
  </si>
  <si>
    <t>Sugar</t>
  </si>
  <si>
    <t>Cotton</t>
  </si>
  <si>
    <t>Hides</t>
  </si>
  <si>
    <t>Commodity freight rate</t>
  </si>
  <si>
    <t>Prices</t>
  </si>
  <si>
    <t>Cotton manufactures</t>
  </si>
  <si>
    <t>Product:</t>
  </si>
  <si>
    <t>Candles</t>
  </si>
  <si>
    <t>Bacalhao</t>
  </si>
  <si>
    <t>Charque</t>
  </si>
  <si>
    <t>Cement</t>
  </si>
  <si>
    <t>Lard</t>
  </si>
  <si>
    <t>Petroleum/Kerosene</t>
  </si>
  <si>
    <t>Iron rails</t>
  </si>
  <si>
    <t>Exchange rates</t>
  </si>
  <si>
    <t>Origen:</t>
  </si>
  <si>
    <t>UK</t>
  </si>
  <si>
    <t>US</t>
  </si>
  <si>
    <t>UK, Rio current prices</t>
  </si>
  <si>
    <t>Rio de la Plata</t>
  </si>
  <si>
    <t>Unit:</t>
  </si>
  <si>
    <r>
      <rPr>
        <sz val="11"/>
        <color rgb="FF000000"/>
        <rFont val="Calibri"/>
        <family val="2"/>
      </rPr>
      <t>£</t>
    </r>
    <r>
      <rPr>
        <sz val="11"/>
        <color theme="1"/>
        <rFont val="Calibri"/>
        <family val="2"/>
        <scheme val="minor"/>
      </rPr>
      <t>/litre</t>
    </r>
  </si>
  <si>
    <r>
      <t>£</t>
    </r>
    <r>
      <rPr>
        <sz val="11"/>
        <color theme="1"/>
        <rFont val="Calibri"/>
        <family val="2"/>
        <scheme val="minor"/>
      </rPr>
      <t>/ton</t>
    </r>
  </si>
  <si>
    <r>
      <t>£</t>
    </r>
    <r>
      <rPr>
        <sz val="11"/>
        <color theme="1"/>
        <rFont val="Calibri"/>
        <family val="2"/>
        <scheme val="minor"/>
      </rPr>
      <t>/yard</t>
    </r>
  </si>
  <si>
    <t>£/lb</t>
  </si>
  <si>
    <r>
      <t>£</t>
    </r>
    <r>
      <rPr>
        <sz val="11"/>
        <color theme="1"/>
        <rFont val="Calibri"/>
        <family val="2"/>
        <scheme val="minor"/>
      </rPr>
      <t>/cwt</t>
    </r>
  </si>
  <si>
    <t>£/kg</t>
  </si>
  <si>
    <r>
      <t>£</t>
    </r>
    <r>
      <rPr>
        <sz val="11"/>
        <color theme="1"/>
        <rFont val="Calibri"/>
        <family val="2"/>
        <scheme val="minor"/>
      </rPr>
      <t>/kg</t>
    </r>
  </si>
  <si>
    <t>£/gallon</t>
  </si>
  <si>
    <t>£/milréis</t>
  </si>
  <si>
    <t>£/réis</t>
  </si>
  <si>
    <t>$/£</t>
  </si>
  <si>
    <t>Cacao</t>
  </si>
  <si>
    <t>Sauerbeck: Rio, good channel</t>
  </si>
  <si>
    <t>Weighted av.</t>
  </si>
  <si>
    <t>Average</t>
  </si>
  <si>
    <t>Complete series</t>
  </si>
  <si>
    <t>Sauerbeck: British West Indian Refining</t>
  </si>
  <si>
    <t>Sauerbeck: Middling uplands</t>
  </si>
  <si>
    <t>Sauerbeck: River Plate Dry</t>
  </si>
  <si>
    <t>From Absell and Tena-Junguito (2016)</t>
  </si>
  <si>
    <t>Dollars</t>
  </si>
  <si>
    <t>Final prices, after adjustment</t>
  </si>
  <si>
    <t>Spain</t>
  </si>
  <si>
    <t>France</t>
  </si>
  <si>
    <t>Total Exports to Brazil</t>
  </si>
  <si>
    <t>Portugal</t>
  </si>
  <si>
    <t>c.i.f. values (minus weighted freight factor)</t>
  </si>
  <si>
    <t>Chile</t>
  </si>
  <si>
    <t>Hamburg</t>
  </si>
  <si>
    <t>Germany</t>
  </si>
  <si>
    <t>Belgium</t>
  </si>
  <si>
    <t>Sum</t>
  </si>
  <si>
    <t>Coverage</t>
  </si>
  <si>
    <t>% in total import value</t>
  </si>
  <si>
    <t>from official Brazilian sources</t>
  </si>
  <si>
    <t>Available series coverage</t>
  </si>
  <si>
    <r>
      <rPr>
        <sz val="10"/>
        <rFont val="Calibri"/>
        <family val="2"/>
      </rPr>
      <t>£</t>
    </r>
    <r>
      <rPr>
        <sz val="10"/>
        <rFont val="Arial"/>
        <family val="2"/>
      </rPr>
      <t>/ton</t>
    </r>
  </si>
  <si>
    <r>
      <rPr>
        <sz val="11"/>
        <color theme="1"/>
        <rFont val="Calibri"/>
        <family val="2"/>
      </rPr>
      <t>£</t>
    </r>
    <r>
      <rPr>
        <sz val="11"/>
        <color theme="1"/>
        <rFont val="Calibri"/>
        <family val="2"/>
        <scheme val="minor"/>
      </rPr>
      <t xml:space="preserve"> per ton</t>
    </r>
  </si>
  <si>
    <r>
      <rPr>
        <sz val="11"/>
        <color theme="1"/>
        <rFont val="Calibri"/>
        <family val="2"/>
      </rPr>
      <t>£</t>
    </r>
    <r>
      <rPr>
        <sz val="11"/>
        <color theme="1"/>
        <rFont val="Calibri"/>
        <family val="2"/>
        <scheme val="minor"/>
      </rPr>
      <t xml:space="preserve"> per lb</t>
    </r>
  </si>
  <si>
    <r>
      <t xml:space="preserve">In </t>
    </r>
    <r>
      <rPr>
        <sz val="11"/>
        <color theme="1"/>
        <rFont val="Calibri"/>
        <family val="2"/>
      </rPr>
      <t>£</t>
    </r>
  </si>
  <si>
    <t>Farinha de trigo</t>
  </si>
  <si>
    <t>Carvao de pedra</t>
  </si>
  <si>
    <t>Chitas (estampado o tinto)</t>
  </si>
  <si>
    <t>Morins e madapoloes (blancos)</t>
  </si>
  <si>
    <t>Pannos de algodao</t>
  </si>
  <si>
    <t>Carne secca</t>
  </si>
  <si>
    <t>BRA, mil-réis/kg</t>
  </si>
  <si>
    <t>BRA, $/barrel</t>
  </si>
  <si>
    <t>US, $/barrel</t>
  </si>
  <si>
    <t>BRA, mil-réis/ton</t>
  </si>
  <si>
    <t>BRA,£/ton</t>
  </si>
  <si>
    <r>
      <t xml:space="preserve">UK, </t>
    </r>
    <r>
      <rPr>
        <sz val="11"/>
        <color rgb="FF000000"/>
        <rFont val="Calibri"/>
        <family val="2"/>
      </rPr>
      <t>£</t>
    </r>
    <r>
      <rPr>
        <sz val="11"/>
        <color theme="1"/>
        <rFont val="Calibri"/>
        <family val="2"/>
        <scheme val="minor"/>
      </rPr>
      <t xml:space="preserve">/ton </t>
    </r>
  </si>
  <si>
    <t>BRA, £/yard</t>
  </si>
  <si>
    <t>UK, £/yard</t>
  </si>
  <si>
    <r>
      <t>Morins, madapol</t>
    </r>
    <r>
      <rPr>
        <sz val="11"/>
        <color rgb="FF000000"/>
        <rFont val="Calibri"/>
        <family val="2"/>
      </rPr>
      <t>õ</t>
    </r>
    <r>
      <rPr>
        <sz val="11"/>
        <color theme="1"/>
        <rFont val="Calibri"/>
        <family val="2"/>
        <scheme val="minor"/>
      </rPr>
      <t>es: blancos, reis/kg</t>
    </r>
  </si>
  <si>
    <t>Morins, madapolões: blancos, £/yard</t>
  </si>
  <si>
    <r>
      <t>Panno de algod</t>
    </r>
    <r>
      <rPr>
        <sz val="11"/>
        <color rgb="FF000000"/>
        <rFont val="Calibri"/>
        <family val="2"/>
      </rPr>
      <t>ã</t>
    </r>
    <r>
      <rPr>
        <sz val="11"/>
        <color theme="1"/>
        <rFont val="Calibri"/>
        <family val="2"/>
        <scheme val="minor"/>
      </rPr>
      <t>o, reis/kg</t>
    </r>
  </si>
  <si>
    <t>Panno de algodão, £/yard</t>
  </si>
  <si>
    <t xml:space="preserve">BRA, reis/kg </t>
  </si>
  <si>
    <r>
      <t xml:space="preserve">BRA, </t>
    </r>
    <r>
      <rPr>
        <sz val="11"/>
        <color rgb="FF000000"/>
        <rFont val="Calibri"/>
        <family val="2"/>
      </rPr>
      <t>£</t>
    </r>
    <r>
      <rPr>
        <sz val="11"/>
        <color theme="1"/>
        <rFont val="Calibri"/>
        <family val="2"/>
        <scheme val="minor"/>
      </rPr>
      <t>/cwt</t>
    </r>
  </si>
  <si>
    <r>
      <t xml:space="preserve">RIO current/UK, </t>
    </r>
    <r>
      <rPr>
        <sz val="11"/>
        <color rgb="FF000000"/>
        <rFont val="Calibri"/>
        <family val="2"/>
      </rPr>
      <t>£</t>
    </r>
    <r>
      <rPr>
        <sz val="11"/>
        <color theme="1"/>
        <rFont val="Calibri"/>
        <family val="2"/>
        <scheme val="minor"/>
      </rPr>
      <t>/cwt</t>
    </r>
  </si>
  <si>
    <t xml:space="preserve">RIO current, mil-réis/kg </t>
  </si>
  <si>
    <t>£</t>
  </si>
  <si>
    <t>$</t>
  </si>
  <si>
    <t>not listed</t>
  </si>
  <si>
    <t>TOT</t>
  </si>
  <si>
    <t>Re-estimate</t>
  </si>
  <si>
    <t>Re-estmate</t>
  </si>
  <si>
    <t>New index</t>
  </si>
  <si>
    <t>Great Britain</t>
  </si>
  <si>
    <t>Original</t>
  </si>
  <si>
    <t>Estimate B</t>
  </si>
  <si>
    <t>Estimate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</si>
</sst>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;&quot; (&quot;#,##0.00\);&quot; -&quot;#\ ;@\ "/>
    <numFmt numFmtId="165" formatCode="0.0"/>
    <numFmt numFmtId="166" formatCode="0.0000000"/>
    <numFmt numFmtId="167" formatCode="#,##0.000"/>
    <numFmt numFmtId="168" formatCode="0.000"/>
    <numFmt numFmtId="169" formatCode="0.0000"/>
    <numFmt numFmtId="170" formatCode="#.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</font>
    <font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1" fillId="2" borderId="1" applyNumberFormat="0" applyFont="0" applyAlignment="0" applyProtection="0"/>
    <xf numFmtId="0" fontId="4" fillId="0" borderId="0"/>
    <xf numFmtId="164" fontId="4" fillId="0" borderId="0" applyFill="0" applyBorder="0" applyAlignment="0" applyProtection="0"/>
    <xf numFmtId="9" fontId="5" fillId="0" borderId="0" applyFill="0" applyBorder="0" applyAlignment="0" applyProtection="0"/>
    <xf numFmtId="0" fontId="7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1" xfId="1" applyFont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 applyFont="1" applyFill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0" xfId="0" applyFill="1"/>
    <xf numFmtId="0" fontId="0" fillId="0" borderId="0" xfId="0" applyFont="1" applyFill="1"/>
    <xf numFmtId="0" fontId="2" fillId="0" borderId="0" xfId="0" applyFont="1"/>
    <xf numFmtId="165" fontId="6" fillId="0" borderId="0" xfId="0" applyNumberFormat="1" applyFont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 applyFont="1" applyBorder="1"/>
    <xf numFmtId="0" fontId="2" fillId="0" borderId="0" xfId="0" applyFont="1" applyAlignment="1">
      <alignment horizontal="left"/>
    </xf>
    <xf numFmtId="0" fontId="7" fillId="0" borderId="0" xfId="5"/>
    <xf numFmtId="3" fontId="7" fillId="0" borderId="0" xfId="5" applyNumberFormat="1"/>
    <xf numFmtId="0" fontId="7" fillId="0" borderId="2" xfId="5" applyBorder="1"/>
    <xf numFmtId="0" fontId="7" fillId="0" borderId="3" xfId="5" applyBorder="1"/>
    <xf numFmtId="0" fontId="7" fillId="0" borderId="0" xfId="5" applyFill="1"/>
    <xf numFmtId="0" fontId="7" fillId="0" borderId="0" xfId="5" applyAlignment="1"/>
    <xf numFmtId="0" fontId="7" fillId="0" borderId="0" xfId="5" applyFill="1" applyAlignment="1">
      <alignment horizontal="center"/>
    </xf>
    <xf numFmtId="0" fontId="6" fillId="0" borderId="0" xfId="5" applyFont="1"/>
    <xf numFmtId="0" fontId="6" fillId="0" borderId="0" xfId="5" applyFont="1" applyFill="1"/>
    <xf numFmtId="0" fontId="7" fillId="0" borderId="2" xfId="5" applyBorder="1" applyAlignment="1">
      <alignment horizontal="center"/>
    </xf>
    <xf numFmtId="0" fontId="7" fillId="0" borderId="0" xfId="5" applyAlignment="1">
      <alignment horizontal="center"/>
    </xf>
    <xf numFmtId="0" fontId="7" fillId="0" borderId="3" xfId="5" applyBorder="1" applyAlignment="1">
      <alignment horizontal="center"/>
    </xf>
    <xf numFmtId="0" fontId="7" fillId="0" borderId="0" xfId="5" applyFont="1"/>
    <xf numFmtId="2" fontId="7" fillId="0" borderId="0" xfId="5" applyNumberFormat="1"/>
    <xf numFmtId="166" fontId="7" fillId="0" borderId="0" xfId="5" applyNumberFormat="1"/>
    <xf numFmtId="2" fontId="7" fillId="0" borderId="0" xfId="5" applyNumberFormat="1" applyFill="1"/>
    <xf numFmtId="167" fontId="7" fillId="0" borderId="2" xfId="5" applyNumberFormat="1" applyFont="1" applyFill="1" applyBorder="1" applyAlignment="1" applyProtection="1">
      <alignment horizontal="center"/>
    </xf>
    <xf numFmtId="2" fontId="8" fillId="0" borderId="3" xfId="5" applyNumberFormat="1" applyFont="1" applyFill="1" applyBorder="1" applyAlignment="1">
      <alignment horizontal="center" vertical="center"/>
    </xf>
    <xf numFmtId="2" fontId="8" fillId="0" borderId="3" xfId="5" applyNumberFormat="1" applyFont="1" applyFill="1" applyBorder="1" applyAlignment="1">
      <alignment horizontal="center" vertical="top"/>
    </xf>
    <xf numFmtId="2" fontId="8" fillId="0" borderId="3" xfId="5" applyNumberFormat="1" applyFont="1" applyFill="1" applyBorder="1" applyAlignment="1">
      <alignment horizontal="center" vertical="center" wrapText="1"/>
    </xf>
    <xf numFmtId="0" fontId="7" fillId="0" borderId="0" xfId="5" applyFont="1" applyFill="1"/>
    <xf numFmtId="168" fontId="7" fillId="0" borderId="0" xfId="5" applyNumberFormat="1"/>
    <xf numFmtId="168" fontId="7" fillId="0" borderId="0" xfId="5" applyNumberFormat="1" applyFill="1"/>
    <xf numFmtId="169" fontId="7" fillId="0" borderId="0" xfId="5" applyNumberFormat="1"/>
    <xf numFmtId="0" fontId="4" fillId="0" borderId="0" xfId="2"/>
    <xf numFmtId="165" fontId="4" fillId="0" borderId="0" xfId="2" applyNumberFormat="1"/>
    <xf numFmtId="165" fontId="4" fillId="5" borderId="0" xfId="2" applyNumberFormat="1" applyFill="1"/>
    <xf numFmtId="165" fontId="4" fillId="0" borderId="3" xfId="2" applyNumberFormat="1" applyFill="1" applyBorder="1"/>
    <xf numFmtId="165" fontId="4" fillId="0" borderId="0" xfId="2" applyNumberFormat="1" applyFill="1"/>
    <xf numFmtId="2" fontId="4" fillId="0" borderId="0" xfId="2" applyNumberFormat="1"/>
    <xf numFmtId="2" fontId="4" fillId="5" borderId="0" xfId="2" applyNumberFormat="1" applyFill="1"/>
    <xf numFmtId="0" fontId="4" fillId="5" borderId="0" xfId="2" applyFill="1"/>
    <xf numFmtId="2" fontId="4" fillId="0" borderId="3" xfId="2" applyNumberFormat="1" applyBorder="1"/>
    <xf numFmtId="0" fontId="4" fillId="0" borderId="0" xfId="2" applyFill="1"/>
    <xf numFmtId="2" fontId="4" fillId="0" borderId="0" xfId="2" applyNumberFormat="1" applyFill="1"/>
    <xf numFmtId="165" fontId="4" fillId="0" borderId="0" xfId="2" applyNumberFormat="1" applyFont="1"/>
    <xf numFmtId="165" fontId="4" fillId="0" borderId="3" xfId="2" applyNumberFormat="1" applyBorder="1"/>
    <xf numFmtId="2" fontId="4" fillId="0" borderId="0" xfId="2" applyNumberFormat="1" applyFont="1"/>
    <xf numFmtId="0" fontId="4" fillId="0" borderId="3" xfId="2" applyBorder="1"/>
    <xf numFmtId="0" fontId="0" fillId="0" borderId="2" xfId="0" applyBorder="1"/>
    <xf numFmtId="0" fontId="7" fillId="0" borderId="0" xfId="5" applyBorder="1"/>
    <xf numFmtId="0" fontId="7" fillId="0" borderId="0" xfId="5" applyFill="1" applyBorder="1"/>
    <xf numFmtId="167" fontId="7" fillId="0" borderId="0" xfId="5" applyNumberFormat="1" applyFont="1" applyFill="1" applyBorder="1" applyAlignment="1" applyProtection="1">
      <alignment horizontal="center"/>
    </xf>
    <xf numFmtId="1" fontId="7" fillId="0" borderId="0" xfId="5" applyNumberFormat="1"/>
    <xf numFmtId="170" fontId="7" fillId="0" borderId="0" xfId="5" applyNumberFormat="1"/>
    <xf numFmtId="168" fontId="7" fillId="0" borderId="0" xfId="5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" applyAlignment="1">
      <alignment horizont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3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Border="1" applyAlignment="1">
      <alignment horizontal="center"/>
    </xf>
    <xf numFmtId="0" fontId="4" fillId="0" borderId="0" xfId="2" applyBorder="1" applyAlignment="1">
      <alignment horizontal="center"/>
    </xf>
    <xf numFmtId="0" fontId="4" fillId="0" borderId="3" xfId="2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 3" xfId="5"/>
    <cellStyle name="Note" xfId="1" builtinId="10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Dollars!$B$2</c:f>
              <c:strCache>
                <c:ptCount val="1"/>
                <c:pt idx="0">
                  <c:v>Corrected series</c:v>
                </c:pt>
              </c:strCache>
            </c:strRef>
          </c:tx>
          <c:spPr>
            <a:ln w="38100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Dollars!$A$4:$A$96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Dollars!$B$4:$B$96</c:f>
              <c:numCache>
                <c:formatCode>0</c:formatCode>
                <c:ptCount val="93"/>
                <c:pt idx="0">
                  <c:v>19244822.723286197</c:v>
                </c:pt>
                <c:pt idx="1">
                  <c:v>21888195.813010186</c:v>
                </c:pt>
                <c:pt idx="2">
                  <c:v>25554646.553870283</c:v>
                </c:pt>
                <c:pt idx="3">
                  <c:v>23151114.96320729</c:v>
                </c:pt>
                <c:pt idx="4">
                  <c:v>24395220.108862225</c:v>
                </c:pt>
                <c:pt idx="5">
                  <c:v>18029160.813164443</c:v>
                </c:pt>
                <c:pt idx="6">
                  <c:v>22780474.315248564</c:v>
                </c:pt>
                <c:pt idx="7">
                  <c:v>25409773.452527791</c:v>
                </c:pt>
                <c:pt idx="8">
                  <c:v>21349143.167538192</c:v>
                </c:pt>
                <c:pt idx="9">
                  <c:v>22268081.369319148</c:v>
                </c:pt>
                <c:pt idx="10">
                  <c:v>23568060.971311565</c:v>
                </c:pt>
                <c:pt idx="11">
                  <c:v>29282125.853266146</c:v>
                </c:pt>
                <c:pt idx="12">
                  <c:v>38865820.939925671</c:v>
                </c:pt>
                <c:pt idx="13">
                  <c:v>35075759.844758041</c:v>
                </c:pt>
                <c:pt idx="14">
                  <c:v>43094279.02257511</c:v>
                </c:pt>
                <c:pt idx="15">
                  <c:v>44128363.509369887</c:v>
                </c:pt>
                <c:pt idx="16">
                  <c:v>36136154.233219363</c:v>
                </c:pt>
                <c:pt idx="17">
                  <c:v>36333426.556451969</c:v>
                </c:pt>
                <c:pt idx="18">
                  <c:v>40396898.827995695</c:v>
                </c:pt>
                <c:pt idx="19">
                  <c:v>43602859.272894815</c:v>
                </c:pt>
                <c:pt idx="20">
                  <c:v>41604383.330835767</c:v>
                </c:pt>
                <c:pt idx="21">
                  <c:v>36299815.603240773</c:v>
                </c:pt>
                <c:pt idx="22">
                  <c:v>37550532.067897774</c:v>
                </c:pt>
                <c:pt idx="23">
                  <c:v>40422031.086392611</c:v>
                </c:pt>
                <c:pt idx="24">
                  <c:v>43574047.871527523</c:v>
                </c:pt>
                <c:pt idx="25">
                  <c:v>44385554.983270861</c:v>
                </c:pt>
                <c:pt idx="26">
                  <c:v>46699765.574732006</c:v>
                </c:pt>
                <c:pt idx="27">
                  <c:v>40760823.841432042</c:v>
                </c:pt>
                <c:pt idx="28">
                  <c:v>41473164.372980788</c:v>
                </c:pt>
                <c:pt idx="29">
                  <c:v>52725280.497797877</c:v>
                </c:pt>
                <c:pt idx="30">
                  <c:v>49907272.122842431</c:v>
                </c:pt>
                <c:pt idx="31">
                  <c:v>52053145.228308663</c:v>
                </c:pt>
                <c:pt idx="32">
                  <c:v>58014362.154141948</c:v>
                </c:pt>
                <c:pt idx="33">
                  <c:v>60188857.34423431</c:v>
                </c:pt>
                <c:pt idx="34">
                  <c:v>65383662.20297841</c:v>
                </c:pt>
                <c:pt idx="35">
                  <c:v>69851078.206171826</c:v>
                </c:pt>
                <c:pt idx="36">
                  <c:v>73430638.018400118</c:v>
                </c:pt>
                <c:pt idx="37">
                  <c:v>59732118.11914964</c:v>
                </c:pt>
                <c:pt idx="38">
                  <c:v>68744936.683135957</c:v>
                </c:pt>
                <c:pt idx="39">
                  <c:v>75613165.698533356</c:v>
                </c:pt>
                <c:pt idx="40">
                  <c:v>74113334.409293994</c:v>
                </c:pt>
                <c:pt idx="41">
                  <c:v>81203290.304191485</c:v>
                </c:pt>
                <c:pt idx="42">
                  <c:v>80783002.905758068</c:v>
                </c:pt>
                <c:pt idx="43">
                  <c:v>94094966.421711698</c:v>
                </c:pt>
                <c:pt idx="44">
                  <c:v>95153219.640804246</c:v>
                </c:pt>
                <c:pt idx="45">
                  <c:v>96563110.946912125</c:v>
                </c:pt>
                <c:pt idx="46">
                  <c:v>94645239.296489045</c:v>
                </c:pt>
                <c:pt idx="47">
                  <c:v>99983735.404607639</c:v>
                </c:pt>
                <c:pt idx="48">
                  <c:v>97579685.655255109</c:v>
                </c:pt>
                <c:pt idx="49">
                  <c:v>96631850.220350429</c:v>
                </c:pt>
                <c:pt idx="50">
                  <c:v>111636989.41568923</c:v>
                </c:pt>
                <c:pt idx="51">
                  <c:v>134165422.2618888</c:v>
                </c:pt>
                <c:pt idx="52">
                  <c:v>122741048.02657917</c:v>
                </c:pt>
                <c:pt idx="53">
                  <c:v>129184326.18728504</c:v>
                </c:pt>
                <c:pt idx="54">
                  <c:v>127343949.73754287</c:v>
                </c:pt>
                <c:pt idx="55">
                  <c:v>114313724.00522608</c:v>
                </c:pt>
                <c:pt idx="56">
                  <c:v>133210068.25645557</c:v>
                </c:pt>
                <c:pt idx="57">
                  <c:v>138132262.61656502</c:v>
                </c:pt>
                <c:pt idx="58">
                  <c:v>111144192.67642106</c:v>
                </c:pt>
                <c:pt idx="59">
                  <c:v>115529813.79447903</c:v>
                </c:pt>
                <c:pt idx="60">
                  <c:v>119597055.38715914</c:v>
                </c:pt>
                <c:pt idx="61">
                  <c:v>129785119.02807565</c:v>
                </c:pt>
                <c:pt idx="62">
                  <c:v>133055081.99394238</c:v>
                </c:pt>
                <c:pt idx="63">
                  <c:v>122748131.6755456</c:v>
                </c:pt>
                <c:pt idx="64">
                  <c:v>113884179.77568619</c:v>
                </c:pt>
                <c:pt idx="65">
                  <c:v>115887972.23992456</c:v>
                </c:pt>
                <c:pt idx="66">
                  <c:v>132846022.23419331</c:v>
                </c:pt>
                <c:pt idx="67">
                  <c:v>108046149.97230811</c:v>
                </c:pt>
                <c:pt idx="68">
                  <c:v>161467663.48287573</c:v>
                </c:pt>
                <c:pt idx="69">
                  <c:v>145382015.07459083</c:v>
                </c:pt>
                <c:pt idx="70">
                  <c:v>159584757.68832287</c:v>
                </c:pt>
                <c:pt idx="71">
                  <c:v>188278774.73808926</c:v>
                </c:pt>
                <c:pt idx="72">
                  <c:v>157773686.45615235</c:v>
                </c:pt>
                <c:pt idx="73">
                  <c:v>161964924.02851507</c:v>
                </c:pt>
                <c:pt idx="74">
                  <c:v>199993908.58326548</c:v>
                </c:pt>
                <c:pt idx="75">
                  <c:v>209978936.78665078</c:v>
                </c:pt>
                <c:pt idx="76">
                  <c:v>226645721.03076661</c:v>
                </c:pt>
                <c:pt idx="77">
                  <c:v>160121057.82995453</c:v>
                </c:pt>
                <c:pt idx="78">
                  <c:v>140644236.59683442</c:v>
                </c:pt>
                <c:pt idx="79">
                  <c:v>157615458.52147034</c:v>
                </c:pt>
                <c:pt idx="80">
                  <c:v>238037077.28243282</c:v>
                </c:pt>
                <c:pt idx="81">
                  <c:v>208858780.79171082</c:v>
                </c:pt>
                <c:pt idx="82">
                  <c:v>229509766.33774015</c:v>
                </c:pt>
                <c:pt idx="83">
                  <c:v>202430268.80883858</c:v>
                </c:pt>
                <c:pt idx="84">
                  <c:v>238210721.85323519</c:v>
                </c:pt>
                <c:pt idx="85">
                  <c:v>256435010.87170479</c:v>
                </c:pt>
                <c:pt idx="86">
                  <c:v>265738070.84755108</c:v>
                </c:pt>
                <c:pt idx="87">
                  <c:v>234493746.5021573</c:v>
                </c:pt>
                <c:pt idx="88">
                  <c:v>313186941.05595118</c:v>
                </c:pt>
                <c:pt idx="89">
                  <c:v>248945835.21508411</c:v>
                </c:pt>
                <c:pt idx="90">
                  <c:v>294530968.26550025</c:v>
                </c:pt>
                <c:pt idx="91">
                  <c:v>362134799.19635904</c:v>
                </c:pt>
                <c:pt idx="92">
                  <c:v>362477061.38883948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0-40B5-A40D-4791E1432CEC}"/>
            </c:ext>
          </c:extLst>
        </c:ser>
        <c:ser>
          <c:idx val="1"/>
          <c:order val="1"/>
          <c:tx>
            <c:strRef>
              <c:f>Dollars!$L$1</c:f>
              <c:strCache>
                <c:ptCount val="1"/>
                <c:pt idx="0">
                  <c:v>Official series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Dollars!$A$4:$A$96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Dollars!$L$4:$L$96</c:f>
              <c:numCache>
                <c:formatCode>General</c:formatCode>
                <c:ptCount val="93"/>
                <c:pt idx="0">
                  <c:v>20845139.200000003</c:v>
                </c:pt>
                <c:pt idx="1">
                  <c:v>20060131</c:v>
                </c:pt>
                <c:pt idx="2">
                  <c:v>20916221</c:v>
                </c:pt>
                <c:pt idx="3">
                  <c:v>18743972.300000001</c:v>
                </c:pt>
                <c:pt idx="4">
                  <c:v>22321949.000000004</c:v>
                </c:pt>
                <c:pt idx="5">
                  <c:v>16330807.600000001</c:v>
                </c:pt>
                <c:pt idx="6">
                  <c:v>18074899.600000001</c:v>
                </c:pt>
                <c:pt idx="7">
                  <c:v>20413432.799999997</c:v>
                </c:pt>
                <c:pt idx="8">
                  <c:v>16730142</c:v>
                </c:pt>
                <c:pt idx="9">
                  <c:v>15941836.799999999</c:v>
                </c:pt>
                <c:pt idx="10">
                  <c:v>16393117.300000001</c:v>
                </c:pt>
                <c:pt idx="11">
                  <c:v>22719462.900000002</c:v>
                </c:pt>
                <c:pt idx="12">
                  <c:v>29101388.800000004</c:v>
                </c:pt>
                <c:pt idx="13">
                  <c:v>25417336</c:v>
                </c:pt>
                <c:pt idx="14">
                  <c:v>29350989.599999998</c:v>
                </c:pt>
                <c:pt idx="15">
                  <c:v>29510779.800000001</c:v>
                </c:pt>
                <c:pt idx="16">
                  <c:v>24485546.25</c:v>
                </c:pt>
                <c:pt idx="17">
                  <c:v>21968804.800000001</c:v>
                </c:pt>
                <c:pt idx="18">
                  <c:v>26295729.749999996</c:v>
                </c:pt>
                <c:pt idx="19">
                  <c:v>27681660.800000001</c:v>
                </c:pt>
                <c:pt idx="20">
                  <c:v>25744788</c:v>
                </c:pt>
                <c:pt idx="21">
                  <c:v>22834672</c:v>
                </c:pt>
                <c:pt idx="22">
                  <c:v>22244118.799999997</c:v>
                </c:pt>
                <c:pt idx="23">
                  <c:v>23444657.75</c:v>
                </c:pt>
                <c:pt idx="24">
                  <c:v>25881216.899999999</c:v>
                </c:pt>
                <c:pt idx="25">
                  <c:v>27859981.5</c:v>
                </c:pt>
                <c:pt idx="26">
                  <c:v>30306271.5</c:v>
                </c:pt>
                <c:pt idx="27">
                  <c:v>30732406.250000004</c:v>
                </c:pt>
                <c:pt idx="28">
                  <c:v>28394789.150000002</c:v>
                </c:pt>
                <c:pt idx="29">
                  <c:v>34220460.299999997</c:v>
                </c:pt>
                <c:pt idx="30">
                  <c:v>39802695.399999999</c:v>
                </c:pt>
                <c:pt idx="31">
                  <c:v>40442300.899999999</c:v>
                </c:pt>
                <c:pt idx="32">
                  <c:v>42862685.149999999</c:v>
                </c:pt>
                <c:pt idx="33">
                  <c:v>47751828</c:v>
                </c:pt>
                <c:pt idx="34">
                  <c:v>51989167.999999993</c:v>
                </c:pt>
                <c:pt idx="35">
                  <c:v>58884709.949999996</c:v>
                </c:pt>
                <c:pt idx="36">
                  <c:v>58220781.70000001</c:v>
                </c:pt>
                <c:pt idx="37">
                  <c:v>53532078.75</c:v>
                </c:pt>
                <c:pt idx="38">
                  <c:v>56629159</c:v>
                </c:pt>
                <c:pt idx="39">
                  <c:v>60698688.100000001</c:v>
                </c:pt>
                <c:pt idx="40">
                  <c:v>63278515.700000003</c:v>
                </c:pt>
                <c:pt idx="41">
                  <c:v>63722226.650000006</c:v>
                </c:pt>
                <c:pt idx="42">
                  <c:v>68656389.400000006</c:v>
                </c:pt>
                <c:pt idx="43">
                  <c:v>74254906.25</c:v>
                </c:pt>
                <c:pt idx="44">
                  <c:v>77838538.950000003</c:v>
                </c:pt>
                <c:pt idx="45">
                  <c:v>77967045.400000006</c:v>
                </c:pt>
                <c:pt idx="46">
                  <c:v>80285010.799999997</c:v>
                </c:pt>
                <c:pt idx="47">
                  <c:v>76805638.049999997</c:v>
                </c:pt>
                <c:pt idx="48">
                  <c:v>72264268.600000009</c:v>
                </c:pt>
                <c:pt idx="49">
                  <c:v>74902287.799999997</c:v>
                </c:pt>
                <c:pt idx="50">
                  <c:v>83718315.200000003</c:v>
                </c:pt>
                <c:pt idx="51">
                  <c:v>100576906.65000001</c:v>
                </c:pt>
                <c:pt idx="52">
                  <c:v>104289045.80000001</c:v>
                </c:pt>
                <c:pt idx="53">
                  <c:v>104289045.80000001</c:v>
                </c:pt>
                <c:pt idx="54">
                  <c:v>104773975.80000001</c:v>
                </c:pt>
                <c:pt idx="55">
                  <c:v>100363537.45</c:v>
                </c:pt>
                <c:pt idx="56">
                  <c:v>96103427.400000006</c:v>
                </c:pt>
                <c:pt idx="57">
                  <c:v>93521175.150000006</c:v>
                </c:pt>
                <c:pt idx="58">
                  <c:v>95363994.750000015</c:v>
                </c:pt>
                <c:pt idx="59">
                  <c:v>99404295.5</c:v>
                </c:pt>
                <c:pt idx="60">
                  <c:v>97524508.250000015</c:v>
                </c:pt>
                <c:pt idx="61">
                  <c:v>88912808.400000006</c:v>
                </c:pt>
                <c:pt idx="62">
                  <c:v>89393739.5</c:v>
                </c:pt>
                <c:pt idx="63">
                  <c:v>94641819.299999997</c:v>
                </c:pt>
                <c:pt idx="64">
                  <c:v>84042792</c:v>
                </c:pt>
                <c:pt idx="65">
                  <c:v>86562088.399999991</c:v>
                </c:pt>
                <c:pt idx="66">
                  <c:v>106516417.2</c:v>
                </c:pt>
                <c:pt idx="67">
                  <c:v>105753694.2</c:v>
                </c:pt>
                <c:pt idx="68">
                  <c:v>139011122.40000001</c:v>
                </c:pt>
                <c:pt idx="69">
                  <c:v>128229711</c:v>
                </c:pt>
                <c:pt idx="70">
                  <c:v>131910809.60000001</c:v>
                </c:pt>
                <c:pt idx="71">
                  <c:v>150354627.40000001</c:v>
                </c:pt>
                <c:pt idx="72">
                  <c:v>155678847.29999998</c:v>
                </c:pt>
                <c:pt idx="73">
                  <c:v>148701557.90000001</c:v>
                </c:pt>
                <c:pt idx="74">
                  <c:v>159290143.80000001</c:v>
                </c:pt>
                <c:pt idx="75">
                  <c:v>138015709.59999999</c:v>
                </c:pt>
                <c:pt idx="76">
                  <c:v>125876793.89999999</c:v>
                </c:pt>
                <c:pt idx="77">
                  <c:v>121284606.3</c:v>
                </c:pt>
                <c:pt idx="78">
                  <c:v>124245771</c:v>
                </c:pt>
                <c:pt idx="79">
                  <c:v>161344627.59999999</c:v>
                </c:pt>
                <c:pt idx="80">
                  <c:v>197938819.40000001</c:v>
                </c:pt>
                <c:pt idx="81">
                  <c:v>177517420.30000001</c:v>
                </c:pt>
                <c:pt idx="82">
                  <c:v>179365717.30000001</c:v>
                </c:pt>
                <c:pt idx="83">
                  <c:v>191929468.00000003</c:v>
                </c:pt>
                <c:pt idx="84">
                  <c:v>217197123.59999999</c:v>
                </c:pt>
                <c:pt idx="85">
                  <c:v>257378597.19999999</c:v>
                </c:pt>
                <c:pt idx="86">
                  <c:v>263186448.29999998</c:v>
                </c:pt>
                <c:pt idx="87">
                  <c:v>214840568</c:v>
                </c:pt>
                <c:pt idx="88">
                  <c:v>310520679.59999996</c:v>
                </c:pt>
                <c:pt idx="89">
                  <c:v>306816396</c:v>
                </c:pt>
                <c:pt idx="90">
                  <c:v>324991269.70000005</c:v>
                </c:pt>
                <c:pt idx="91">
                  <c:v>363227104.20000005</c:v>
                </c:pt>
                <c:pt idx="92">
                  <c:v>318334028.69999999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0-40B5-A40D-4791E143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661968"/>
        <c:axId val="189658440"/>
      </c:lineChart>
      <c:catAx>
        <c:axId val="18966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658440"/>
        <c:crosses val="autoZero"/>
        <c:auto val="1"/>
        <c:lblAlgn val="ctr"/>
        <c:lblOffset val="100"/>
        <c:tickMarkSkip val="4"/>
        <c:noMultiLvlLbl val="0"/>
      </c:catAx>
      <c:valAx>
        <c:axId val="18965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6619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801E-2"/>
                <c:y val="0.231481481481482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AU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US Dollars,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'Price indices'!$K$4</c:f>
              <c:strCache>
                <c:ptCount val="1"/>
                <c:pt idx="0">
                  <c:v>TOT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'Price indices'!$A$12:$A$98</c:f>
              <c:numCache>
                <c:formatCode>General</c:formatCode>
                <c:ptCount val="87"/>
                <c:pt idx="0">
                  <c:v>1827</c:v>
                </c:pt>
                <c:pt idx="1">
                  <c:v>1828</c:v>
                </c:pt>
                <c:pt idx="2">
                  <c:v>1829</c:v>
                </c:pt>
                <c:pt idx="3">
                  <c:v>1830</c:v>
                </c:pt>
                <c:pt idx="4">
                  <c:v>1831</c:v>
                </c:pt>
                <c:pt idx="5">
                  <c:v>1832</c:v>
                </c:pt>
                <c:pt idx="6">
                  <c:v>1833</c:v>
                </c:pt>
                <c:pt idx="7">
                  <c:v>1834</c:v>
                </c:pt>
                <c:pt idx="8">
                  <c:v>1835</c:v>
                </c:pt>
                <c:pt idx="9">
                  <c:v>1836</c:v>
                </c:pt>
                <c:pt idx="10">
                  <c:v>1837</c:v>
                </c:pt>
                <c:pt idx="11">
                  <c:v>1838</c:v>
                </c:pt>
                <c:pt idx="12">
                  <c:v>1839</c:v>
                </c:pt>
                <c:pt idx="13">
                  <c:v>1840</c:v>
                </c:pt>
                <c:pt idx="14">
                  <c:v>1841</c:v>
                </c:pt>
                <c:pt idx="15">
                  <c:v>1842</c:v>
                </c:pt>
                <c:pt idx="16">
                  <c:v>1843</c:v>
                </c:pt>
                <c:pt idx="17">
                  <c:v>1844</c:v>
                </c:pt>
                <c:pt idx="18">
                  <c:v>1845</c:v>
                </c:pt>
                <c:pt idx="19">
                  <c:v>1846</c:v>
                </c:pt>
                <c:pt idx="20">
                  <c:v>1847</c:v>
                </c:pt>
                <c:pt idx="21">
                  <c:v>1848</c:v>
                </c:pt>
                <c:pt idx="22">
                  <c:v>1849</c:v>
                </c:pt>
                <c:pt idx="23">
                  <c:v>1850</c:v>
                </c:pt>
                <c:pt idx="24">
                  <c:v>1851</c:v>
                </c:pt>
                <c:pt idx="25">
                  <c:v>1852</c:v>
                </c:pt>
                <c:pt idx="26">
                  <c:v>1853</c:v>
                </c:pt>
                <c:pt idx="27">
                  <c:v>1854</c:v>
                </c:pt>
                <c:pt idx="28">
                  <c:v>1855</c:v>
                </c:pt>
                <c:pt idx="29">
                  <c:v>1856</c:v>
                </c:pt>
                <c:pt idx="30">
                  <c:v>1857</c:v>
                </c:pt>
                <c:pt idx="31">
                  <c:v>1858</c:v>
                </c:pt>
                <c:pt idx="32">
                  <c:v>1859</c:v>
                </c:pt>
                <c:pt idx="33">
                  <c:v>1860</c:v>
                </c:pt>
                <c:pt idx="34">
                  <c:v>1861</c:v>
                </c:pt>
                <c:pt idx="35">
                  <c:v>1862</c:v>
                </c:pt>
                <c:pt idx="36">
                  <c:v>1863</c:v>
                </c:pt>
                <c:pt idx="37">
                  <c:v>1864</c:v>
                </c:pt>
                <c:pt idx="38">
                  <c:v>1865</c:v>
                </c:pt>
                <c:pt idx="39">
                  <c:v>1866</c:v>
                </c:pt>
                <c:pt idx="40">
                  <c:v>1867</c:v>
                </c:pt>
                <c:pt idx="41">
                  <c:v>1868</c:v>
                </c:pt>
                <c:pt idx="42">
                  <c:v>1869</c:v>
                </c:pt>
                <c:pt idx="43">
                  <c:v>1870</c:v>
                </c:pt>
                <c:pt idx="44">
                  <c:v>1871</c:v>
                </c:pt>
                <c:pt idx="45">
                  <c:v>1872</c:v>
                </c:pt>
                <c:pt idx="46">
                  <c:v>1873</c:v>
                </c:pt>
                <c:pt idx="47">
                  <c:v>1874</c:v>
                </c:pt>
                <c:pt idx="48">
                  <c:v>1875</c:v>
                </c:pt>
                <c:pt idx="49">
                  <c:v>1876</c:v>
                </c:pt>
                <c:pt idx="50">
                  <c:v>1877</c:v>
                </c:pt>
                <c:pt idx="51">
                  <c:v>1878</c:v>
                </c:pt>
                <c:pt idx="52">
                  <c:v>1879</c:v>
                </c:pt>
                <c:pt idx="53">
                  <c:v>1880</c:v>
                </c:pt>
                <c:pt idx="54">
                  <c:v>1881</c:v>
                </c:pt>
                <c:pt idx="55">
                  <c:v>1882</c:v>
                </c:pt>
                <c:pt idx="56">
                  <c:v>1883</c:v>
                </c:pt>
                <c:pt idx="57">
                  <c:v>1884</c:v>
                </c:pt>
                <c:pt idx="58">
                  <c:v>1885</c:v>
                </c:pt>
                <c:pt idx="59">
                  <c:v>1886</c:v>
                </c:pt>
                <c:pt idx="60">
                  <c:v>1887</c:v>
                </c:pt>
                <c:pt idx="61">
                  <c:v>1888</c:v>
                </c:pt>
                <c:pt idx="62">
                  <c:v>1889</c:v>
                </c:pt>
                <c:pt idx="63">
                  <c:v>1890</c:v>
                </c:pt>
                <c:pt idx="64">
                  <c:v>1891</c:v>
                </c:pt>
                <c:pt idx="65">
                  <c:v>1892</c:v>
                </c:pt>
                <c:pt idx="66">
                  <c:v>1893</c:v>
                </c:pt>
                <c:pt idx="67">
                  <c:v>1894</c:v>
                </c:pt>
                <c:pt idx="68">
                  <c:v>1895</c:v>
                </c:pt>
                <c:pt idx="69">
                  <c:v>1896</c:v>
                </c:pt>
                <c:pt idx="70">
                  <c:v>1897</c:v>
                </c:pt>
                <c:pt idx="71">
                  <c:v>1898</c:v>
                </c:pt>
                <c:pt idx="72">
                  <c:v>1899</c:v>
                </c:pt>
                <c:pt idx="73">
                  <c:v>1900</c:v>
                </c:pt>
                <c:pt idx="74">
                  <c:v>1901</c:v>
                </c:pt>
                <c:pt idx="75">
                  <c:v>1902</c:v>
                </c:pt>
                <c:pt idx="76">
                  <c:v>1903</c:v>
                </c:pt>
                <c:pt idx="77">
                  <c:v>1904</c:v>
                </c:pt>
                <c:pt idx="78">
                  <c:v>1905</c:v>
                </c:pt>
                <c:pt idx="79">
                  <c:v>1906</c:v>
                </c:pt>
                <c:pt idx="80">
                  <c:v>1907</c:v>
                </c:pt>
                <c:pt idx="81">
                  <c:v>1908</c:v>
                </c:pt>
                <c:pt idx="82">
                  <c:v>1909</c:v>
                </c:pt>
                <c:pt idx="83">
                  <c:v>1910</c:v>
                </c:pt>
                <c:pt idx="84">
                  <c:v>1911</c:v>
                </c:pt>
                <c:pt idx="85">
                  <c:v>1912</c:v>
                </c:pt>
                <c:pt idx="86">
                  <c:v>1913</c:v>
                </c:pt>
              </c:numCache>
            </c:numRef>
          </c:cat>
          <c:val>
            <c:numRef>
              <c:f>'Price indices'!$K$12:$K$98</c:f>
              <c:numCache>
                <c:formatCode>General</c:formatCode>
                <c:ptCount val="87"/>
                <c:pt idx="0">
                  <c:v>0.69595157305806965</c:v>
                </c:pt>
                <c:pt idx="1">
                  <c:v>0.67872054075169042</c:v>
                </c:pt>
                <c:pt idx="2">
                  <c:v>0.6130991040556637</c:v>
                </c:pt>
                <c:pt idx="3">
                  <c:v>0.5933574622077652</c:v>
                </c:pt>
                <c:pt idx="4">
                  <c:v>0.62173794669106008</c:v>
                </c:pt>
                <c:pt idx="5">
                  <c:v>0.82582842343918661</c:v>
                </c:pt>
                <c:pt idx="6">
                  <c:v>0.81805694598785361</c:v>
                </c:pt>
                <c:pt idx="7">
                  <c:v>0.83901536349815742</c:v>
                </c:pt>
                <c:pt idx="8">
                  <c:v>0.82659802937765592</c:v>
                </c:pt>
                <c:pt idx="9">
                  <c:v>0.84518309476049203</c:v>
                </c:pt>
                <c:pt idx="10">
                  <c:v>0.75089397046410011</c:v>
                </c:pt>
                <c:pt idx="11">
                  <c:v>0.7730766302991513</c:v>
                </c:pt>
                <c:pt idx="12">
                  <c:v>0.79297005008213961</c:v>
                </c:pt>
                <c:pt idx="13">
                  <c:v>0.8863636338273283</c:v>
                </c:pt>
                <c:pt idx="14">
                  <c:v>0.876580923001546</c:v>
                </c:pt>
                <c:pt idx="15">
                  <c:v>0.81477240421229746</c:v>
                </c:pt>
                <c:pt idx="16">
                  <c:v>0.84734664581985886</c:v>
                </c:pt>
                <c:pt idx="17">
                  <c:v>0.82999527722323885</c:v>
                </c:pt>
                <c:pt idx="18">
                  <c:v>0.81278224948181943</c:v>
                </c:pt>
                <c:pt idx="19">
                  <c:v>0.77189366590087949</c:v>
                </c:pt>
                <c:pt idx="20">
                  <c:v>0.65963549477928707</c:v>
                </c:pt>
                <c:pt idx="21">
                  <c:v>0.61553229696682199</c:v>
                </c:pt>
                <c:pt idx="22">
                  <c:v>0.76959755514651496</c:v>
                </c:pt>
                <c:pt idx="23">
                  <c:v>0.87157506036523236</c:v>
                </c:pt>
                <c:pt idx="24">
                  <c:v>0.73916191056150815</c:v>
                </c:pt>
                <c:pt idx="25">
                  <c:v>0.76001991950324188</c:v>
                </c:pt>
                <c:pt idx="26">
                  <c:v>0.80019643141422847</c:v>
                </c:pt>
                <c:pt idx="27">
                  <c:v>0.7934675563804312</c:v>
                </c:pt>
                <c:pt idx="28">
                  <c:v>0.76304636196682252</c:v>
                </c:pt>
                <c:pt idx="29">
                  <c:v>0.80974536109590189</c:v>
                </c:pt>
                <c:pt idx="30">
                  <c:v>0.88808969114867153</c:v>
                </c:pt>
                <c:pt idx="31">
                  <c:v>0.78611144497256846</c:v>
                </c:pt>
                <c:pt idx="32">
                  <c:v>0.88215238470772772</c:v>
                </c:pt>
                <c:pt idx="33">
                  <c:v>0.96587174840802326</c:v>
                </c:pt>
                <c:pt idx="34">
                  <c:v>0.8961554118704097</c:v>
                </c:pt>
                <c:pt idx="35">
                  <c:v>0.98663751000351885</c:v>
                </c:pt>
                <c:pt idx="36">
                  <c:v>0.84903884432899324</c:v>
                </c:pt>
                <c:pt idx="37">
                  <c:v>0.81800546378852246</c:v>
                </c:pt>
                <c:pt idx="38">
                  <c:v>0.71323600214188732</c:v>
                </c:pt>
                <c:pt idx="39">
                  <c:v>0.67197187605897368</c:v>
                </c:pt>
                <c:pt idx="40">
                  <c:v>0.6688516842662201</c:v>
                </c:pt>
                <c:pt idx="41">
                  <c:v>0.71396674301152663</c:v>
                </c:pt>
                <c:pt idx="42">
                  <c:v>0.76136187955863166</c:v>
                </c:pt>
                <c:pt idx="43">
                  <c:v>0.80039665058407594</c:v>
                </c:pt>
                <c:pt idx="44">
                  <c:v>0.76306402241099269</c:v>
                </c:pt>
                <c:pt idx="45">
                  <c:v>0.86306605642688472</c:v>
                </c:pt>
                <c:pt idx="46">
                  <c:v>0.86286849077672689</c:v>
                </c:pt>
                <c:pt idx="47">
                  <c:v>0.9607482571699788</c:v>
                </c:pt>
                <c:pt idx="48">
                  <c:v>0.99201776369611627</c:v>
                </c:pt>
                <c:pt idx="49">
                  <c:v>0.98680089971986729</c:v>
                </c:pt>
                <c:pt idx="50">
                  <c:v>1.0902238502507249</c:v>
                </c:pt>
                <c:pt idx="51">
                  <c:v>1.1136706491595894</c:v>
                </c:pt>
                <c:pt idx="52">
                  <c:v>1.0339338040093711</c:v>
                </c:pt>
                <c:pt idx="53">
                  <c:v>1.1021229707057141</c:v>
                </c:pt>
                <c:pt idx="54">
                  <c:v>0.98128523477893426</c:v>
                </c:pt>
                <c:pt idx="55">
                  <c:v>0.9052946103815368</c:v>
                </c:pt>
                <c:pt idx="56">
                  <c:v>0.92208858814390926</c:v>
                </c:pt>
                <c:pt idx="57">
                  <c:v>0.9168839730745284</c:v>
                </c:pt>
                <c:pt idx="58">
                  <c:v>0.94021258423728726</c:v>
                </c:pt>
                <c:pt idx="59">
                  <c:v>1.0195433511308503</c:v>
                </c:pt>
                <c:pt idx="60">
                  <c:v>1.1878021359792992</c:v>
                </c:pt>
                <c:pt idx="61">
                  <c:v>1.0548716595408945</c:v>
                </c:pt>
                <c:pt idx="62">
                  <c:v>1.1616407287146504</c:v>
                </c:pt>
                <c:pt idx="63">
                  <c:v>1.1983216605380611</c:v>
                </c:pt>
                <c:pt idx="64">
                  <c:v>1.2973998964623998</c:v>
                </c:pt>
                <c:pt idx="65">
                  <c:v>1.3523393022933479</c:v>
                </c:pt>
                <c:pt idx="66">
                  <c:v>1.3427996356677825</c:v>
                </c:pt>
                <c:pt idx="67">
                  <c:v>1.4211361457527389</c:v>
                </c:pt>
                <c:pt idx="68">
                  <c:v>1.5726850474348784</c:v>
                </c:pt>
                <c:pt idx="69">
                  <c:v>1.564007897785116</c:v>
                </c:pt>
                <c:pt idx="70">
                  <c:v>1.28581176354132</c:v>
                </c:pt>
                <c:pt idx="71">
                  <c:v>0.84874032801675436</c:v>
                </c:pt>
                <c:pt idx="72">
                  <c:v>0.80982889783196321</c:v>
                </c:pt>
                <c:pt idx="73">
                  <c:v>0.8090999263391071</c:v>
                </c:pt>
                <c:pt idx="74">
                  <c:v>0.81714129118003986</c:v>
                </c:pt>
                <c:pt idx="75">
                  <c:v>0.81864316514814195</c:v>
                </c:pt>
                <c:pt idx="76">
                  <c:v>0.92687386074750322</c:v>
                </c:pt>
                <c:pt idx="77">
                  <c:v>0.99859334507459396</c:v>
                </c:pt>
                <c:pt idx="78">
                  <c:v>0.94611479878851212</c:v>
                </c:pt>
                <c:pt idx="79">
                  <c:v>0.88225720351763492</c:v>
                </c:pt>
                <c:pt idx="80">
                  <c:v>0.87776522115205768</c:v>
                </c:pt>
                <c:pt idx="81">
                  <c:v>0.83590144607283723</c:v>
                </c:pt>
                <c:pt idx="82">
                  <c:v>0.94428097093005592</c:v>
                </c:pt>
                <c:pt idx="83">
                  <c:v>0.98998587258470139</c:v>
                </c:pt>
                <c:pt idx="84">
                  <c:v>1.108586564629485</c:v>
                </c:pt>
                <c:pt idx="85">
                  <c:v>1.1137506435533289</c:v>
                </c:pt>
                <c:pt idx="8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8-4B68-B2D3-CF2824813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936624"/>
        <c:axId val="557938192"/>
      </c:lineChart>
      <c:catAx>
        <c:axId val="55793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38192"/>
        <c:crosses val="autoZero"/>
        <c:auto val="1"/>
        <c:lblAlgn val="ctr"/>
        <c:lblOffset val="100"/>
        <c:noMultiLvlLbl val="0"/>
      </c:catAx>
      <c:valAx>
        <c:axId val="55793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79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Coffee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prices'!$B$2</c:f>
              <c:strCache>
                <c:ptCount val="1"/>
                <c:pt idx="0">
                  <c:v>Sauerbeck: Rio, good channel</c:v>
                </c:pt>
              </c:strCache>
            </c:strRef>
          </c:tx>
          <c:spPr>
            <a:ln w="19050" cmpd="sng">
              <a:solidFill>
                <a:srgbClr val="00B0F0"/>
              </a:solidFill>
            </a:ln>
          </c:spPr>
          <c:marker>
            <c:symbol val="x"/>
            <c:size val="5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prices'!$B$3:$B$95</c:f>
              <c:numCache>
                <c:formatCode>0.0</c:formatCode>
                <c:ptCount val="93"/>
                <c:pt idx="25">
                  <c:v>25.647604260460341</c:v>
                </c:pt>
                <c:pt idx="26">
                  <c:v>26.686879206844729</c:v>
                </c:pt>
                <c:pt idx="27">
                  <c:v>23.17305632690946</c:v>
                </c:pt>
                <c:pt idx="28">
                  <c:v>30.556136511698842</c:v>
                </c:pt>
                <c:pt idx="29">
                  <c:v>40.647502858631597</c:v>
                </c:pt>
                <c:pt idx="30">
                  <c:v>32.658794584748776</c:v>
                </c:pt>
                <c:pt idx="31">
                  <c:v>35.484168987594387</c:v>
                </c:pt>
                <c:pt idx="32">
                  <c:v>39.237900906227949</c:v>
                </c:pt>
                <c:pt idx="33">
                  <c:v>42.855133818377517</c:v>
                </c:pt>
                <c:pt idx="34">
                  <c:v>37.631330804988082</c:v>
                </c:pt>
                <c:pt idx="35">
                  <c:v>39.195104671961083</c:v>
                </c:pt>
                <c:pt idx="36">
                  <c:v>44.093673893317963</c:v>
                </c:pt>
                <c:pt idx="37">
                  <c:v>36.507978401582307</c:v>
                </c:pt>
                <c:pt idx="38">
                  <c:v>46.181569937306008</c:v>
                </c:pt>
                <c:pt idx="39">
                  <c:v>53.003843234991891</c:v>
                </c:pt>
                <c:pt idx="40">
                  <c:v>47.54059286830212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7-4C48-BDA8-E06E5AD61F62}"/>
            </c:ext>
          </c:extLst>
        </c:ser>
        <c:ser>
          <c:idx val="1"/>
          <c:order val="1"/>
          <c:tx>
            <c:strRef>
              <c:f>'Export prices'!$C$2</c:f>
              <c:strCache>
                <c:ptCount val="1"/>
                <c:pt idx="0">
                  <c:v>UK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prices'!$C$3:$C$95</c:f>
              <c:numCache>
                <c:formatCode>0.0</c:formatCode>
                <c:ptCount val="93"/>
                <c:pt idx="33" formatCode="0.00">
                  <c:v>38.524335434467098</c:v>
                </c:pt>
                <c:pt idx="34" formatCode="0.00">
                  <c:v>39.48875274154463</c:v>
                </c:pt>
                <c:pt idx="35" formatCode="0.00">
                  <c:v>40.118800294667558</c:v>
                </c:pt>
                <c:pt idx="36" formatCode="0.00">
                  <c:v>41.977217752508537</c:v>
                </c:pt>
                <c:pt idx="37" formatCode="0.00">
                  <c:v>35.551091264790614</c:v>
                </c:pt>
                <c:pt idx="38" formatCode="0.00">
                  <c:v>44.55841842722576</c:v>
                </c:pt>
                <c:pt idx="39" formatCode="0.00">
                  <c:v>51.922120537234051</c:v>
                </c:pt>
                <c:pt idx="40" formatCode="0.00">
                  <c:v>48.185061563215385</c:v>
                </c:pt>
                <c:pt idx="41" formatCode="0.00">
                  <c:v>57.384654492309814</c:v>
                </c:pt>
                <c:pt idx="42" formatCode="0.00">
                  <c:v>60.535586370233439</c:v>
                </c:pt>
                <c:pt idx="43" formatCode="0.00">
                  <c:v>56.819455788377908</c:v>
                </c:pt>
                <c:pt idx="44" formatCode="0.00">
                  <c:v>54.642108823763301</c:v>
                </c:pt>
                <c:pt idx="45" formatCode="0.00">
                  <c:v>48.393671392453292</c:v>
                </c:pt>
                <c:pt idx="46" formatCode="0.00">
                  <c:v>44.941359777804173</c:v>
                </c:pt>
                <c:pt idx="47" formatCode="0.00">
                  <c:v>43.617139689620792</c:v>
                </c:pt>
                <c:pt idx="48" formatCode="0.00">
                  <c:v>42.124182595053988</c:v>
                </c:pt>
                <c:pt idx="49" formatCode="0.00">
                  <c:v>44.390286855477491</c:v>
                </c:pt>
                <c:pt idx="50" formatCode="0.00">
                  <c:v>46.234086975363226</c:v>
                </c:pt>
                <c:pt idx="51" formatCode="0.00">
                  <c:v>59.325713097253626</c:v>
                </c:pt>
                <c:pt idx="52" formatCode="0.00">
                  <c:v>71.09759162575223</c:v>
                </c:pt>
                <c:pt idx="53" formatCode="0.00">
                  <c:v>76.726732079871539</c:v>
                </c:pt>
                <c:pt idx="54" formatCode="0.00">
                  <c:v>74.086975133043254</c:v>
                </c:pt>
                <c:pt idx="55" formatCode="0.00">
                  <c:v>70.402434253533187</c:v>
                </c:pt>
                <c:pt idx="56" formatCode="0.00">
                  <c:v>71.966499572702972</c:v>
                </c:pt>
                <c:pt idx="57" formatCode="0.00">
                  <c:v>70.344216492662412</c:v>
                </c:pt>
                <c:pt idx="58" formatCode="0.00">
                  <c:v>59.751012591118588</c:v>
                </c:pt>
                <c:pt idx="59" formatCode="0.00">
                  <c:v>65.382347924655193</c:v>
                </c:pt>
                <c:pt idx="60" formatCode="0.00">
                  <c:v>53.077269114479208</c:v>
                </c:pt>
                <c:pt idx="61" formatCode="0.00">
                  <c:v>46.782912887455289</c:v>
                </c:pt>
                <c:pt idx="62" formatCode="0.00">
                  <c:v>46.846188972182951</c:v>
                </c:pt>
                <c:pt idx="63" formatCode="0.00">
                  <c:v>44.830996303697894</c:v>
                </c:pt>
                <c:pt idx="64" formatCode="0.00">
                  <c:v>43.700206226357736</c:v>
                </c:pt>
                <c:pt idx="65" formatCode="0.00">
                  <c:v>46.246794541828898</c:v>
                </c:pt>
                <c:pt idx="66" formatCode="0.00">
                  <c:v>63.616784384241669</c:v>
                </c:pt>
                <c:pt idx="67" formatCode="0.00">
                  <c:v>55.776115461029292</c:v>
                </c:pt>
                <c:pt idx="68" formatCode="0.00">
                  <c:v>69.019847349843118</c:v>
                </c:pt>
                <c:pt idx="69" formatCode="0.00">
                  <c:v>68.212593245082417</c:v>
                </c:pt>
                <c:pt idx="70" formatCode="0.00">
                  <c:v>70.517666762262394</c:v>
                </c:pt>
                <c:pt idx="71" formatCode="0.00">
                  <c:v>68.099560792349635</c:v>
                </c:pt>
                <c:pt idx="72" formatCode="0.00">
                  <c:v>71.566597022019437</c:v>
                </c:pt>
                <c:pt idx="73" formatCode="0.00">
                  <c:v>70.154428074684503</c:v>
                </c:pt>
                <c:pt idx="74" formatCode="0.00">
                  <c:v>71.557189340066557</c:v>
                </c:pt>
                <c:pt idx="75" formatCode="0.00">
                  <c:v>76.473693273643434</c:v>
                </c:pt>
                <c:pt idx="76" formatCode="0.00">
                  <c:v>55.752694905229149</c:v>
                </c:pt>
                <c:pt idx="77" formatCode="0.00">
                  <c:v>34.009526868027585</c:v>
                </c:pt>
                <c:pt idx="78" formatCode="0.00">
                  <c:v>28.230140993763396</c:v>
                </c:pt>
                <c:pt idx="79" formatCode="0.00">
                  <c:v>34.215117201206198</c:v>
                </c:pt>
                <c:pt idx="80" formatCode="0.00">
                  <c:v>33.036731439305299</c:v>
                </c:pt>
                <c:pt idx="81" formatCode="0.00">
                  <c:v>30.946044289354152</c:v>
                </c:pt>
                <c:pt idx="82" formatCode="0.00">
                  <c:v>32.849021400569967</c:v>
                </c:pt>
                <c:pt idx="83" formatCode="0.00">
                  <c:v>35.571707188102508</c:v>
                </c:pt>
                <c:pt idx="84" formatCode="0.00">
                  <c:v>36.269630587450976</c:v>
                </c:pt>
                <c:pt idx="85" formatCode="0.00">
                  <c:v>32.893356373987714</c:v>
                </c:pt>
                <c:pt idx="86" formatCode="0.00">
                  <c:v>30.105597406023666</c:v>
                </c:pt>
                <c:pt idx="87" formatCode="0.00">
                  <c:v>32.651327795613028</c:v>
                </c:pt>
                <c:pt idx="88" formatCode="0.00">
                  <c:v>33.035018745872769</c:v>
                </c:pt>
                <c:pt idx="89" formatCode="0.00">
                  <c:v>34.055962826333548</c:v>
                </c:pt>
                <c:pt idx="90" formatCode="0.00">
                  <c:v>52.743508257565551</c:v>
                </c:pt>
                <c:pt idx="91" formatCode="0.00">
                  <c:v>62.634832963772958</c:v>
                </c:pt>
                <c:pt idx="92" formatCode="0.00">
                  <c:v>57.09085322630915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7-4C48-BDA8-E06E5AD61F62}"/>
            </c:ext>
          </c:extLst>
        </c:ser>
        <c:ser>
          <c:idx val="2"/>
          <c:order val="2"/>
          <c:tx>
            <c:strRef>
              <c:f>'Export prices'!$D$2</c:f>
              <c:strCache>
                <c:ptCount val="1"/>
                <c:pt idx="0">
                  <c:v>Weighted av.</c:v>
                </c:pt>
              </c:strCache>
            </c:strRef>
          </c:tx>
          <c:spPr>
            <a:ln w="222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prices'!$D$3:$D$95</c:f>
              <c:numCache>
                <c:formatCode>0.0</c:formatCode>
                <c:ptCount val="93"/>
                <c:pt idx="0">
                  <c:v>107.24395127170122</c:v>
                </c:pt>
                <c:pt idx="1">
                  <c:v>102.50178942270273</c:v>
                </c:pt>
                <c:pt idx="2">
                  <c:v>108.2371416329397</c:v>
                </c:pt>
                <c:pt idx="3">
                  <c:v>69.54066772752121</c:v>
                </c:pt>
                <c:pt idx="4">
                  <c:v>67.29319107363375</c:v>
                </c:pt>
                <c:pt idx="5">
                  <c:v>57.327197765407767</c:v>
                </c:pt>
                <c:pt idx="6">
                  <c:v>53.184541599161818</c:v>
                </c:pt>
                <c:pt idx="7">
                  <c:v>49.62947719210824</c:v>
                </c:pt>
                <c:pt idx="8">
                  <c:v>46.737553442585906</c:v>
                </c:pt>
                <c:pt idx="9">
                  <c:v>44.83341572152456</c:v>
                </c:pt>
                <c:pt idx="10">
                  <c:v>45.275208183153389</c:v>
                </c:pt>
                <c:pt idx="11">
                  <c:v>51.688554405384451</c:v>
                </c:pt>
                <c:pt idx="12">
                  <c:v>52.904536053700795</c:v>
                </c:pt>
                <c:pt idx="13">
                  <c:v>50.386684762151958</c:v>
                </c:pt>
                <c:pt idx="14">
                  <c:v>50.637213077098167</c:v>
                </c:pt>
                <c:pt idx="15">
                  <c:v>49.468143513012464</c:v>
                </c:pt>
                <c:pt idx="16">
                  <c:v>43.527981793492529</c:v>
                </c:pt>
                <c:pt idx="17">
                  <c:v>43.789963459725357</c:v>
                </c:pt>
                <c:pt idx="18">
                  <c:v>45.057982542018749</c:v>
                </c:pt>
                <c:pt idx="19">
                  <c:v>43.856610716214369</c:v>
                </c:pt>
                <c:pt idx="20">
                  <c:v>43.629910815266939</c:v>
                </c:pt>
                <c:pt idx="21">
                  <c:v>38.211980835921622</c:v>
                </c:pt>
                <c:pt idx="22">
                  <c:v>33.83210701422805</c:v>
                </c:pt>
                <c:pt idx="23">
                  <c:v>31.305886028825853</c:v>
                </c:pt>
                <c:pt idx="24">
                  <c:v>29.646063821488816</c:v>
                </c:pt>
                <c:pt idx="25">
                  <c:v>30.190084101706432</c:v>
                </c:pt>
                <c:pt idx="26">
                  <c:v>30.579255637988719</c:v>
                </c:pt>
                <c:pt idx="27">
                  <c:v>27.05398978154566</c:v>
                </c:pt>
                <c:pt idx="28">
                  <c:v>32.030216394135543</c:v>
                </c:pt>
                <c:pt idx="29">
                  <c:v>41.857456002341628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7-4C48-BDA8-E06E5AD61F62}"/>
            </c:ext>
          </c:extLst>
        </c:ser>
        <c:ser>
          <c:idx val="3"/>
          <c:order val="3"/>
          <c:tx>
            <c:strRef>
              <c:f>'Export prices'!$F$2</c:f>
              <c:strCache>
                <c:ptCount val="1"/>
                <c:pt idx="0">
                  <c:v>Complete series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'Export prices'!$F$3:$F$95</c:f>
              <c:numCache>
                <c:formatCode>0.0</c:formatCode>
                <c:ptCount val="93"/>
                <c:pt idx="0">
                  <c:v>107.24395127170122</c:v>
                </c:pt>
                <c:pt idx="1">
                  <c:v>102.50178942270273</c:v>
                </c:pt>
                <c:pt idx="2">
                  <c:v>108.2371416329397</c:v>
                </c:pt>
                <c:pt idx="3">
                  <c:v>69.54066772752121</c:v>
                </c:pt>
                <c:pt idx="4">
                  <c:v>67.29319107363375</c:v>
                </c:pt>
                <c:pt idx="5">
                  <c:v>57.327197765407767</c:v>
                </c:pt>
                <c:pt idx="6">
                  <c:v>53.184541599161818</c:v>
                </c:pt>
                <c:pt idx="7">
                  <c:v>49.62947719210824</c:v>
                </c:pt>
                <c:pt idx="8">
                  <c:v>46.737553442585906</c:v>
                </c:pt>
                <c:pt idx="9">
                  <c:v>44.83341572152456</c:v>
                </c:pt>
                <c:pt idx="10">
                  <c:v>45.275208183153389</c:v>
                </c:pt>
                <c:pt idx="11">
                  <c:v>51.688554405384451</c:v>
                </c:pt>
                <c:pt idx="12">
                  <c:v>52.904536053700795</c:v>
                </c:pt>
                <c:pt idx="13">
                  <c:v>50.386684762151958</c:v>
                </c:pt>
                <c:pt idx="14">
                  <c:v>50.637213077098167</c:v>
                </c:pt>
                <c:pt idx="15">
                  <c:v>49.468143513012464</c:v>
                </c:pt>
                <c:pt idx="16">
                  <c:v>43.527981793492529</c:v>
                </c:pt>
                <c:pt idx="17">
                  <c:v>43.789963459725357</c:v>
                </c:pt>
                <c:pt idx="18">
                  <c:v>45.057982542018749</c:v>
                </c:pt>
                <c:pt idx="19">
                  <c:v>43.856610716214369</c:v>
                </c:pt>
                <c:pt idx="20">
                  <c:v>43.629910815266939</c:v>
                </c:pt>
                <c:pt idx="21">
                  <c:v>38.211980835921622</c:v>
                </c:pt>
                <c:pt idx="22">
                  <c:v>33.83210701422805</c:v>
                </c:pt>
                <c:pt idx="23">
                  <c:v>31.305886028825853</c:v>
                </c:pt>
                <c:pt idx="24">
                  <c:v>29.646063821488816</c:v>
                </c:pt>
                <c:pt idx="25">
                  <c:v>27.918844181083387</c:v>
                </c:pt>
                <c:pt idx="26">
                  <c:v>28.633067422416723</c:v>
                </c:pt>
                <c:pt idx="27">
                  <c:v>25.11352305422756</c:v>
                </c:pt>
                <c:pt idx="28">
                  <c:v>31.293176452917194</c:v>
                </c:pt>
                <c:pt idx="29">
                  <c:v>41.252479430486616</c:v>
                </c:pt>
                <c:pt idx="30">
                  <c:v>32.658794584748776</c:v>
                </c:pt>
                <c:pt idx="31">
                  <c:v>35.484168987594387</c:v>
                </c:pt>
                <c:pt idx="32">
                  <c:v>39.237900906227949</c:v>
                </c:pt>
                <c:pt idx="33">
                  <c:v>40.689734626422307</c:v>
                </c:pt>
                <c:pt idx="34">
                  <c:v>38.560041773266356</c:v>
                </c:pt>
                <c:pt idx="35">
                  <c:v>40.118800294667558</c:v>
                </c:pt>
                <c:pt idx="36">
                  <c:v>41.977217752508537</c:v>
                </c:pt>
                <c:pt idx="37">
                  <c:v>35.551091264790614</c:v>
                </c:pt>
                <c:pt idx="38">
                  <c:v>44.55841842722576</c:v>
                </c:pt>
                <c:pt idx="39">
                  <c:v>51.922120537234051</c:v>
                </c:pt>
                <c:pt idx="40">
                  <c:v>48.185061563215385</c:v>
                </c:pt>
                <c:pt idx="41">
                  <c:v>57.384654492309814</c:v>
                </c:pt>
                <c:pt idx="42">
                  <c:v>60.535586370233439</c:v>
                </c:pt>
                <c:pt idx="43">
                  <c:v>56.819455788377908</c:v>
                </c:pt>
                <c:pt idx="44">
                  <c:v>54.642108823763301</c:v>
                </c:pt>
                <c:pt idx="45">
                  <c:v>48.393671392453292</c:v>
                </c:pt>
                <c:pt idx="46">
                  <c:v>44.941359777804173</c:v>
                </c:pt>
                <c:pt idx="47">
                  <c:v>43.617139689620792</c:v>
                </c:pt>
                <c:pt idx="48">
                  <c:v>42.124182595053988</c:v>
                </c:pt>
                <c:pt idx="49">
                  <c:v>44.390286855477491</c:v>
                </c:pt>
                <c:pt idx="50">
                  <c:v>46.234086975363226</c:v>
                </c:pt>
                <c:pt idx="51">
                  <c:v>59.325713097253626</c:v>
                </c:pt>
                <c:pt idx="52">
                  <c:v>71.09759162575223</c:v>
                </c:pt>
                <c:pt idx="53">
                  <c:v>76.726732079871539</c:v>
                </c:pt>
                <c:pt idx="54">
                  <c:v>74.086975133043254</c:v>
                </c:pt>
                <c:pt idx="55">
                  <c:v>70.402434253533187</c:v>
                </c:pt>
                <c:pt idx="56">
                  <c:v>71.966499572702972</c:v>
                </c:pt>
                <c:pt idx="57">
                  <c:v>70.344216492662412</c:v>
                </c:pt>
                <c:pt idx="58">
                  <c:v>59.751012591118588</c:v>
                </c:pt>
                <c:pt idx="59">
                  <c:v>65.382347924655193</c:v>
                </c:pt>
                <c:pt idx="60">
                  <c:v>53.077269114479208</c:v>
                </c:pt>
                <c:pt idx="61">
                  <c:v>46.782912887455289</c:v>
                </c:pt>
                <c:pt idx="62">
                  <c:v>46.846188972182951</c:v>
                </c:pt>
                <c:pt idx="63">
                  <c:v>44.830996303697894</c:v>
                </c:pt>
                <c:pt idx="64">
                  <c:v>43.700206226357736</c:v>
                </c:pt>
                <c:pt idx="65">
                  <c:v>46.246794541828898</c:v>
                </c:pt>
                <c:pt idx="66">
                  <c:v>63.616784384241669</c:v>
                </c:pt>
                <c:pt idx="67">
                  <c:v>55.776115461029292</c:v>
                </c:pt>
                <c:pt idx="68">
                  <c:v>69.019847349843118</c:v>
                </c:pt>
                <c:pt idx="69">
                  <c:v>68.212593245082417</c:v>
                </c:pt>
                <c:pt idx="70">
                  <c:v>70.517666762262394</c:v>
                </c:pt>
                <c:pt idx="71">
                  <c:v>68.099560792349635</c:v>
                </c:pt>
                <c:pt idx="72">
                  <c:v>71.566597022019437</c:v>
                </c:pt>
                <c:pt idx="73">
                  <c:v>70.154428074684503</c:v>
                </c:pt>
                <c:pt idx="74">
                  <c:v>71.557189340066557</c:v>
                </c:pt>
                <c:pt idx="75">
                  <c:v>76.473693273643434</c:v>
                </c:pt>
                <c:pt idx="76">
                  <c:v>55.752694905229149</c:v>
                </c:pt>
                <c:pt idx="77">
                  <c:v>34.009526868027585</c:v>
                </c:pt>
                <c:pt idx="78">
                  <c:v>28.230140993763396</c:v>
                </c:pt>
                <c:pt idx="79">
                  <c:v>34.215117201206198</c:v>
                </c:pt>
                <c:pt idx="80">
                  <c:v>33.036731439305299</c:v>
                </c:pt>
                <c:pt idx="81">
                  <c:v>30.946044289354152</c:v>
                </c:pt>
                <c:pt idx="82">
                  <c:v>32.849021400569967</c:v>
                </c:pt>
                <c:pt idx="83">
                  <c:v>35.571707188102508</c:v>
                </c:pt>
                <c:pt idx="84">
                  <c:v>36.269630587450976</c:v>
                </c:pt>
                <c:pt idx="85">
                  <c:v>32.893356373987714</c:v>
                </c:pt>
                <c:pt idx="86">
                  <c:v>30.105597406023666</c:v>
                </c:pt>
                <c:pt idx="87">
                  <c:v>32.651327795613028</c:v>
                </c:pt>
                <c:pt idx="88">
                  <c:v>33.035018745872769</c:v>
                </c:pt>
                <c:pt idx="89">
                  <c:v>34.055962826333548</c:v>
                </c:pt>
                <c:pt idx="90">
                  <c:v>52.743508257565551</c:v>
                </c:pt>
                <c:pt idx="91">
                  <c:v>62.634832963772958</c:v>
                </c:pt>
                <c:pt idx="92">
                  <c:v>57.09085322630915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E7-4C48-BDA8-E06E5AD6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490168"/>
        <c:axId val="557488992"/>
      </c:lineChart>
      <c:catAx>
        <c:axId val="55749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74889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7488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£ per metric ton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74901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Sugar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prices'!$H$2</c:f>
              <c:strCache>
                <c:ptCount val="1"/>
                <c:pt idx="0">
                  <c:v>Sauerbeck: British West Indian Refining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prices'!$H$3:$H$95</c:f>
              <c:numCache>
                <c:formatCode>General</c:formatCode>
                <c:ptCount val="93"/>
                <c:pt idx="25">
                  <c:v>28.734154393599724</c:v>
                </c:pt>
                <c:pt idx="26">
                  <c:v>23.481855714691147</c:v>
                </c:pt>
                <c:pt idx="27">
                  <c:v>17.243745742696177</c:v>
                </c:pt>
                <c:pt idx="28">
                  <c:v>19.022333423815958</c:v>
                </c:pt>
                <c:pt idx="29">
                  <c:v>19.919886786427639</c:v>
                </c:pt>
                <c:pt idx="30">
                  <c:v>19.951045524339026</c:v>
                </c:pt>
                <c:pt idx="31">
                  <c:v>17.386850725655801</c:v>
                </c:pt>
                <c:pt idx="32">
                  <c:v>19.436735216022065</c:v>
                </c:pt>
                <c:pt idx="33">
                  <c:v>17.63905352735101</c:v>
                </c:pt>
                <c:pt idx="34">
                  <c:v>21.232414529993505</c:v>
                </c:pt>
                <c:pt idx="35">
                  <c:v>24.617127843802447</c:v>
                </c:pt>
                <c:pt idx="36">
                  <c:v>29.993899262211976</c:v>
                </c:pt>
                <c:pt idx="37">
                  <c:v>20.910110038092473</c:v>
                </c:pt>
                <c:pt idx="38">
                  <c:v>20.318321318423777</c:v>
                </c:pt>
                <c:pt idx="39">
                  <c:v>21.016887293996774</c:v>
                </c:pt>
                <c:pt idx="40">
                  <c:v>18.927362147320792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E5-4D83-ABAA-B42642332E66}"/>
            </c:ext>
          </c:extLst>
        </c:ser>
        <c:ser>
          <c:idx val="1"/>
          <c:order val="1"/>
          <c:tx>
            <c:strRef>
              <c:f>'Export prices'!$I$2</c:f>
              <c:strCache>
                <c:ptCount val="1"/>
                <c:pt idx="0">
                  <c:v>UK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prices'!$I$3:$I$95</c:f>
              <c:numCache>
                <c:formatCode>General</c:formatCode>
                <c:ptCount val="93"/>
                <c:pt idx="33" formatCode="0.00">
                  <c:v>17.232973282613305</c:v>
                </c:pt>
                <c:pt idx="34" formatCode="0.00">
                  <c:v>22.676775082045182</c:v>
                </c:pt>
                <c:pt idx="35" formatCode="0.00">
                  <c:v>24.102644660281964</c:v>
                </c:pt>
                <c:pt idx="36" formatCode="0.00">
                  <c:v>30.648308336728672</c:v>
                </c:pt>
                <c:pt idx="37" formatCode="0.00">
                  <c:v>22.660337096855777</c:v>
                </c:pt>
                <c:pt idx="38" formatCode="0.00">
                  <c:v>21.402092474339856</c:v>
                </c:pt>
                <c:pt idx="39" formatCode="0.00">
                  <c:v>22.234958450857636</c:v>
                </c:pt>
                <c:pt idx="40" formatCode="0.00">
                  <c:v>19.023642619623583</c:v>
                </c:pt>
                <c:pt idx="41" formatCode="0.00">
                  <c:v>17.988224840417931</c:v>
                </c:pt>
                <c:pt idx="42" formatCode="0.00">
                  <c:v>17.887767767585689</c:v>
                </c:pt>
                <c:pt idx="43" formatCode="0.00">
                  <c:v>22.840854033579575</c:v>
                </c:pt>
                <c:pt idx="44" formatCode="0.00">
                  <c:v>18.350043050918824</c:v>
                </c:pt>
                <c:pt idx="45" formatCode="0.00">
                  <c:v>16.751495449647518</c:v>
                </c:pt>
                <c:pt idx="46" formatCode="0.00">
                  <c:v>18.134390849137962</c:v>
                </c:pt>
                <c:pt idx="47" formatCode="0.00">
                  <c:v>19.296415752037756</c:v>
                </c:pt>
                <c:pt idx="48" formatCode="0.00">
                  <c:v>20.426534589379752</c:v>
                </c:pt>
                <c:pt idx="49" formatCode="0.00">
                  <c:v>19.442281867114897</c:v>
                </c:pt>
                <c:pt idx="50" formatCode="0.00">
                  <c:v>21.157685844114038</c:v>
                </c:pt>
                <c:pt idx="51" formatCode="0.00">
                  <c:v>22.449215064698674</c:v>
                </c:pt>
                <c:pt idx="52" formatCode="0.00">
                  <c:v>19.046033856347563</c:v>
                </c:pt>
                <c:pt idx="53" formatCode="0.00">
                  <c:v>18.34279708747653</c:v>
                </c:pt>
                <c:pt idx="54" formatCode="0.00">
                  <c:v>18.37551286984127</c:v>
                </c:pt>
                <c:pt idx="55" formatCode="0.00">
                  <c:v>17.615388062112224</c:v>
                </c:pt>
                <c:pt idx="56" formatCode="0.00">
                  <c:v>23.662700393898032</c:v>
                </c:pt>
                <c:pt idx="57" formatCode="0.00">
                  <c:v>18.023601224365656</c:v>
                </c:pt>
                <c:pt idx="58" formatCode="0.00">
                  <c:v>16.907226926347604</c:v>
                </c:pt>
                <c:pt idx="59" formatCode="0.00">
                  <c:v>18.94342382539099</c:v>
                </c:pt>
                <c:pt idx="60" formatCode="0.00">
                  <c:v>19.369699637986642</c:v>
                </c:pt>
                <c:pt idx="61" formatCode="0.00">
                  <c:v>18.142703424159581</c:v>
                </c:pt>
                <c:pt idx="62" formatCode="0.00">
                  <c:v>16.669441441584972</c:v>
                </c:pt>
                <c:pt idx="63" formatCode="0.00">
                  <c:v>13.158096110952796</c:v>
                </c:pt>
                <c:pt idx="64" formatCode="0.00">
                  <c:v>11.311640344223097</c:v>
                </c:pt>
                <c:pt idx="65" formatCode="0.00">
                  <c:v>11.684092581077211</c:v>
                </c:pt>
                <c:pt idx="66" formatCode="0.00">
                  <c:v>9.9691189129701332</c:v>
                </c:pt>
                <c:pt idx="67" formatCode="0.00">
                  <c:v>11.482902470806716</c:v>
                </c:pt>
                <c:pt idx="68" formatCode="0.00">
                  <c:v>12.994578891446267</c:v>
                </c:pt>
                <c:pt idx="69" formatCode="0.00">
                  <c:v>10.761057670780849</c:v>
                </c:pt>
                <c:pt idx="70" formatCode="0.00">
                  <c:v>10.751268980184852</c:v>
                </c:pt>
                <c:pt idx="71" formatCode="0.00">
                  <c:v>10.982955326390202</c:v>
                </c:pt>
                <c:pt idx="72" formatCode="0.00">
                  <c:v>11.945448284516962</c:v>
                </c:pt>
                <c:pt idx="73" formatCode="0.00">
                  <c:v>10.358407664808901</c:v>
                </c:pt>
                <c:pt idx="74" formatCode="0.00">
                  <c:v>7.7510960268985469</c:v>
                </c:pt>
                <c:pt idx="75" formatCode="0.00">
                  <c:v>8.6776785613148792</c:v>
                </c:pt>
                <c:pt idx="76" formatCode="0.00">
                  <c:v>7.9287852671145238</c:v>
                </c:pt>
                <c:pt idx="77" formatCode="0.00">
                  <c:v>8.4851096515305695</c:v>
                </c:pt>
                <c:pt idx="78" formatCode="0.00">
                  <c:v>9.1676731920669887</c:v>
                </c:pt>
                <c:pt idx="79" formatCode="0.00">
                  <c:v>9.3682335376967032</c:v>
                </c:pt>
                <c:pt idx="80" formatCode="0.00">
                  <c:v>8.1901321377414771</c:v>
                </c:pt>
                <c:pt idx="81" formatCode="0.00">
                  <c:v>5.8830823399446048</c:v>
                </c:pt>
                <c:pt idx="82" formatCode="0.00">
                  <c:v>7.1667522085866615</c:v>
                </c:pt>
                <c:pt idx="83" formatCode="0.00">
                  <c:v>7.199811641420176</c:v>
                </c:pt>
                <c:pt idx="84" formatCode="0.00">
                  <c:v>8.5918768919049704</c:v>
                </c:pt>
                <c:pt idx="85" formatCode="0.00">
                  <c:v>5.3735970767596752</c:v>
                </c:pt>
                <c:pt idx="86" formatCode="0.00">
                  <c:v>14.6456878123827</c:v>
                </c:pt>
                <c:pt idx="87" formatCode="0.00">
                  <c:v>9.1378157866721477</c:v>
                </c:pt>
                <c:pt idx="88" formatCode="0.00">
                  <c:v>9.1470904527993326</c:v>
                </c:pt>
                <c:pt idx="89" formatCode="0.00">
                  <c:v>11.182793888032267</c:v>
                </c:pt>
                <c:pt idx="90" formatCode="0.00">
                  <c:v>8.5815794111385379</c:v>
                </c:pt>
                <c:pt idx="91" formatCode="0.00">
                  <c:v>12.257494620825772</c:v>
                </c:pt>
                <c:pt idx="92" formatCode="0.00">
                  <c:v>9.0534814375982133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E5-4D83-ABAA-B42642332E66}"/>
            </c:ext>
          </c:extLst>
        </c:ser>
        <c:ser>
          <c:idx val="2"/>
          <c:order val="2"/>
          <c:tx>
            <c:strRef>
              <c:f>'Export prices'!$J$2</c:f>
              <c:strCache>
                <c:ptCount val="1"/>
                <c:pt idx="0">
                  <c:v>Weighted av.</c:v>
                </c:pt>
              </c:strCache>
            </c:strRef>
          </c:tx>
          <c:spPr>
            <a:ln w="222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prices'!$J$3:$J$95</c:f>
              <c:numCache>
                <c:formatCode>0.00</c:formatCode>
                <c:ptCount val="93"/>
                <c:pt idx="0">
                  <c:v>29.239047790517986</c:v>
                </c:pt>
                <c:pt idx="1">
                  <c:v>27.251749862207337</c:v>
                </c:pt>
                <c:pt idx="2">
                  <c:v>29.278081934877449</c:v>
                </c:pt>
                <c:pt idx="3">
                  <c:v>28.815987739617302</c:v>
                </c:pt>
                <c:pt idx="4">
                  <c:v>36.578734706975297</c:v>
                </c:pt>
                <c:pt idx="5">
                  <c:v>28.768415744653346</c:v>
                </c:pt>
                <c:pt idx="6">
                  <c:v>33.644282578651037</c:v>
                </c:pt>
                <c:pt idx="7">
                  <c:v>32.52337236519169</c:v>
                </c:pt>
                <c:pt idx="8">
                  <c:v>28.44688459365593</c:v>
                </c:pt>
                <c:pt idx="9">
                  <c:v>25.756916761997985</c:v>
                </c:pt>
                <c:pt idx="10">
                  <c:v>24.835755679076833</c:v>
                </c:pt>
                <c:pt idx="11">
                  <c:v>26.66222999423945</c:v>
                </c:pt>
                <c:pt idx="12">
                  <c:v>29.71268029307069</c:v>
                </c:pt>
                <c:pt idx="13">
                  <c:v>30.564444727851384</c:v>
                </c:pt>
                <c:pt idx="14">
                  <c:v>34.363703924627032</c:v>
                </c:pt>
                <c:pt idx="15">
                  <c:v>38.773059465734178</c:v>
                </c:pt>
                <c:pt idx="16">
                  <c:v>29.999447805005794</c:v>
                </c:pt>
                <c:pt idx="17">
                  <c:v>31.923917612093575</c:v>
                </c:pt>
                <c:pt idx="18">
                  <c:v>31.97708440787887</c:v>
                </c:pt>
                <c:pt idx="19">
                  <c:v>36.023067915428165</c:v>
                </c:pt>
                <c:pt idx="20">
                  <c:v>31.859081638755868</c:v>
                </c:pt>
                <c:pt idx="21">
                  <c:v>28.393506316868212</c:v>
                </c:pt>
                <c:pt idx="22">
                  <c:v>29.94530812042133</c:v>
                </c:pt>
                <c:pt idx="23">
                  <c:v>29.216203767095827</c:v>
                </c:pt>
                <c:pt idx="24">
                  <c:v>32.587638299037849</c:v>
                </c:pt>
                <c:pt idx="25">
                  <c:v>31.455004299861272</c:v>
                </c:pt>
                <c:pt idx="26">
                  <c:v>27.475384493140368</c:v>
                </c:pt>
                <c:pt idx="27">
                  <c:v>21.051611061760681</c:v>
                </c:pt>
                <c:pt idx="28">
                  <c:v>24.018145470422279</c:v>
                </c:pt>
                <c:pt idx="29">
                  <c:v>26.826908092204501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E5-4D83-ABAA-B42642332E66}"/>
            </c:ext>
          </c:extLst>
        </c:ser>
        <c:ser>
          <c:idx val="3"/>
          <c:order val="3"/>
          <c:tx>
            <c:strRef>
              <c:f>'Export prices'!$L$2</c:f>
              <c:strCache>
                <c:ptCount val="1"/>
                <c:pt idx="0">
                  <c:v>Complete series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'Export prices'!$L$3:$L$94</c:f>
              <c:numCache>
                <c:formatCode>0.0</c:formatCode>
                <c:ptCount val="92"/>
                <c:pt idx="0">
                  <c:v>29.239047790517986</c:v>
                </c:pt>
                <c:pt idx="1">
                  <c:v>27.251749862207337</c:v>
                </c:pt>
                <c:pt idx="2">
                  <c:v>29.278081934877449</c:v>
                </c:pt>
                <c:pt idx="3">
                  <c:v>28.815987739617302</c:v>
                </c:pt>
                <c:pt idx="4">
                  <c:v>36.578734706975297</c:v>
                </c:pt>
                <c:pt idx="5">
                  <c:v>28.768415744653346</c:v>
                </c:pt>
                <c:pt idx="6">
                  <c:v>33.644282578651037</c:v>
                </c:pt>
                <c:pt idx="7">
                  <c:v>32.52337236519169</c:v>
                </c:pt>
                <c:pt idx="8">
                  <c:v>28.44688459365593</c:v>
                </c:pt>
                <c:pt idx="9">
                  <c:v>25.756916761997985</c:v>
                </c:pt>
                <c:pt idx="10">
                  <c:v>24.835755679076833</c:v>
                </c:pt>
                <c:pt idx="11">
                  <c:v>26.66222999423945</c:v>
                </c:pt>
                <c:pt idx="12">
                  <c:v>29.71268029307069</c:v>
                </c:pt>
                <c:pt idx="13">
                  <c:v>30.564444727851384</c:v>
                </c:pt>
                <c:pt idx="14">
                  <c:v>34.363703924627032</c:v>
                </c:pt>
                <c:pt idx="15">
                  <c:v>38.773059465734178</c:v>
                </c:pt>
                <c:pt idx="16">
                  <c:v>29.999447805005794</c:v>
                </c:pt>
                <c:pt idx="17">
                  <c:v>31.923917612093575</c:v>
                </c:pt>
                <c:pt idx="18">
                  <c:v>31.97708440787887</c:v>
                </c:pt>
                <c:pt idx="19">
                  <c:v>36.023067915428165</c:v>
                </c:pt>
                <c:pt idx="20">
                  <c:v>31.859081638755868</c:v>
                </c:pt>
                <c:pt idx="21">
                  <c:v>28.393506316868212</c:v>
                </c:pt>
                <c:pt idx="22">
                  <c:v>29.94530812042133</c:v>
                </c:pt>
                <c:pt idx="23">
                  <c:v>29.216203767095827</c:v>
                </c:pt>
                <c:pt idx="24">
                  <c:v>32.587638299037849</c:v>
                </c:pt>
                <c:pt idx="25">
                  <c:v>30.094579346730498</c:v>
                </c:pt>
                <c:pt idx="26">
                  <c:v>25.478620103915759</c:v>
                </c:pt>
                <c:pt idx="27">
                  <c:v>19.147678402228429</c:v>
                </c:pt>
                <c:pt idx="28">
                  <c:v>21.520239447119117</c:v>
                </c:pt>
                <c:pt idx="29">
                  <c:v>23.373397439316072</c:v>
                </c:pt>
                <c:pt idx="30">
                  <c:v>19.951045524339026</c:v>
                </c:pt>
                <c:pt idx="31">
                  <c:v>17.386850725655801</c:v>
                </c:pt>
                <c:pt idx="32">
                  <c:v>19.436735216022065</c:v>
                </c:pt>
                <c:pt idx="33">
                  <c:v>17.232973282613305</c:v>
                </c:pt>
                <c:pt idx="34">
                  <c:v>22.676775082045182</c:v>
                </c:pt>
                <c:pt idx="35">
                  <c:v>24.102644660281964</c:v>
                </c:pt>
                <c:pt idx="36">
                  <c:v>30.648308336728672</c:v>
                </c:pt>
                <c:pt idx="37">
                  <c:v>22.660337096855777</c:v>
                </c:pt>
                <c:pt idx="38">
                  <c:v>21.402092474339856</c:v>
                </c:pt>
                <c:pt idx="39">
                  <c:v>22.234958450857636</c:v>
                </c:pt>
                <c:pt idx="40">
                  <c:v>19.023642619623583</c:v>
                </c:pt>
                <c:pt idx="41">
                  <c:v>17.988224840417931</c:v>
                </c:pt>
                <c:pt idx="42">
                  <c:v>17.887767767585689</c:v>
                </c:pt>
                <c:pt idx="43">
                  <c:v>22.840854033579575</c:v>
                </c:pt>
                <c:pt idx="44">
                  <c:v>18.350043050918824</c:v>
                </c:pt>
                <c:pt idx="45">
                  <c:v>16.751495449647518</c:v>
                </c:pt>
                <c:pt idx="46">
                  <c:v>18.134390849137962</c:v>
                </c:pt>
                <c:pt idx="47">
                  <c:v>19.296415752037756</c:v>
                </c:pt>
                <c:pt idx="48">
                  <c:v>20.426534589379752</c:v>
                </c:pt>
                <c:pt idx="49">
                  <c:v>19.442281867114897</c:v>
                </c:pt>
                <c:pt idx="50">
                  <c:v>21.157685844114038</c:v>
                </c:pt>
                <c:pt idx="51">
                  <c:v>22.449215064698674</c:v>
                </c:pt>
                <c:pt idx="52">
                  <c:v>19.046033856347563</c:v>
                </c:pt>
                <c:pt idx="53">
                  <c:v>18.34279708747653</c:v>
                </c:pt>
                <c:pt idx="54">
                  <c:v>18.37551286984127</c:v>
                </c:pt>
                <c:pt idx="55">
                  <c:v>17.615388062112224</c:v>
                </c:pt>
                <c:pt idx="56">
                  <c:v>23.662700393898032</c:v>
                </c:pt>
                <c:pt idx="57">
                  <c:v>18.023601224365656</c:v>
                </c:pt>
                <c:pt idx="58">
                  <c:v>16.907226926347604</c:v>
                </c:pt>
                <c:pt idx="59">
                  <c:v>18.94342382539099</c:v>
                </c:pt>
                <c:pt idx="60">
                  <c:v>19.369699637986642</c:v>
                </c:pt>
                <c:pt idx="61">
                  <c:v>18.142703424159581</c:v>
                </c:pt>
                <c:pt idx="62">
                  <c:v>16.669441441584972</c:v>
                </c:pt>
                <c:pt idx="63">
                  <c:v>13.158096110952796</c:v>
                </c:pt>
                <c:pt idx="64">
                  <c:v>11.311640344223097</c:v>
                </c:pt>
                <c:pt idx="65">
                  <c:v>11.684092581077211</c:v>
                </c:pt>
                <c:pt idx="66">
                  <c:v>9.9691189129701332</c:v>
                </c:pt>
                <c:pt idx="67">
                  <c:v>11.482902470806716</c:v>
                </c:pt>
                <c:pt idx="68">
                  <c:v>12.994578891446267</c:v>
                </c:pt>
                <c:pt idx="69">
                  <c:v>10.761057670780849</c:v>
                </c:pt>
                <c:pt idx="70">
                  <c:v>10.751268980184852</c:v>
                </c:pt>
                <c:pt idx="71">
                  <c:v>10.982955326390202</c:v>
                </c:pt>
                <c:pt idx="72">
                  <c:v>11.945448284516962</c:v>
                </c:pt>
                <c:pt idx="73">
                  <c:v>10.358407664808901</c:v>
                </c:pt>
                <c:pt idx="74">
                  <c:v>7.7510960268985469</c:v>
                </c:pt>
                <c:pt idx="75">
                  <c:v>8.6776785613148792</c:v>
                </c:pt>
                <c:pt idx="76">
                  <c:v>7.9287852671145238</c:v>
                </c:pt>
                <c:pt idx="77">
                  <c:v>8.4851096515305695</c:v>
                </c:pt>
                <c:pt idx="78">
                  <c:v>9.1676731920669887</c:v>
                </c:pt>
                <c:pt idx="79">
                  <c:v>9.3682335376967032</c:v>
                </c:pt>
                <c:pt idx="80">
                  <c:v>8.1901321377414771</c:v>
                </c:pt>
                <c:pt idx="81">
                  <c:v>5.8830823399446048</c:v>
                </c:pt>
                <c:pt idx="82">
                  <c:v>7.1667522085866615</c:v>
                </c:pt>
                <c:pt idx="83">
                  <c:v>7.199811641420176</c:v>
                </c:pt>
                <c:pt idx="84">
                  <c:v>8.5918768919049704</c:v>
                </c:pt>
                <c:pt idx="85">
                  <c:v>5.3735970767596752</c:v>
                </c:pt>
                <c:pt idx="86">
                  <c:v>14.6456878123827</c:v>
                </c:pt>
                <c:pt idx="87">
                  <c:v>9.1378157866721477</c:v>
                </c:pt>
                <c:pt idx="88">
                  <c:v>9.1470904527993326</c:v>
                </c:pt>
                <c:pt idx="89">
                  <c:v>11.182793888032267</c:v>
                </c:pt>
                <c:pt idx="90">
                  <c:v>8.5815794111385379</c:v>
                </c:pt>
                <c:pt idx="91">
                  <c:v>12.257494620825772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E5-4D83-ABAA-B4264233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09208"/>
        <c:axId val="559013128"/>
      </c:lineChart>
      <c:catAx>
        <c:axId val="559009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0131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9013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£ per metric 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009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648921097252201E-3"/>
          <c:y val="0.86156273246592796"/>
          <c:w val="0.99453510789027499"/>
          <c:h val="0.1277420803682960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Cotton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prices'!$M$2</c:f>
              <c:strCache>
                <c:ptCount val="1"/>
                <c:pt idx="0">
                  <c:v>Sauerbeck: Middling uplands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prices'!$M$3:$M$95</c:f>
              <c:numCache>
                <c:formatCode>General</c:formatCode>
                <c:ptCount val="93"/>
                <c:pt idx="25">
                  <c:v>36.039941926954391</c:v>
                </c:pt>
                <c:pt idx="26">
                  <c:v>46.180870637652681</c:v>
                </c:pt>
                <c:pt idx="27">
                  <c:v>30.237910016473776</c:v>
                </c:pt>
                <c:pt idx="28">
                  <c:v>38.602867672740423</c:v>
                </c:pt>
                <c:pt idx="29">
                  <c:v>55.549497318435442</c:v>
                </c:pt>
                <c:pt idx="30">
                  <c:v>43.01253446102838</c:v>
                </c:pt>
                <c:pt idx="31">
                  <c:v>41.787460995409035</c:v>
                </c:pt>
                <c:pt idx="32">
                  <c:v>46.064489976773082</c:v>
                </c:pt>
                <c:pt idx="33">
                  <c:v>43.031107960737408</c:v>
                </c:pt>
                <c:pt idx="34">
                  <c:v>45.017282248782315</c:v>
                </c:pt>
                <c:pt idx="35">
                  <c:v>50.298350736106592</c:v>
                </c:pt>
                <c:pt idx="36">
                  <c:v>62.244972163945761</c:v>
                </c:pt>
                <c:pt idx="37">
                  <c:v>54.860217079998144</c:v>
                </c:pt>
                <c:pt idx="38">
                  <c:v>54.523131275032213</c:v>
                </c:pt>
                <c:pt idx="39">
                  <c:v>49.644866558465587</c:v>
                </c:pt>
                <c:pt idx="40">
                  <c:v>68.602062693033986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8-4552-97E5-D1EFE42136E4}"/>
            </c:ext>
          </c:extLst>
        </c:ser>
        <c:ser>
          <c:idx val="1"/>
          <c:order val="1"/>
          <c:tx>
            <c:strRef>
              <c:f>'Export prices'!$N$2</c:f>
              <c:strCache>
                <c:ptCount val="1"/>
                <c:pt idx="0">
                  <c:v>UK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prices'!$N$3:$N$95</c:f>
              <c:numCache>
                <c:formatCode>General</c:formatCode>
                <c:ptCount val="93"/>
                <c:pt idx="33" formatCode="0.0">
                  <c:v>54.731192125961911</c:v>
                </c:pt>
                <c:pt idx="34" formatCode="0.0">
                  <c:v>51.460605376551683</c:v>
                </c:pt>
                <c:pt idx="35" formatCode="0.0">
                  <c:v>53.55876635690926</c:v>
                </c:pt>
                <c:pt idx="36" formatCode="0.0">
                  <c:v>64.688359410400338</c:v>
                </c:pt>
                <c:pt idx="37" formatCode="0.0">
                  <c:v>63.235704020337081</c:v>
                </c:pt>
                <c:pt idx="38" formatCode="0.0">
                  <c:v>64.784744246133116</c:v>
                </c:pt>
                <c:pt idx="39" formatCode="0.0">
                  <c:v>62.841082511454644</c:v>
                </c:pt>
                <c:pt idx="40" formatCode="0.0">
                  <c:v>77.162378024924138</c:v>
                </c:pt>
                <c:pt idx="41" formatCode="0.0">
                  <c:v>141.74388563753229</c:v>
                </c:pt>
                <c:pt idx="42" formatCode="0.0">
                  <c:v>181.93044300850124</c:v>
                </c:pt>
                <c:pt idx="43" formatCode="0.0">
                  <c:v>228.94445991020436</c:v>
                </c:pt>
                <c:pt idx="44" formatCode="0.0">
                  <c:v>156.01024714208251</c:v>
                </c:pt>
                <c:pt idx="45" formatCode="0.0">
                  <c:v>138.18191496017769</c:v>
                </c:pt>
                <c:pt idx="46" formatCode="0.0">
                  <c:v>90.762964450032015</c:v>
                </c:pt>
                <c:pt idx="47" formatCode="0.0">
                  <c:v>85.83147693015718</c:v>
                </c:pt>
                <c:pt idx="48" formatCode="0.0">
                  <c:v>97.794757500348624</c:v>
                </c:pt>
                <c:pt idx="49" formatCode="0.0">
                  <c:v>82.213350791497803</c:v>
                </c:pt>
                <c:pt idx="50" formatCode="0.0">
                  <c:v>64.415730942431964</c:v>
                </c:pt>
                <c:pt idx="51" formatCode="0.0">
                  <c:v>73.283914101293107</c:v>
                </c:pt>
                <c:pt idx="52" formatCode="0.0">
                  <c:v>73.228225382014969</c:v>
                </c:pt>
                <c:pt idx="53" formatCode="0.0">
                  <c:v>64.589919193018801</c:v>
                </c:pt>
                <c:pt idx="54" formatCode="0.0">
                  <c:v>60.784833215335873</c:v>
                </c:pt>
                <c:pt idx="55" formatCode="0.0">
                  <c:v>53.027367298384654</c:v>
                </c:pt>
                <c:pt idx="56" formatCode="0.0">
                  <c:v>49.737664766979158</c:v>
                </c:pt>
                <c:pt idx="57" formatCode="0.0">
                  <c:v>48.987849622049929</c:v>
                </c:pt>
                <c:pt idx="58" formatCode="0.0">
                  <c:v>47.19082054979075</c:v>
                </c:pt>
                <c:pt idx="59" formatCode="0.0">
                  <c:v>51.701236450125052</c:v>
                </c:pt>
                <c:pt idx="60" formatCode="0.0">
                  <c:v>50.69363576865242</c:v>
                </c:pt>
                <c:pt idx="61" formatCode="0.0">
                  <c:v>54.428150212228928</c:v>
                </c:pt>
                <c:pt idx="62" formatCode="0.0">
                  <c:v>47.518961856435332</c:v>
                </c:pt>
                <c:pt idx="63" formatCode="0.0">
                  <c:v>51.09445595689462</c:v>
                </c:pt>
                <c:pt idx="64" formatCode="0.0">
                  <c:v>49.932238343535978</c:v>
                </c:pt>
                <c:pt idx="65" formatCode="0.0">
                  <c:v>45.662000561274226</c:v>
                </c:pt>
                <c:pt idx="66" formatCode="0.0">
                  <c:v>43.511436476666994</c:v>
                </c:pt>
                <c:pt idx="67" formatCode="0.0">
                  <c:v>44.105884557699582</c:v>
                </c:pt>
                <c:pt idx="68" formatCode="0.0">
                  <c:v>46.03405627553559</c:v>
                </c:pt>
                <c:pt idx="69" formatCode="0.0">
                  <c:v>47.487793160080358</c:v>
                </c:pt>
                <c:pt idx="70" formatCode="0.0">
                  <c:v>44.873135596512249</c:v>
                </c:pt>
                <c:pt idx="71" formatCode="0.0">
                  <c:v>41.129505389511934</c:v>
                </c:pt>
                <c:pt idx="72" formatCode="0.0">
                  <c:v>40.139221427420452</c:v>
                </c:pt>
                <c:pt idx="73" formatCode="0.0">
                  <c:v>34.520579814142465</c:v>
                </c:pt>
                <c:pt idx="74" formatCode="0.0">
                  <c:v>33.852690900897912</c:v>
                </c:pt>
                <c:pt idx="75" formatCode="0.0">
                  <c:v>36.219618849148439</c:v>
                </c:pt>
                <c:pt idx="76" formatCode="0.0">
                  <c:v>34.146464337502174</c:v>
                </c:pt>
                <c:pt idx="77" formatCode="0.0">
                  <c:v>29.548228960975283</c:v>
                </c:pt>
                <c:pt idx="78" formatCode="0.0">
                  <c:v>30.712490953039168</c:v>
                </c:pt>
                <c:pt idx="79" formatCode="0.0">
                  <c:v>40.388858155091867</c:v>
                </c:pt>
                <c:pt idx="80" formatCode="0.0">
                  <c:v>44.960180322534939</c:v>
                </c:pt>
                <c:pt idx="81" formatCode="0.0">
                  <c:v>41.826139270471799</c:v>
                </c:pt>
                <c:pt idx="82" formatCode="0.0">
                  <c:v>56.921229347813544</c:v>
                </c:pt>
                <c:pt idx="83" formatCode="0.0">
                  <c:v>63.654640954084954</c:v>
                </c:pt>
                <c:pt idx="84" formatCode="0.0">
                  <c:v>64.373714359510018</c:v>
                </c:pt>
                <c:pt idx="85" formatCode="0.0">
                  <c:v>57.010768208036808</c:v>
                </c:pt>
                <c:pt idx="86" formatCode="0.0">
                  <c:v>63.64087215518974</c:v>
                </c:pt>
                <c:pt idx="87" formatCode="0.0">
                  <c:v>58.684129903209048</c:v>
                </c:pt>
                <c:pt idx="88" formatCode="0.0">
                  <c:v>65.949009256401226</c:v>
                </c:pt>
                <c:pt idx="89" formatCode="0.0">
                  <c:v>89.207407144960698</c:v>
                </c:pt>
                <c:pt idx="90" formatCode="0.0">
                  <c:v>65.734903195354761</c:v>
                </c:pt>
                <c:pt idx="91" formatCode="0.0">
                  <c:v>61.657658212951162</c:v>
                </c:pt>
                <c:pt idx="92" formatCode="0.0">
                  <c:v>60.52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8-4552-97E5-D1EFE42136E4}"/>
            </c:ext>
          </c:extLst>
        </c:ser>
        <c:ser>
          <c:idx val="2"/>
          <c:order val="2"/>
          <c:tx>
            <c:strRef>
              <c:f>'Export prices'!$O$2</c:f>
              <c:strCache>
                <c:ptCount val="1"/>
                <c:pt idx="0">
                  <c:v>Weighted av.</c:v>
                </c:pt>
              </c:strCache>
            </c:strRef>
          </c:tx>
          <c:spPr>
            <a:ln w="222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prices'!$O$3:$O$95</c:f>
              <c:numCache>
                <c:formatCode>0.00</c:formatCode>
                <c:ptCount val="93"/>
                <c:pt idx="0">
                  <c:v>61.520885923248294</c:v>
                </c:pt>
                <c:pt idx="1">
                  <c:v>50.644827136698382</c:v>
                </c:pt>
                <c:pt idx="2">
                  <c:v>51.453297594405157</c:v>
                </c:pt>
                <c:pt idx="3">
                  <c:v>57.177235890632211</c:v>
                </c:pt>
                <c:pt idx="4">
                  <c:v>79.015814988872734</c:v>
                </c:pt>
                <c:pt idx="5">
                  <c:v>40.86727700392639</c:v>
                </c:pt>
                <c:pt idx="6">
                  <c:v>42.409420529179094</c:v>
                </c:pt>
                <c:pt idx="7">
                  <c:v>46.256542553902925</c:v>
                </c:pt>
                <c:pt idx="8">
                  <c:v>40.10360676579468</c:v>
                </c:pt>
                <c:pt idx="9">
                  <c:v>49.746606849430208</c:v>
                </c:pt>
                <c:pt idx="10">
                  <c:v>39.217006074260915</c:v>
                </c:pt>
                <c:pt idx="11">
                  <c:v>48.290781624800331</c:v>
                </c:pt>
                <c:pt idx="12">
                  <c:v>63.226155595390743</c:v>
                </c:pt>
                <c:pt idx="13">
                  <c:v>65.483041383346389</c:v>
                </c:pt>
                <c:pt idx="14">
                  <c:v>75.117688351722308</c:v>
                </c:pt>
                <c:pt idx="15">
                  <c:v>68.765917993886077</c:v>
                </c:pt>
                <c:pt idx="16">
                  <c:v>43.893517925379797</c:v>
                </c:pt>
                <c:pt idx="17">
                  <c:v>44.108126971775889</c:v>
                </c:pt>
                <c:pt idx="18">
                  <c:v>54.508765309040051</c:v>
                </c:pt>
                <c:pt idx="19">
                  <c:v>38.568448573276598</c:v>
                </c:pt>
                <c:pt idx="20">
                  <c:v>43.003649604109079</c:v>
                </c:pt>
                <c:pt idx="21">
                  <c:v>36.045284437884689</c:v>
                </c:pt>
                <c:pt idx="22">
                  <c:v>31.950939850162296</c:v>
                </c:pt>
                <c:pt idx="23">
                  <c:v>34.863399966092011</c:v>
                </c:pt>
                <c:pt idx="24">
                  <c:v>27.737169411589871</c:v>
                </c:pt>
                <c:pt idx="25">
                  <c:v>35.413184449367158</c:v>
                </c:pt>
                <c:pt idx="26">
                  <c:v>45.383172312612203</c:v>
                </c:pt>
                <c:pt idx="27">
                  <c:v>28.595567718793596</c:v>
                </c:pt>
                <c:pt idx="28">
                  <c:v>29.897852388753694</c:v>
                </c:pt>
                <c:pt idx="29">
                  <c:v>56.3900053163511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8-4552-97E5-D1EFE42136E4}"/>
            </c:ext>
          </c:extLst>
        </c:ser>
        <c:ser>
          <c:idx val="3"/>
          <c:order val="3"/>
          <c:tx>
            <c:strRef>
              <c:f>'Export prices'!$Q$2</c:f>
              <c:strCache>
                <c:ptCount val="1"/>
                <c:pt idx="0">
                  <c:v>Complete series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prices'!$Q$3:$Q$95</c:f>
              <c:numCache>
                <c:formatCode>0.0</c:formatCode>
                <c:ptCount val="93"/>
                <c:pt idx="0">
                  <c:v>61.520885923248294</c:v>
                </c:pt>
                <c:pt idx="1">
                  <c:v>50.644827136698382</c:v>
                </c:pt>
                <c:pt idx="2">
                  <c:v>51.453297594405157</c:v>
                </c:pt>
                <c:pt idx="3">
                  <c:v>57.177235890632211</c:v>
                </c:pt>
                <c:pt idx="4">
                  <c:v>79.015814988872734</c:v>
                </c:pt>
                <c:pt idx="5">
                  <c:v>40.86727700392639</c:v>
                </c:pt>
                <c:pt idx="6">
                  <c:v>42.409420529179094</c:v>
                </c:pt>
                <c:pt idx="7">
                  <c:v>46.256542553902925</c:v>
                </c:pt>
                <c:pt idx="8">
                  <c:v>40.10360676579468</c:v>
                </c:pt>
                <c:pt idx="9">
                  <c:v>49.746606849430208</c:v>
                </c:pt>
                <c:pt idx="10">
                  <c:v>39.217006074260915</c:v>
                </c:pt>
                <c:pt idx="11">
                  <c:v>48.290781624800331</c:v>
                </c:pt>
                <c:pt idx="12">
                  <c:v>63.226155595390743</c:v>
                </c:pt>
                <c:pt idx="13">
                  <c:v>65.483041383346389</c:v>
                </c:pt>
                <c:pt idx="14">
                  <c:v>75.117688351722308</c:v>
                </c:pt>
                <c:pt idx="15">
                  <c:v>68.765917993886077</c:v>
                </c:pt>
                <c:pt idx="16">
                  <c:v>43.893517925379797</c:v>
                </c:pt>
                <c:pt idx="17">
                  <c:v>44.108126971775889</c:v>
                </c:pt>
                <c:pt idx="18">
                  <c:v>54.508765309040051</c:v>
                </c:pt>
                <c:pt idx="19">
                  <c:v>38.568448573276598</c:v>
                </c:pt>
                <c:pt idx="20">
                  <c:v>43.003649604109079</c:v>
                </c:pt>
                <c:pt idx="21">
                  <c:v>36.045284437884689</c:v>
                </c:pt>
                <c:pt idx="22">
                  <c:v>31.950939850162296</c:v>
                </c:pt>
                <c:pt idx="23">
                  <c:v>34.863399966092011</c:v>
                </c:pt>
                <c:pt idx="24">
                  <c:v>27.737169411589871</c:v>
                </c:pt>
                <c:pt idx="25">
                  <c:v>35.726563188160775</c:v>
                </c:pt>
                <c:pt idx="26">
                  <c:v>45.782021475132439</c:v>
                </c:pt>
                <c:pt idx="27">
                  <c:v>29.416738867633686</c:v>
                </c:pt>
                <c:pt idx="28">
                  <c:v>34.250360030747061</c:v>
                </c:pt>
                <c:pt idx="29">
                  <c:v>55.969751317393275</c:v>
                </c:pt>
                <c:pt idx="30">
                  <c:v>43.01253446102838</c:v>
                </c:pt>
                <c:pt idx="31">
                  <c:v>41.787460995409035</c:v>
                </c:pt>
                <c:pt idx="32">
                  <c:v>46.064489976773082</c:v>
                </c:pt>
                <c:pt idx="33">
                  <c:v>48.881150043349663</c:v>
                </c:pt>
                <c:pt idx="34">
                  <c:v>48.238943812667003</c:v>
                </c:pt>
                <c:pt idx="35">
                  <c:v>51.928558546507929</c:v>
                </c:pt>
                <c:pt idx="36">
                  <c:v>64.688359410400338</c:v>
                </c:pt>
                <c:pt idx="37">
                  <c:v>63.235704020337081</c:v>
                </c:pt>
                <c:pt idx="38">
                  <c:v>64.784744246133116</c:v>
                </c:pt>
                <c:pt idx="39">
                  <c:v>62.841082511454644</c:v>
                </c:pt>
                <c:pt idx="40">
                  <c:v>77.162378024924138</c:v>
                </c:pt>
                <c:pt idx="41">
                  <c:v>141.74388563753229</c:v>
                </c:pt>
                <c:pt idx="42">
                  <c:v>181.93044300850124</c:v>
                </c:pt>
                <c:pt idx="43">
                  <c:v>228.94445991020436</c:v>
                </c:pt>
                <c:pt idx="44">
                  <c:v>156.01024714208251</c:v>
                </c:pt>
                <c:pt idx="45">
                  <c:v>138.18191496017769</c:v>
                </c:pt>
                <c:pt idx="46">
                  <c:v>90.762964450032015</c:v>
                </c:pt>
                <c:pt idx="47">
                  <c:v>85.83147693015718</c:v>
                </c:pt>
                <c:pt idx="48">
                  <c:v>97.794757500348624</c:v>
                </c:pt>
                <c:pt idx="49">
                  <c:v>82.213350791497803</c:v>
                </c:pt>
                <c:pt idx="50">
                  <c:v>64.415730942431964</c:v>
                </c:pt>
                <c:pt idx="51">
                  <c:v>73.283914101293107</c:v>
                </c:pt>
                <c:pt idx="52">
                  <c:v>73.228225382014969</c:v>
                </c:pt>
                <c:pt idx="53">
                  <c:v>64.589919193018801</c:v>
                </c:pt>
                <c:pt idx="54">
                  <c:v>60.784833215335873</c:v>
                </c:pt>
                <c:pt idx="55">
                  <c:v>53.027367298384654</c:v>
                </c:pt>
                <c:pt idx="56">
                  <c:v>49.737664766979158</c:v>
                </c:pt>
                <c:pt idx="57">
                  <c:v>48.987849622049929</c:v>
                </c:pt>
                <c:pt idx="58">
                  <c:v>47.19082054979075</c:v>
                </c:pt>
                <c:pt idx="59">
                  <c:v>51.701236450125052</c:v>
                </c:pt>
                <c:pt idx="60">
                  <c:v>50.69363576865242</c:v>
                </c:pt>
                <c:pt idx="61">
                  <c:v>54.428150212228928</c:v>
                </c:pt>
                <c:pt idx="62">
                  <c:v>47.518961856435332</c:v>
                </c:pt>
                <c:pt idx="63">
                  <c:v>51.09445595689462</c:v>
                </c:pt>
                <c:pt idx="64">
                  <c:v>49.932238343535978</c:v>
                </c:pt>
                <c:pt idx="65">
                  <c:v>45.662000561274226</c:v>
                </c:pt>
                <c:pt idx="66">
                  <c:v>43.511436476666994</c:v>
                </c:pt>
                <c:pt idx="67">
                  <c:v>44.105884557699582</c:v>
                </c:pt>
                <c:pt idx="68">
                  <c:v>46.03405627553559</c:v>
                </c:pt>
                <c:pt idx="69">
                  <c:v>47.487793160080358</c:v>
                </c:pt>
                <c:pt idx="70">
                  <c:v>44.873135596512249</c:v>
                </c:pt>
                <c:pt idx="71">
                  <c:v>41.129505389511934</c:v>
                </c:pt>
                <c:pt idx="72">
                  <c:v>40.139221427420452</c:v>
                </c:pt>
                <c:pt idx="73">
                  <c:v>34.520579814142465</c:v>
                </c:pt>
                <c:pt idx="74">
                  <c:v>33.852690900897912</c:v>
                </c:pt>
                <c:pt idx="75">
                  <c:v>36.219618849148439</c:v>
                </c:pt>
                <c:pt idx="76">
                  <c:v>34.146464337502174</c:v>
                </c:pt>
                <c:pt idx="77">
                  <c:v>29.548228960975283</c:v>
                </c:pt>
                <c:pt idx="78">
                  <c:v>30.712490953039168</c:v>
                </c:pt>
                <c:pt idx="79">
                  <c:v>40.388858155091867</c:v>
                </c:pt>
                <c:pt idx="80">
                  <c:v>44.960180322534939</c:v>
                </c:pt>
                <c:pt idx="81">
                  <c:v>41.826139270471799</c:v>
                </c:pt>
                <c:pt idx="82">
                  <c:v>56.921229347813544</c:v>
                </c:pt>
                <c:pt idx="83">
                  <c:v>63.654640954084954</c:v>
                </c:pt>
                <c:pt idx="84">
                  <c:v>64.373714359510018</c:v>
                </c:pt>
                <c:pt idx="85">
                  <c:v>57.010768208036808</c:v>
                </c:pt>
                <c:pt idx="86">
                  <c:v>63.64087215518974</c:v>
                </c:pt>
                <c:pt idx="87">
                  <c:v>58.684129903209048</c:v>
                </c:pt>
                <c:pt idx="88">
                  <c:v>65.949009256401226</c:v>
                </c:pt>
                <c:pt idx="89">
                  <c:v>89.207407144960698</c:v>
                </c:pt>
                <c:pt idx="90">
                  <c:v>65.734903195354761</c:v>
                </c:pt>
                <c:pt idx="91">
                  <c:v>61.657658212951162</c:v>
                </c:pt>
                <c:pt idx="92">
                  <c:v>60.52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8-4552-97E5-D1EFE4213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012736"/>
        <c:axId val="559007640"/>
      </c:lineChart>
      <c:catAx>
        <c:axId val="5590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0076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9007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AU"/>
                  <a:t>£ per metric 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012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Cocoa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prices'!$W$2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chemeClr val="accent2">
                  <a:shade val="95000"/>
                  <a:satMod val="105000"/>
                </a:schemeClr>
              </a:solidFill>
            </a:ln>
          </c:spPr>
          <c:marker>
            <c:symbol val="diamond"/>
            <c:size val="4"/>
            <c:spPr>
              <a:solidFill>
                <a:schemeClr val="accent2"/>
              </a:solidFill>
              <a:ln>
                <a:solidFill>
                  <a:schemeClr val="accent2"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prices'!$W$3:$W$95</c:f>
              <c:numCache>
                <c:formatCode>General</c:formatCode>
                <c:ptCount val="93"/>
                <c:pt idx="29" formatCode="0.0">
                  <c:v>26.235880852390206</c:v>
                </c:pt>
                <c:pt idx="30" formatCode="0.0">
                  <c:v>26.344713994560777</c:v>
                </c:pt>
                <c:pt idx="31" formatCode="0.0">
                  <c:v>27.301194567398376</c:v>
                </c:pt>
                <c:pt idx="32" formatCode="0.0">
                  <c:v>26.360646772804884</c:v>
                </c:pt>
                <c:pt idx="33" formatCode="0.0">
                  <c:v>21.456246682004313</c:v>
                </c:pt>
                <c:pt idx="34" formatCode="0.0">
                  <c:v>32.569700712499163</c:v>
                </c:pt>
                <c:pt idx="35" formatCode="0.0">
                  <c:v>35.556226711863935</c:v>
                </c:pt>
                <c:pt idx="36" formatCode="0.0">
                  <c:v>67.428924253836982</c:v>
                </c:pt>
                <c:pt idx="37" formatCode="0.0">
                  <c:v>44.795028127872264</c:v>
                </c:pt>
                <c:pt idx="38" formatCode="0.0">
                  <c:v>42.072902651840636</c:v>
                </c:pt>
                <c:pt idx="39" formatCode="0.0">
                  <c:v>48.648532043236095</c:v>
                </c:pt>
                <c:pt idx="40" formatCode="0.0">
                  <c:v>50.372054915128714</c:v>
                </c:pt>
                <c:pt idx="41" formatCode="0.0">
                  <c:v>46.022136665746572</c:v>
                </c:pt>
                <c:pt idx="42" formatCode="0.0">
                  <c:v>40.30879399871133</c:v>
                </c:pt>
                <c:pt idx="43" formatCode="0.0">
                  <c:v>37.940178562827356</c:v>
                </c:pt>
                <c:pt idx="44" formatCode="0.0">
                  <c:v>34.817535090748798</c:v>
                </c:pt>
                <c:pt idx="45" formatCode="0.0">
                  <c:v>49.976043978392283</c:v>
                </c:pt>
                <c:pt idx="46" formatCode="0.0">
                  <c:v>44.563987553764683</c:v>
                </c:pt>
                <c:pt idx="47" formatCode="0.0">
                  <c:v>36.919005279112646</c:v>
                </c:pt>
                <c:pt idx="48" formatCode="0.0">
                  <c:v>35.077013864369675</c:v>
                </c:pt>
                <c:pt idx="49" formatCode="0.0">
                  <c:v>34.424371074781838</c:v>
                </c:pt>
                <c:pt idx="50" formatCode="0.0">
                  <c:v>33.569496706476485</c:v>
                </c:pt>
                <c:pt idx="51" formatCode="0.0">
                  <c:v>42.258295066580537</c:v>
                </c:pt>
                <c:pt idx="52" formatCode="0.0">
                  <c:v>35.876458200808223</c:v>
                </c:pt>
                <c:pt idx="53" formatCode="0.0">
                  <c:v>41.111870668213392</c:v>
                </c:pt>
                <c:pt idx="54" formatCode="0.0">
                  <c:v>40.802824724635343</c:v>
                </c:pt>
                <c:pt idx="55" formatCode="0.0">
                  <c:v>45.061295760928054</c:v>
                </c:pt>
                <c:pt idx="56" formatCode="0.0">
                  <c:v>58.097328320753931</c:v>
                </c:pt>
                <c:pt idx="57" formatCode="0.0">
                  <c:v>76.464374975130227</c:v>
                </c:pt>
                <c:pt idx="58" formatCode="0.0">
                  <c:v>75.326001572635263</c:v>
                </c:pt>
                <c:pt idx="59" formatCode="0.0">
                  <c:v>61.566625502606868</c:v>
                </c:pt>
                <c:pt idx="60" formatCode="0.0">
                  <c:v>51.49829121795085</c:v>
                </c:pt>
                <c:pt idx="61" formatCode="0.0">
                  <c:v>50.848995469823038</c:v>
                </c:pt>
                <c:pt idx="62" formatCode="0.0">
                  <c:v>62.277102935773641</c:v>
                </c:pt>
                <c:pt idx="63" formatCode="0.0">
                  <c:v>65.282770695475904</c:v>
                </c:pt>
                <c:pt idx="64" formatCode="0.0">
                  <c:v>68.823803821986871</c:v>
                </c:pt>
                <c:pt idx="65" formatCode="0.0">
                  <c:v>68.763295721363022</c:v>
                </c:pt>
                <c:pt idx="66" formatCode="0.0">
                  <c:v>58.483646983478728</c:v>
                </c:pt>
                <c:pt idx="67" formatCode="0.0">
                  <c:v>63.462277213869093</c:v>
                </c:pt>
                <c:pt idx="68" formatCode="0.0">
                  <c:v>61.906143108198222</c:v>
                </c:pt>
                <c:pt idx="69" formatCode="0.0">
                  <c:v>60.04114721045022</c:v>
                </c:pt>
                <c:pt idx="70" formatCode="0.0">
                  <c:v>62.992764313307205</c:v>
                </c:pt>
                <c:pt idx="71" formatCode="0.0">
                  <c:v>54.596211362339403</c:v>
                </c:pt>
                <c:pt idx="72" formatCode="0.0">
                  <c:v>62.442264374715116</c:v>
                </c:pt>
                <c:pt idx="73" formatCode="0.0">
                  <c:v>63.23273384905994</c:v>
                </c:pt>
                <c:pt idx="74" formatCode="0.0">
                  <c:v>64.621321011849673</c:v>
                </c:pt>
                <c:pt idx="75" formatCode="0.0">
                  <c:v>69.791029327901029</c:v>
                </c:pt>
                <c:pt idx="76" formatCode="0.0">
                  <c:v>55.267879942421636</c:v>
                </c:pt>
                <c:pt idx="77" formatCode="0.0">
                  <c:v>56.913614322851323</c:v>
                </c:pt>
                <c:pt idx="78" formatCode="0.0">
                  <c:v>50.339717044554909</c:v>
                </c:pt>
                <c:pt idx="79" formatCode="0.0">
                  <c:v>70.346119393354329</c:v>
                </c:pt>
                <c:pt idx="80" formatCode="0.0">
                  <c:v>68.720087879736226</c:v>
                </c:pt>
                <c:pt idx="81" formatCode="0.0">
                  <c:v>61.143844220356407</c:v>
                </c:pt>
                <c:pt idx="82" formatCode="0.0">
                  <c:v>55.973941540736718</c:v>
                </c:pt>
                <c:pt idx="83" formatCode="0.0">
                  <c:v>56.381144747790529</c:v>
                </c:pt>
                <c:pt idx="84" formatCode="0.0">
                  <c:v>49.12216884454039</c:v>
                </c:pt>
                <c:pt idx="85" formatCode="0.0">
                  <c:v>52.262870186134251</c:v>
                </c:pt>
                <c:pt idx="86" formatCode="0.0">
                  <c:v>91.504965712977011</c:v>
                </c:pt>
                <c:pt idx="87" formatCode="0.0">
                  <c:v>66.710753294957883</c:v>
                </c:pt>
                <c:pt idx="88" formatCode="0.0">
                  <c:v>49.957787771471025</c:v>
                </c:pt>
                <c:pt idx="89" formatCode="0.0">
                  <c:v>50.81250552367112</c:v>
                </c:pt>
                <c:pt idx="90" formatCode="0.0">
                  <c:v>52.187017825478293</c:v>
                </c:pt>
                <c:pt idx="91" formatCode="0.0">
                  <c:v>54.657804983727964</c:v>
                </c:pt>
                <c:pt idx="92" formatCode="0.0">
                  <c:v>63.289015366015398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9-4DDB-983C-20EB93CD4E8C}"/>
            </c:ext>
          </c:extLst>
        </c:ser>
        <c:ser>
          <c:idx val="1"/>
          <c:order val="1"/>
          <c:tx>
            <c:strRef>
              <c:f>'Export prices'!$X$2</c:f>
              <c:strCache>
                <c:ptCount val="1"/>
                <c:pt idx="0">
                  <c:v>Weighted av.</c:v>
                </c:pt>
              </c:strCache>
            </c:strRef>
          </c:tx>
          <c:spPr>
            <a:ln w="222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prices'!$X$3:$X$95</c:f>
              <c:numCache>
                <c:formatCode>0.00</c:formatCode>
                <c:ptCount val="93"/>
                <c:pt idx="0">
                  <c:v>63.791653472735263</c:v>
                </c:pt>
                <c:pt idx="1">
                  <c:v>54.423461861650949</c:v>
                </c:pt>
                <c:pt idx="2">
                  <c:v>55.355274433127526</c:v>
                </c:pt>
                <c:pt idx="3">
                  <c:v>61.377174474862294</c:v>
                </c:pt>
                <c:pt idx="4">
                  <c:v>62.538411348532179</c:v>
                </c:pt>
                <c:pt idx="5">
                  <c:v>54.110016241999745</c:v>
                </c:pt>
                <c:pt idx="6">
                  <c:v>44.081830222991286</c:v>
                </c:pt>
                <c:pt idx="7">
                  <c:v>46.914251099379868</c:v>
                </c:pt>
                <c:pt idx="8">
                  <c:v>44.956222030621916</c:v>
                </c:pt>
                <c:pt idx="9">
                  <c:v>43.247749626759699</c:v>
                </c:pt>
                <c:pt idx="10">
                  <c:v>29.992302200928897</c:v>
                </c:pt>
                <c:pt idx="11">
                  <c:v>35.54617712538662</c:v>
                </c:pt>
                <c:pt idx="12">
                  <c:v>37.092277859669359</c:v>
                </c:pt>
                <c:pt idx="13">
                  <c:v>34.029624178681949</c:v>
                </c:pt>
                <c:pt idx="14">
                  <c:v>41.596277153348225</c:v>
                </c:pt>
                <c:pt idx="15">
                  <c:v>35.855765920703597</c:v>
                </c:pt>
                <c:pt idx="16">
                  <c:v>36.516541872936443</c:v>
                </c:pt>
                <c:pt idx="17">
                  <c:v>36.550268622820226</c:v>
                </c:pt>
                <c:pt idx="18">
                  <c:v>33.944401799644282</c:v>
                </c:pt>
                <c:pt idx="19">
                  <c:v>39.186498520949684</c:v>
                </c:pt>
                <c:pt idx="20">
                  <c:v>44.701254727354083</c:v>
                </c:pt>
                <c:pt idx="21">
                  <c:v>52.866586500138681</c:v>
                </c:pt>
                <c:pt idx="22">
                  <c:v>42.366451622876838</c:v>
                </c:pt>
                <c:pt idx="23">
                  <c:v>42.666638886948974</c:v>
                </c:pt>
                <c:pt idx="24">
                  <c:v>40.961808785112339</c:v>
                </c:pt>
                <c:pt idx="25">
                  <c:v>42.434057368688968</c:v>
                </c:pt>
                <c:pt idx="26">
                  <c:v>42.374922588553069</c:v>
                </c:pt>
                <c:pt idx="27">
                  <c:v>40.89254063083861</c:v>
                </c:pt>
                <c:pt idx="28">
                  <c:v>42.722501942285227</c:v>
                </c:pt>
                <c:pt idx="29">
                  <c:v>42.271588972955868</c:v>
                </c:pt>
                <c:pt idx="30">
                  <c:v>40.504861984522961</c:v>
                </c:pt>
                <c:pt idx="31">
                  <c:v>30.658616214386434</c:v>
                </c:pt>
                <c:pt idx="32">
                  <c:v>34.351912026169799</c:v>
                </c:pt>
                <c:pt idx="33">
                  <c:v>40.224495817789553</c:v>
                </c:pt>
                <c:pt idx="34">
                  <c:v>34.933260690444236</c:v>
                </c:pt>
                <c:pt idx="35">
                  <c:v>37.69277181819362</c:v>
                </c:pt>
                <c:pt idx="36">
                  <c:v>41.331603210181697</c:v>
                </c:pt>
                <c:pt idx="37">
                  <c:v>37.677599287906517</c:v>
                </c:pt>
                <c:pt idx="38">
                  <c:v>37.770192753440512</c:v>
                </c:pt>
                <c:pt idx="39">
                  <c:v>37.159346930155223</c:v>
                </c:pt>
                <c:pt idx="40">
                  <c:v>34.268926373542172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9-4DDB-983C-20EB93CD4E8C}"/>
            </c:ext>
          </c:extLst>
        </c:ser>
        <c:ser>
          <c:idx val="2"/>
          <c:order val="2"/>
          <c:tx>
            <c:strRef>
              <c:f>'Export prices'!$Z$2</c:f>
              <c:strCache>
                <c:ptCount val="1"/>
                <c:pt idx="0">
                  <c:v>Complete series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prices'!$Z$3:$Z$95</c:f>
              <c:numCache>
                <c:formatCode>0.00</c:formatCode>
                <c:ptCount val="93"/>
                <c:pt idx="0">
                  <c:v>63.791653472735263</c:v>
                </c:pt>
                <c:pt idx="1">
                  <c:v>54.423461861650949</c:v>
                </c:pt>
                <c:pt idx="2">
                  <c:v>55.355274433127526</c:v>
                </c:pt>
                <c:pt idx="3">
                  <c:v>61.377174474862294</c:v>
                </c:pt>
                <c:pt idx="4">
                  <c:v>62.538411348532179</c:v>
                </c:pt>
                <c:pt idx="5">
                  <c:v>54.110016241999745</c:v>
                </c:pt>
                <c:pt idx="6">
                  <c:v>44.081830222991286</c:v>
                </c:pt>
                <c:pt idx="7">
                  <c:v>46.914251099379868</c:v>
                </c:pt>
                <c:pt idx="8">
                  <c:v>44.956222030621916</c:v>
                </c:pt>
                <c:pt idx="9">
                  <c:v>43.247749626759699</c:v>
                </c:pt>
                <c:pt idx="10">
                  <c:v>29.992302200928897</c:v>
                </c:pt>
                <c:pt idx="11">
                  <c:v>35.54617712538662</c:v>
                </c:pt>
                <c:pt idx="12">
                  <c:v>37.092277859669359</c:v>
                </c:pt>
                <c:pt idx="13">
                  <c:v>34.029624178681949</c:v>
                </c:pt>
                <c:pt idx="14">
                  <c:v>41.596277153348225</c:v>
                </c:pt>
                <c:pt idx="15">
                  <c:v>35.855765920703597</c:v>
                </c:pt>
                <c:pt idx="16">
                  <c:v>36.516541872936443</c:v>
                </c:pt>
                <c:pt idx="17">
                  <c:v>36.550268622820226</c:v>
                </c:pt>
                <c:pt idx="18">
                  <c:v>33.944401799644282</c:v>
                </c:pt>
                <c:pt idx="19">
                  <c:v>39.186498520949684</c:v>
                </c:pt>
                <c:pt idx="20">
                  <c:v>44.701254727354083</c:v>
                </c:pt>
                <c:pt idx="21">
                  <c:v>52.866586500138681</c:v>
                </c:pt>
                <c:pt idx="22">
                  <c:v>42.366451622876838</c:v>
                </c:pt>
                <c:pt idx="23">
                  <c:v>42.666638886948974</c:v>
                </c:pt>
                <c:pt idx="24">
                  <c:v>40.961808785112339</c:v>
                </c:pt>
                <c:pt idx="25">
                  <c:v>42.434057368688968</c:v>
                </c:pt>
                <c:pt idx="26">
                  <c:v>42.374922588553069</c:v>
                </c:pt>
                <c:pt idx="27">
                  <c:v>40.89254063083861</c:v>
                </c:pt>
                <c:pt idx="28">
                  <c:v>42.722501942285227</c:v>
                </c:pt>
                <c:pt idx="29" formatCode="0.0">
                  <c:v>34.253734912673039</c:v>
                </c:pt>
                <c:pt idx="30" formatCode="0.0">
                  <c:v>33.424787989541869</c:v>
                </c:pt>
                <c:pt idx="31" formatCode="0.0">
                  <c:v>28.979905390892405</c:v>
                </c:pt>
                <c:pt idx="32" formatCode="0.0">
                  <c:v>30.356279399487342</c:v>
                </c:pt>
                <c:pt idx="33" formatCode="0.0">
                  <c:v>30.840371249896933</c:v>
                </c:pt>
                <c:pt idx="34" formatCode="0.0">
                  <c:v>33.751480701471699</c:v>
                </c:pt>
                <c:pt idx="35">
                  <c:v>35.556226711863935</c:v>
                </c:pt>
                <c:pt idx="36">
                  <c:v>67.428924253836982</c:v>
                </c:pt>
                <c:pt idx="37">
                  <c:v>44.795028127872264</c:v>
                </c:pt>
                <c:pt idx="38">
                  <c:v>42.072902651840636</c:v>
                </c:pt>
                <c:pt idx="39">
                  <c:v>48.648532043236095</c:v>
                </c:pt>
                <c:pt idx="40">
                  <c:v>50.372054915128714</c:v>
                </c:pt>
                <c:pt idx="41">
                  <c:v>46.022136665746572</c:v>
                </c:pt>
                <c:pt idx="42">
                  <c:v>40.30879399871133</c:v>
                </c:pt>
                <c:pt idx="43">
                  <c:v>37.940178562827356</c:v>
                </c:pt>
                <c:pt idx="44">
                  <c:v>34.817535090748798</c:v>
                </c:pt>
                <c:pt idx="45">
                  <c:v>49.976043978392283</c:v>
                </c:pt>
                <c:pt idx="46">
                  <c:v>44.563987553764683</c:v>
                </c:pt>
                <c:pt idx="47">
                  <c:v>36.919005279112646</c:v>
                </c:pt>
                <c:pt idx="48">
                  <c:v>35.077013864369675</c:v>
                </c:pt>
                <c:pt idx="49">
                  <c:v>34.424371074781838</c:v>
                </c:pt>
                <c:pt idx="50">
                  <c:v>33.569496706476485</c:v>
                </c:pt>
                <c:pt idx="51">
                  <c:v>42.258295066580537</c:v>
                </c:pt>
                <c:pt idx="52">
                  <c:v>35.876458200808223</c:v>
                </c:pt>
                <c:pt idx="53">
                  <c:v>41.111870668213392</c:v>
                </c:pt>
                <c:pt idx="54">
                  <c:v>40.802824724635343</c:v>
                </c:pt>
                <c:pt idx="55">
                  <c:v>45.061295760928054</c:v>
                </c:pt>
                <c:pt idx="56">
                  <c:v>58.097328320753931</c:v>
                </c:pt>
                <c:pt idx="57">
                  <c:v>76.464374975130227</c:v>
                </c:pt>
                <c:pt idx="58">
                  <c:v>75.326001572635263</c:v>
                </c:pt>
                <c:pt idx="59">
                  <c:v>61.566625502606868</c:v>
                </c:pt>
                <c:pt idx="60">
                  <c:v>51.49829121795085</c:v>
                </c:pt>
                <c:pt idx="61">
                  <c:v>50.848995469823038</c:v>
                </c:pt>
                <c:pt idx="62">
                  <c:v>62.277102935773641</c:v>
                </c:pt>
                <c:pt idx="63">
                  <c:v>65.282770695475904</c:v>
                </c:pt>
                <c:pt idx="64">
                  <c:v>68.823803821986871</c:v>
                </c:pt>
                <c:pt idx="65">
                  <c:v>68.763295721363022</c:v>
                </c:pt>
                <c:pt idx="66">
                  <c:v>58.483646983478728</c:v>
                </c:pt>
                <c:pt idx="67">
                  <c:v>63.462277213869093</c:v>
                </c:pt>
                <c:pt idx="68">
                  <c:v>61.906143108198222</c:v>
                </c:pt>
                <c:pt idx="69">
                  <c:v>60.04114721045022</c:v>
                </c:pt>
                <c:pt idx="70">
                  <c:v>62.992764313307205</c:v>
                </c:pt>
                <c:pt idx="71">
                  <c:v>54.596211362339403</c:v>
                </c:pt>
                <c:pt idx="72">
                  <c:v>62.442264374715116</c:v>
                </c:pt>
                <c:pt idx="73">
                  <c:v>63.23273384905994</c:v>
                </c:pt>
                <c:pt idx="74">
                  <c:v>64.621321011849673</c:v>
                </c:pt>
                <c:pt idx="75">
                  <c:v>69.791029327901029</c:v>
                </c:pt>
                <c:pt idx="76">
                  <c:v>55.267879942421636</c:v>
                </c:pt>
                <c:pt idx="77">
                  <c:v>56.913614322851323</c:v>
                </c:pt>
                <c:pt idx="78">
                  <c:v>50.339717044554909</c:v>
                </c:pt>
                <c:pt idx="79">
                  <c:v>70.346119393354329</c:v>
                </c:pt>
                <c:pt idx="80">
                  <c:v>68.720087879736226</c:v>
                </c:pt>
                <c:pt idx="81">
                  <c:v>61.143844220356407</c:v>
                </c:pt>
                <c:pt idx="82">
                  <c:v>55.973941540736718</c:v>
                </c:pt>
                <c:pt idx="83">
                  <c:v>56.381144747790529</c:v>
                </c:pt>
                <c:pt idx="84">
                  <c:v>49.12216884454039</c:v>
                </c:pt>
                <c:pt idx="85">
                  <c:v>52.262870186134251</c:v>
                </c:pt>
                <c:pt idx="86">
                  <c:v>91.504965712977011</c:v>
                </c:pt>
                <c:pt idx="87">
                  <c:v>66.710753294957883</c:v>
                </c:pt>
                <c:pt idx="88">
                  <c:v>49.957787771471025</c:v>
                </c:pt>
                <c:pt idx="89">
                  <c:v>50.81250552367112</c:v>
                </c:pt>
                <c:pt idx="90">
                  <c:v>52.187017825478293</c:v>
                </c:pt>
                <c:pt idx="91">
                  <c:v>54.657804983727964</c:v>
                </c:pt>
                <c:pt idx="92">
                  <c:v>63.289015366015398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F9-4DDB-983C-20EB93CD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175096"/>
        <c:axId val="559178624"/>
      </c:lineChart>
      <c:catAx>
        <c:axId val="55917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1786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917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/>
                  <a:t>£ per metric 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1750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AU"/>
              <a:t>Hides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'Export prices'!$R$2</c:f>
              <c:strCache>
                <c:ptCount val="1"/>
                <c:pt idx="0">
                  <c:v>Sauerbeck: River Plate Dry</c:v>
                </c:pt>
              </c:strCache>
            </c:strRef>
          </c:tx>
          <c:spPr>
            <a:ln w="25400"/>
          </c:spPr>
          <c:marker>
            <c:symbol val="x"/>
            <c:size val="5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prices'!$R$3:$R$95</c:f>
              <c:numCache>
                <c:formatCode>General</c:formatCode>
                <c:ptCount val="93"/>
                <c:pt idx="25">
                  <c:v>51.174622569272529</c:v>
                </c:pt>
                <c:pt idx="26">
                  <c:v>46.193150917748504</c:v>
                </c:pt>
                <c:pt idx="27">
                  <c:v>36.877448402808177</c:v>
                </c:pt>
                <c:pt idx="28">
                  <c:v>36.20366493231046</c:v>
                </c:pt>
                <c:pt idx="29">
                  <c:v>38.671276703910387</c:v>
                </c:pt>
                <c:pt idx="30">
                  <c:v>46.159363300166035</c:v>
                </c:pt>
                <c:pt idx="31">
                  <c:v>44.576926677599936</c:v>
                </c:pt>
                <c:pt idx="32">
                  <c:v>52.203345409031023</c:v>
                </c:pt>
                <c:pt idx="33">
                  <c:v>61.049057434500178</c:v>
                </c:pt>
                <c:pt idx="34">
                  <c:v>72.967450164772544</c:v>
                </c:pt>
                <c:pt idx="35">
                  <c:v>88.716649768419217</c:v>
                </c:pt>
                <c:pt idx="36">
                  <c:v>111.75113215655068</c:v>
                </c:pt>
                <c:pt idx="37">
                  <c:v>90.186283327997089</c:v>
                </c:pt>
                <c:pt idx="38">
                  <c:v>94.757075458387064</c:v>
                </c:pt>
                <c:pt idx="39">
                  <c:v>95.803332227576675</c:v>
                </c:pt>
                <c:pt idx="40">
                  <c:v>82.087994677995923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8-41DA-806F-E82C7D706770}"/>
            </c:ext>
          </c:extLst>
        </c:ser>
        <c:ser>
          <c:idx val="1"/>
          <c:order val="1"/>
          <c:tx>
            <c:strRef>
              <c:f>'Export prices'!$S$2</c:f>
              <c:strCache>
                <c:ptCount val="1"/>
                <c:pt idx="0">
                  <c:v>UK</c:v>
                </c:pt>
              </c:strCache>
            </c:strRef>
          </c:tx>
          <c:spPr>
            <a:ln w="25400"/>
          </c:spPr>
          <c:marker>
            <c:symbol val="diamond"/>
            <c:size val="4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prices'!$S$3:$S$95</c:f>
              <c:numCache>
                <c:formatCode>General</c:formatCode>
                <c:ptCount val="93"/>
                <c:pt idx="33" formatCode="0.0">
                  <c:v>45.045714170922658</c:v>
                </c:pt>
                <c:pt idx="34" formatCode="0.0">
                  <c:v>54.240588799386536</c:v>
                </c:pt>
                <c:pt idx="35" formatCode="0.0">
                  <c:v>71.848369573624836</c:v>
                </c:pt>
                <c:pt idx="36" formatCode="0.0">
                  <c:v>73.091756261875346</c:v>
                </c:pt>
                <c:pt idx="37" formatCode="0.0">
                  <c:v>58.962964422473028</c:v>
                </c:pt>
                <c:pt idx="38" formatCode="0.0">
                  <c:v>70.913645009033075</c:v>
                </c:pt>
                <c:pt idx="39" formatCode="0.0">
                  <c:v>67.61998835398478</c:v>
                </c:pt>
                <c:pt idx="40" formatCode="0.0">
                  <c:v>59.086082027337646</c:v>
                </c:pt>
                <c:pt idx="41" formatCode="0.0">
                  <c:v>54.042240938120941</c:v>
                </c:pt>
                <c:pt idx="42" formatCode="0.0">
                  <c:v>46.748946943762306</c:v>
                </c:pt>
                <c:pt idx="43" formatCode="0.0">
                  <c:v>49.628270501746442</c:v>
                </c:pt>
                <c:pt idx="44" formatCode="0.0">
                  <c:v>43.173750907907909</c:v>
                </c:pt>
                <c:pt idx="45" formatCode="0.0">
                  <c:v>42.758513520014205</c:v>
                </c:pt>
                <c:pt idx="46" formatCode="0.0">
                  <c:v>45.781856045136678</c:v>
                </c:pt>
                <c:pt idx="47" formatCode="0.0">
                  <c:v>50.113812985057336</c:v>
                </c:pt>
                <c:pt idx="48" formatCode="0.0">
                  <c:v>45.892811760506497</c:v>
                </c:pt>
                <c:pt idx="49" formatCode="0.0">
                  <c:v>48.595039738417633</c:v>
                </c:pt>
                <c:pt idx="50" formatCode="0.0">
                  <c:v>48.843914180357544</c:v>
                </c:pt>
                <c:pt idx="51" formatCode="0.0">
                  <c:v>53.905967091921376</c:v>
                </c:pt>
                <c:pt idx="52" formatCode="0.0">
                  <c:v>57.801634424689553</c:v>
                </c:pt>
                <c:pt idx="53" formatCode="0.0">
                  <c:v>60.112696583299801</c:v>
                </c:pt>
                <c:pt idx="54" formatCode="0.0">
                  <c:v>58.733910023048928</c:v>
                </c:pt>
                <c:pt idx="55" formatCode="0.0">
                  <c:v>46.486794379620349</c:v>
                </c:pt>
                <c:pt idx="56" formatCode="0.0">
                  <c:v>55.004940351737837</c:v>
                </c:pt>
                <c:pt idx="57" formatCode="0.0">
                  <c:v>50.047055297343221</c:v>
                </c:pt>
                <c:pt idx="58" formatCode="0.0">
                  <c:v>48.598942018774309</c:v>
                </c:pt>
                <c:pt idx="59" formatCode="0.0">
                  <c:v>51.925215114139526</c:v>
                </c:pt>
                <c:pt idx="60" formatCode="0.0">
                  <c:v>54.012890605901646</c:v>
                </c:pt>
                <c:pt idx="61" formatCode="0.0">
                  <c:v>47.978880539315412</c:v>
                </c:pt>
                <c:pt idx="62" formatCode="0.0">
                  <c:v>51.42347021293169</c:v>
                </c:pt>
                <c:pt idx="63" formatCode="0.0">
                  <c:v>51.401596813113557</c:v>
                </c:pt>
                <c:pt idx="64" formatCode="0.0">
                  <c:v>48.495356125777974</c:v>
                </c:pt>
                <c:pt idx="65" formatCode="0.0">
                  <c:v>44.730454613384744</c:v>
                </c:pt>
                <c:pt idx="66" formatCode="0.0">
                  <c:v>45.074958922931174</c:v>
                </c:pt>
                <c:pt idx="67" formatCode="0.0">
                  <c:v>37.837221158765111</c:v>
                </c:pt>
                <c:pt idx="68" formatCode="0.0">
                  <c:v>41.121645879212721</c:v>
                </c:pt>
                <c:pt idx="69" formatCode="0.0">
                  <c:v>39.832892995227603</c:v>
                </c:pt>
                <c:pt idx="70" formatCode="0.0">
                  <c:v>37.915424580428706</c:v>
                </c:pt>
                <c:pt idx="71" formatCode="0.0">
                  <c:v>32.592413369707216</c:v>
                </c:pt>
                <c:pt idx="72" formatCode="0.0">
                  <c:v>35.614346279827991</c:v>
                </c:pt>
                <c:pt idx="73" formatCode="0.0">
                  <c:v>32.516727741971472</c:v>
                </c:pt>
                <c:pt idx="74" formatCode="0.0">
                  <c:v>44.53136310831642</c:v>
                </c:pt>
                <c:pt idx="75" formatCode="0.0">
                  <c:v>42.64088910502813</c:v>
                </c:pt>
                <c:pt idx="76" formatCode="0.0">
                  <c:v>42.656680768361461</c:v>
                </c:pt>
                <c:pt idx="77" formatCode="0.0">
                  <c:v>47.718745808140753</c:v>
                </c:pt>
                <c:pt idx="78" formatCode="0.0">
                  <c:v>44.330139619757475</c:v>
                </c:pt>
                <c:pt idx="79" formatCode="0.0">
                  <c:v>41.842940800242332</c:v>
                </c:pt>
                <c:pt idx="80" formatCode="0.0">
                  <c:v>48.401023666910099</c:v>
                </c:pt>
                <c:pt idx="81" formatCode="0.0">
                  <c:v>50.358980698584894</c:v>
                </c:pt>
                <c:pt idx="82" formatCode="0.0">
                  <c:v>51.234437155814867</c:v>
                </c:pt>
                <c:pt idx="83" formatCode="0.0">
                  <c:v>58.022239536886644</c:v>
                </c:pt>
                <c:pt idx="84" formatCode="0.0">
                  <c:v>66.202425841669609</c:v>
                </c:pt>
                <c:pt idx="85" formatCode="0.0">
                  <c:v>70.689970357379678</c:v>
                </c:pt>
                <c:pt idx="86" formatCode="0.0">
                  <c:v>76.436951534639206</c:v>
                </c:pt>
                <c:pt idx="87" formatCode="0.0">
                  <c:v>75.838573299636309</c:v>
                </c:pt>
                <c:pt idx="88" formatCode="0.0">
                  <c:v>76.462645776036581</c:v>
                </c:pt>
                <c:pt idx="89" formatCode="0.0">
                  <c:v>82.277947621148215</c:v>
                </c:pt>
                <c:pt idx="90" formatCode="0.0">
                  <c:v>82.366871832464909</c:v>
                </c:pt>
                <c:pt idx="91" formatCode="0.0">
                  <c:v>92.20624689022884</c:v>
                </c:pt>
                <c:pt idx="92" formatCode="0.0">
                  <c:v>114.61468501895457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8-41DA-806F-E82C7D706770}"/>
            </c:ext>
          </c:extLst>
        </c:ser>
        <c:ser>
          <c:idx val="2"/>
          <c:order val="2"/>
          <c:tx>
            <c:strRef>
              <c:f>'Export prices'!$T$2</c:f>
              <c:strCache>
                <c:ptCount val="1"/>
                <c:pt idx="0">
                  <c:v>Weighted av.</c:v>
                </c:pt>
              </c:strCache>
            </c:strRef>
          </c:tx>
          <c:spPr>
            <a:ln w="22225" cmpd="dbl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prices'!$T$3:$T$95</c:f>
              <c:numCache>
                <c:formatCode>0.00</c:formatCode>
                <c:ptCount val="93"/>
                <c:pt idx="0">
                  <c:v>60.196897749095449</c:v>
                </c:pt>
                <c:pt idx="1">
                  <c:v>68.394520980798816</c:v>
                </c:pt>
                <c:pt idx="2">
                  <c:v>70.646885069446881</c:v>
                </c:pt>
                <c:pt idx="3">
                  <c:v>67.745864585367514</c:v>
                </c:pt>
                <c:pt idx="4">
                  <c:v>71.566792243622729</c:v>
                </c:pt>
                <c:pt idx="5">
                  <c:v>65.595604129042243</c:v>
                </c:pt>
                <c:pt idx="6">
                  <c:v>72.470230496724</c:v>
                </c:pt>
                <c:pt idx="7">
                  <c:v>78.323510599750961</c:v>
                </c:pt>
                <c:pt idx="8">
                  <c:v>60.601106643533079</c:v>
                </c:pt>
                <c:pt idx="9">
                  <c:v>59.420663154716067</c:v>
                </c:pt>
                <c:pt idx="10">
                  <c:v>63.790823084762408</c:v>
                </c:pt>
                <c:pt idx="11">
                  <c:v>60.944848606633215</c:v>
                </c:pt>
                <c:pt idx="12">
                  <c:v>61.251475358246182</c:v>
                </c:pt>
                <c:pt idx="13">
                  <c:v>58.793689903840907</c:v>
                </c:pt>
                <c:pt idx="14">
                  <c:v>51.957439655416849</c:v>
                </c:pt>
                <c:pt idx="15">
                  <c:v>51.503049257152099</c:v>
                </c:pt>
                <c:pt idx="16">
                  <c:v>49.463973581866583</c:v>
                </c:pt>
                <c:pt idx="17">
                  <c:v>52.074092391974332</c:v>
                </c:pt>
                <c:pt idx="18">
                  <c:v>55.744619743361675</c:v>
                </c:pt>
                <c:pt idx="19">
                  <c:v>61.387108854806058</c:v>
                </c:pt>
                <c:pt idx="20">
                  <c:v>57.067407573838551</c:v>
                </c:pt>
                <c:pt idx="21">
                  <c:v>51.233844129630072</c:v>
                </c:pt>
                <c:pt idx="22">
                  <c:v>49.297605259209973</c:v>
                </c:pt>
                <c:pt idx="23">
                  <c:v>49.315523138801851</c:v>
                </c:pt>
                <c:pt idx="24">
                  <c:v>48.206508977125296</c:v>
                </c:pt>
                <c:pt idx="25">
                  <c:v>45.608823570299975</c:v>
                </c:pt>
                <c:pt idx="26">
                  <c:v>42.068681820263755</c:v>
                </c:pt>
                <c:pt idx="27">
                  <c:v>41.315520204669895</c:v>
                </c:pt>
                <c:pt idx="28">
                  <c:v>38.616905598159072</c:v>
                </c:pt>
                <c:pt idx="29">
                  <c:v>42.867200824182646</c:v>
                </c:pt>
                <c:pt idx="30">
                  <c:v>52.943737706108529</c:v>
                </c:pt>
                <c:pt idx="31">
                  <c:v>60.489558257497649</c:v>
                </c:pt>
                <c:pt idx="32">
                  <c:v>71.518397724004757</c:v>
                </c:pt>
                <c:pt idx="33">
                  <c:v>89.900324160327202</c:v>
                </c:pt>
                <c:pt idx="34">
                  <c:v>93.794551277488281</c:v>
                </c:pt>
                <c:pt idx="35">
                  <c:v>105.71975605933083</c:v>
                </c:pt>
                <c:pt idx="36">
                  <c:v>132.174995868439</c:v>
                </c:pt>
                <c:pt idx="37">
                  <c:v>101.56132464612537</c:v>
                </c:pt>
                <c:pt idx="38">
                  <c:v>119.71806295758064</c:v>
                </c:pt>
                <c:pt idx="39">
                  <c:v>102.74620486786519</c:v>
                </c:pt>
                <c:pt idx="40">
                  <c:v>99.206148717073503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C8-41DA-806F-E82C7D706770}"/>
            </c:ext>
          </c:extLst>
        </c:ser>
        <c:ser>
          <c:idx val="3"/>
          <c:order val="3"/>
          <c:tx>
            <c:strRef>
              <c:f>'Export prices'!$V$2</c:f>
              <c:strCache>
                <c:ptCount val="1"/>
                <c:pt idx="0">
                  <c:v>Complete series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'Export prices'!$A$3:$A$95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'Export prices'!$V$3:$V$95</c:f>
              <c:numCache>
                <c:formatCode>0.0</c:formatCode>
                <c:ptCount val="93"/>
                <c:pt idx="0">
                  <c:v>60.196897749095449</c:v>
                </c:pt>
                <c:pt idx="1">
                  <c:v>68.394520980798816</c:v>
                </c:pt>
                <c:pt idx="2">
                  <c:v>70.646885069446881</c:v>
                </c:pt>
                <c:pt idx="3">
                  <c:v>67.745864585367514</c:v>
                </c:pt>
                <c:pt idx="4">
                  <c:v>71.566792243622729</c:v>
                </c:pt>
                <c:pt idx="5">
                  <c:v>65.595604129042243</c:v>
                </c:pt>
                <c:pt idx="6">
                  <c:v>72.470230496724</c:v>
                </c:pt>
                <c:pt idx="7">
                  <c:v>78.323510599750961</c:v>
                </c:pt>
                <c:pt idx="8">
                  <c:v>60.601106643533079</c:v>
                </c:pt>
                <c:pt idx="9">
                  <c:v>59.420663154716067</c:v>
                </c:pt>
                <c:pt idx="10">
                  <c:v>63.790823084762408</c:v>
                </c:pt>
                <c:pt idx="11">
                  <c:v>60.944848606633215</c:v>
                </c:pt>
                <c:pt idx="12">
                  <c:v>61.251475358246182</c:v>
                </c:pt>
                <c:pt idx="13">
                  <c:v>58.793689903840907</c:v>
                </c:pt>
                <c:pt idx="14">
                  <c:v>51.957439655416849</c:v>
                </c:pt>
                <c:pt idx="15">
                  <c:v>51.503049257152099</c:v>
                </c:pt>
                <c:pt idx="16">
                  <c:v>49.463973581866583</c:v>
                </c:pt>
                <c:pt idx="17">
                  <c:v>52.074092391974332</c:v>
                </c:pt>
                <c:pt idx="18">
                  <c:v>55.744619743361675</c:v>
                </c:pt>
                <c:pt idx="19">
                  <c:v>61.387108854806058</c:v>
                </c:pt>
                <c:pt idx="20">
                  <c:v>57.067407573838551</c:v>
                </c:pt>
                <c:pt idx="21">
                  <c:v>51.233844129630072</c:v>
                </c:pt>
                <c:pt idx="22">
                  <c:v>49.297605259209973</c:v>
                </c:pt>
                <c:pt idx="23">
                  <c:v>49.315523138801851</c:v>
                </c:pt>
                <c:pt idx="24">
                  <c:v>48.206508977125296</c:v>
                </c:pt>
                <c:pt idx="25">
                  <c:v>48.391723069786252</c:v>
                </c:pt>
                <c:pt idx="26">
                  <c:v>44.13091636900613</c:v>
                </c:pt>
                <c:pt idx="27">
                  <c:v>39.096484303739032</c:v>
                </c:pt>
                <c:pt idx="28">
                  <c:v>37.410285265234762</c:v>
                </c:pt>
                <c:pt idx="29">
                  <c:v>40.76923876404652</c:v>
                </c:pt>
                <c:pt idx="30">
                  <c:v>49.551550503137278</c:v>
                </c:pt>
                <c:pt idx="31">
                  <c:v>52.533242467548789</c:v>
                </c:pt>
                <c:pt idx="32">
                  <c:v>61.860871566517886</c:v>
                </c:pt>
                <c:pt idx="33">
                  <c:v>53.047385802711418</c:v>
                </c:pt>
                <c:pt idx="34">
                  <c:v>54.240588799386536</c:v>
                </c:pt>
                <c:pt idx="35">
                  <c:v>71.848369573624836</c:v>
                </c:pt>
                <c:pt idx="36">
                  <c:v>73.091756261875346</c:v>
                </c:pt>
                <c:pt idx="37">
                  <c:v>58.962964422473028</c:v>
                </c:pt>
                <c:pt idx="38">
                  <c:v>70.913645009033075</c:v>
                </c:pt>
                <c:pt idx="39">
                  <c:v>67.61998835398478</c:v>
                </c:pt>
                <c:pt idx="40">
                  <c:v>59.086082027337646</c:v>
                </c:pt>
                <c:pt idx="41">
                  <c:v>54.042240938120941</c:v>
                </c:pt>
                <c:pt idx="42">
                  <c:v>46.748946943762306</c:v>
                </c:pt>
                <c:pt idx="43">
                  <c:v>49.628270501746442</c:v>
                </c:pt>
                <c:pt idx="44">
                  <c:v>43.173750907907909</c:v>
                </c:pt>
                <c:pt idx="45">
                  <c:v>42.758513520014205</c:v>
                </c:pt>
                <c:pt idx="46">
                  <c:v>45.781856045136678</c:v>
                </c:pt>
                <c:pt idx="47">
                  <c:v>50.113812985057336</c:v>
                </c:pt>
                <c:pt idx="48">
                  <c:v>45.892811760506497</c:v>
                </c:pt>
                <c:pt idx="49">
                  <c:v>48.595039738417633</c:v>
                </c:pt>
                <c:pt idx="50">
                  <c:v>48.843914180357544</c:v>
                </c:pt>
                <c:pt idx="51">
                  <c:v>53.905967091921376</c:v>
                </c:pt>
                <c:pt idx="52">
                  <c:v>57.801634424689553</c:v>
                </c:pt>
                <c:pt idx="53">
                  <c:v>60.112696583299801</c:v>
                </c:pt>
                <c:pt idx="54">
                  <c:v>58.733910023048928</c:v>
                </c:pt>
                <c:pt idx="55">
                  <c:v>46.486794379620349</c:v>
                </c:pt>
                <c:pt idx="56">
                  <c:v>55.004940351737837</c:v>
                </c:pt>
                <c:pt idx="57">
                  <c:v>50.047055297343221</c:v>
                </c:pt>
                <c:pt idx="58">
                  <c:v>48.598942018774309</c:v>
                </c:pt>
                <c:pt idx="59">
                  <c:v>51.925215114139526</c:v>
                </c:pt>
                <c:pt idx="60">
                  <c:v>54.012890605901646</c:v>
                </c:pt>
                <c:pt idx="61">
                  <c:v>47.978880539315412</c:v>
                </c:pt>
                <c:pt idx="62">
                  <c:v>51.42347021293169</c:v>
                </c:pt>
                <c:pt idx="63">
                  <c:v>51.401596813113557</c:v>
                </c:pt>
                <c:pt idx="64">
                  <c:v>48.495356125777974</c:v>
                </c:pt>
                <c:pt idx="65">
                  <c:v>44.730454613384744</c:v>
                </c:pt>
                <c:pt idx="66">
                  <c:v>45.074958922931174</c:v>
                </c:pt>
                <c:pt idx="67">
                  <c:v>37.837221158765111</c:v>
                </c:pt>
                <c:pt idx="68">
                  <c:v>41.121645879212721</c:v>
                </c:pt>
                <c:pt idx="69">
                  <c:v>39.832892995227603</c:v>
                </c:pt>
                <c:pt idx="70">
                  <c:v>37.915424580428706</c:v>
                </c:pt>
                <c:pt idx="71">
                  <c:v>32.592413369707216</c:v>
                </c:pt>
                <c:pt idx="72">
                  <c:v>35.614346279827991</c:v>
                </c:pt>
                <c:pt idx="73">
                  <c:v>32.516727741971472</c:v>
                </c:pt>
                <c:pt idx="74">
                  <c:v>44.53136310831642</c:v>
                </c:pt>
                <c:pt idx="75">
                  <c:v>42.64088910502813</c:v>
                </c:pt>
                <c:pt idx="76">
                  <c:v>42.656680768361461</c:v>
                </c:pt>
                <c:pt idx="77">
                  <c:v>47.718745808140753</c:v>
                </c:pt>
                <c:pt idx="78">
                  <c:v>44.330139619757475</c:v>
                </c:pt>
                <c:pt idx="79">
                  <c:v>41.842940800242332</c:v>
                </c:pt>
                <c:pt idx="80">
                  <c:v>48.401023666910099</c:v>
                </c:pt>
                <c:pt idx="81">
                  <c:v>50.358980698584894</c:v>
                </c:pt>
                <c:pt idx="82">
                  <c:v>51.234437155814867</c:v>
                </c:pt>
                <c:pt idx="83">
                  <c:v>58.022239536886644</c:v>
                </c:pt>
                <c:pt idx="84">
                  <c:v>66.202425841669609</c:v>
                </c:pt>
                <c:pt idx="85">
                  <c:v>70.689970357379678</c:v>
                </c:pt>
                <c:pt idx="86">
                  <c:v>76.436951534639206</c:v>
                </c:pt>
                <c:pt idx="87">
                  <c:v>75.838573299636309</c:v>
                </c:pt>
                <c:pt idx="88">
                  <c:v>76.462645776036581</c:v>
                </c:pt>
                <c:pt idx="89">
                  <c:v>82.277947621148215</c:v>
                </c:pt>
                <c:pt idx="90">
                  <c:v>82.366871832464909</c:v>
                </c:pt>
                <c:pt idx="91">
                  <c:v>92.20624689022884</c:v>
                </c:pt>
                <c:pt idx="92">
                  <c:v>114.61468501895457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C8-41DA-806F-E82C7D706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180584"/>
        <c:axId val="559177056"/>
      </c:lineChart>
      <c:catAx>
        <c:axId val="559180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1770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9177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AU"/>
                  <a:t>£ per metric ton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180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Wheat flour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comparison'!$E$2</c:f>
              <c:strCache>
                <c:ptCount val="1"/>
                <c:pt idx="0">
                  <c:v>BRA, $/barrel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comparison'!$E$3:$E$70</c:f>
              <c:numCache>
                <c:formatCode>General</c:formatCode>
                <c:ptCount val="68"/>
                <c:pt idx="0">
                  <c:v>6.5433238905016671</c:v>
                </c:pt>
                <c:pt idx="1">
                  <c:v>6.7703487504952999</c:v>
                </c:pt>
                <c:pt idx="2">
                  <c:v>6.1377835635547777</c:v>
                </c:pt>
                <c:pt idx="3">
                  <c:v>6.2832133667175825</c:v>
                </c:pt>
                <c:pt idx="24">
                  <c:v>3.1824286250469758</c:v>
                </c:pt>
                <c:pt idx="25">
                  <c:v>3.4681632041520514</c:v>
                </c:pt>
                <c:pt idx="26">
                  <c:v>3.6566315039973967</c:v>
                </c:pt>
                <c:pt idx="32">
                  <c:v>3.2962067620134841</c:v>
                </c:pt>
                <c:pt idx="33">
                  <c:v>3.301660452492996</c:v>
                </c:pt>
                <c:pt idx="34">
                  <c:v>3.9322301607045311</c:v>
                </c:pt>
                <c:pt idx="35">
                  <c:v>3.9187892479006945</c:v>
                </c:pt>
                <c:pt idx="36">
                  <c:v>3.8163365655853312</c:v>
                </c:pt>
                <c:pt idx="38">
                  <c:v>3.7195312473062674</c:v>
                </c:pt>
                <c:pt idx="39">
                  <c:v>3.3444251626898054</c:v>
                </c:pt>
                <c:pt idx="40">
                  <c:v>3.3650896208051084</c:v>
                </c:pt>
                <c:pt idx="41">
                  <c:v>4.2906609062976404</c:v>
                </c:pt>
                <c:pt idx="42">
                  <c:v>4.858856545677714</c:v>
                </c:pt>
                <c:pt idx="44">
                  <c:v>4.3330357556955281</c:v>
                </c:pt>
                <c:pt idx="45">
                  <c:v>2.8629396269382861</c:v>
                </c:pt>
                <c:pt idx="55">
                  <c:v>4.8725142122786904</c:v>
                </c:pt>
                <c:pt idx="56">
                  <c:v>5.1548019174915121</c:v>
                </c:pt>
                <c:pt idx="57">
                  <c:v>5.2667942192752228</c:v>
                </c:pt>
                <c:pt idx="58">
                  <c:v>6.5518210527610989</c:v>
                </c:pt>
                <c:pt idx="59">
                  <c:v>6.8473791730557414</c:v>
                </c:pt>
                <c:pt idx="60">
                  <c:v>5.7529442414385432</c:v>
                </c:pt>
                <c:pt idx="61">
                  <c:v>5.9876647936532654</c:v>
                </c:pt>
                <c:pt idx="62">
                  <c:v>6.7640705979122071</c:v>
                </c:pt>
                <c:pt idx="63">
                  <c:v>7.4687948267516786</c:v>
                </c:pt>
                <c:pt idx="64">
                  <c:v>6.9322928088985893</c:v>
                </c:pt>
                <c:pt idx="65">
                  <c:v>6.394305647682315</c:v>
                </c:pt>
                <c:pt idx="66">
                  <c:v>6.5750690873485924</c:v>
                </c:pt>
                <c:pt idx="67">
                  <c:v>6.215486823743805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DE-6D4B-B07C-C8E4B6016ECB}"/>
            </c:ext>
          </c:extLst>
        </c:ser>
        <c:ser>
          <c:idx val="1"/>
          <c:order val="1"/>
          <c:tx>
            <c:strRef>
              <c:f>'Price comparison'!$F$2</c:f>
              <c:strCache>
                <c:ptCount val="1"/>
                <c:pt idx="0">
                  <c:v>US, $/barrel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comparison'!$F$3:$F$70</c:f>
              <c:numCache>
                <c:formatCode>0.00</c:formatCode>
                <c:ptCount val="68"/>
                <c:pt idx="0">
                  <c:v>5.6525534642110236</c:v>
                </c:pt>
                <c:pt idx="1">
                  <c:v>6.1462013370035393</c:v>
                </c:pt>
                <c:pt idx="2">
                  <c:v>6.6217980028220991</c:v>
                </c:pt>
                <c:pt idx="3">
                  <c:v>5.988421514065716</c:v>
                </c:pt>
                <c:pt idx="4">
                  <c:v>5.6406805623940039</c:v>
                </c:pt>
                <c:pt idx="5">
                  <c:v>5.4643719170214204</c:v>
                </c:pt>
                <c:pt idx="6">
                  <c:v>4.7512064343163543</c:v>
                </c:pt>
                <c:pt idx="7">
                  <c:v>5.610755503719087</c:v>
                </c:pt>
                <c:pt idx="8">
                  <c:v>7.667425686368408</c:v>
                </c:pt>
                <c:pt idx="9">
                  <c:v>9.4215122017301098</c:v>
                </c:pt>
                <c:pt idx="10">
                  <c:v>9.2970814399292649</c:v>
                </c:pt>
                <c:pt idx="11">
                  <c:v>7.6911960152543513</c:v>
                </c:pt>
                <c:pt idx="12">
                  <c:v>6.7808405697745275</c:v>
                </c:pt>
                <c:pt idx="13">
                  <c:v>7.1777148391402363</c:v>
                </c:pt>
                <c:pt idx="14">
                  <c:v>7.1338693231154053</c:v>
                </c:pt>
                <c:pt idx="15">
                  <c:v>7.0052740995907978</c:v>
                </c:pt>
                <c:pt idx="16">
                  <c:v>6.6250676396054669</c:v>
                </c:pt>
                <c:pt idx="17">
                  <c:v>8.0614280123281645</c:v>
                </c:pt>
                <c:pt idx="18">
                  <c:v>8.4128473873335068</c:v>
                </c:pt>
                <c:pt idx="19">
                  <c:v>12.126308472358522</c:v>
                </c:pt>
                <c:pt idx="20">
                  <c:v>10.911482251877466</c:v>
                </c:pt>
                <c:pt idx="21">
                  <c:v>12.466249481524228</c:v>
                </c:pt>
                <c:pt idx="22">
                  <c:v>11.398356518403359</c:v>
                </c:pt>
                <c:pt idx="23">
                  <c:v>8.9806968401651499</c:v>
                </c:pt>
                <c:pt idx="24">
                  <c:v>7.0097443762509402</c:v>
                </c:pt>
                <c:pt idx="25">
                  <c:v>7.6744770921252741</c:v>
                </c:pt>
                <c:pt idx="26">
                  <c:v>8.2838892144755842</c:v>
                </c:pt>
                <c:pt idx="27">
                  <c:v>9.4681363912217851</c:v>
                </c:pt>
                <c:pt idx="28">
                  <c:v>8.6136749852741641</c:v>
                </c:pt>
                <c:pt idx="29">
                  <c:v>6.9871630723269185</c:v>
                </c:pt>
                <c:pt idx="30">
                  <c:v>7.2199429296131896</c:v>
                </c:pt>
                <c:pt idx="31">
                  <c:v>7.8410149955724595</c:v>
                </c:pt>
                <c:pt idx="32">
                  <c:v>7.1997656346367336</c:v>
                </c:pt>
                <c:pt idx="33">
                  <c:v>5.8809315046342441</c:v>
                </c:pt>
                <c:pt idx="34">
                  <c:v>6.9344002944708638</c:v>
                </c:pt>
                <c:pt idx="35">
                  <c:v>6.4820525835839353</c:v>
                </c:pt>
                <c:pt idx="36">
                  <c:v>7.345557013320235</c:v>
                </c:pt>
                <c:pt idx="37">
                  <c:v>6.1087091465039132</c:v>
                </c:pt>
                <c:pt idx="38">
                  <c:v>5.924689183796418</c:v>
                </c:pt>
                <c:pt idx="39">
                  <c:v>4.9969209320261632</c:v>
                </c:pt>
                <c:pt idx="40">
                  <c:v>4.9296441099430597</c:v>
                </c:pt>
                <c:pt idx="41">
                  <c:v>4.8017443389764427</c:v>
                </c:pt>
                <c:pt idx="42">
                  <c:v>4.7520019840251768</c:v>
                </c:pt>
                <c:pt idx="43">
                  <c:v>5.378584094778577</c:v>
                </c:pt>
                <c:pt idx="44">
                  <c:v>4.8083632311134776</c:v>
                </c:pt>
                <c:pt idx="45">
                  <c:v>5.3143462690120975</c:v>
                </c:pt>
                <c:pt idx="46">
                  <c:v>5.4134834690004974</c:v>
                </c:pt>
                <c:pt idx="47">
                  <c:v>4.3573250469810842</c:v>
                </c:pt>
                <c:pt idx="48">
                  <c:v>3.8429689782151426</c:v>
                </c:pt>
                <c:pt idx="49">
                  <c:v>3.4612605990263403</c:v>
                </c:pt>
                <c:pt idx="50">
                  <c:v>3.9589625840387481</c:v>
                </c:pt>
                <c:pt idx="51">
                  <c:v>4.503659817543217</c:v>
                </c:pt>
                <c:pt idx="52">
                  <c:v>5.0821873549228975</c:v>
                </c:pt>
                <c:pt idx="53">
                  <c:v>4.1511487318274192</c:v>
                </c:pt>
                <c:pt idx="54">
                  <c:v>3.9917020440313129</c:v>
                </c:pt>
                <c:pt idx="55">
                  <c:v>4.1016114756600031</c:v>
                </c:pt>
                <c:pt idx="56">
                  <c:v>4.0197961940291647</c:v>
                </c:pt>
                <c:pt idx="57">
                  <c:v>4.0466572360155437</c:v>
                </c:pt>
                <c:pt idx="58">
                  <c:v>4.795669758673105</c:v>
                </c:pt>
                <c:pt idx="59">
                  <c:v>5.7683690807340575</c:v>
                </c:pt>
                <c:pt idx="60">
                  <c:v>4.9119659425300295</c:v>
                </c:pt>
                <c:pt idx="61">
                  <c:v>4.406685636174192</c:v>
                </c:pt>
                <c:pt idx="62">
                  <c:v>5.3467874123002828</c:v>
                </c:pt>
                <c:pt idx="63">
                  <c:v>5.7322955890724776</c:v>
                </c:pt>
                <c:pt idx="64">
                  <c:v>5.8506038231009594</c:v>
                </c:pt>
                <c:pt idx="65">
                  <c:v>5.4621714953738243</c:v>
                </c:pt>
                <c:pt idx="66">
                  <c:v>5.2414234752533986</c:v>
                </c:pt>
                <c:pt idx="67">
                  <c:v>5.3224943351079332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DE-6D4B-B07C-C8E4B6016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33264"/>
        <c:axId val="559637184"/>
      </c:lineChart>
      <c:catAx>
        <c:axId val="55963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7184"/>
        <c:crosses val="autoZero"/>
        <c:auto val="1"/>
        <c:lblAlgn val="ctr"/>
        <c:lblOffset val="100"/>
        <c:tickMarkSkip val="3"/>
        <c:noMultiLvlLbl val="0"/>
      </c:catAx>
      <c:valAx>
        <c:axId val="55963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32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comparison'!$J$2</c:f>
              <c:strCache>
                <c:ptCount val="1"/>
                <c:pt idx="0">
                  <c:v>BRA,£/ton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comparison'!$J$3:$J$70</c:f>
              <c:numCache>
                <c:formatCode>0.00</c:formatCode>
                <c:ptCount val="68"/>
                <c:pt idx="0">
                  <c:v>1.3468013468013469</c:v>
                </c:pt>
                <c:pt idx="1">
                  <c:v>1.4001051105714766</c:v>
                </c:pt>
                <c:pt idx="2">
                  <c:v>1.2500137864750742</c:v>
                </c:pt>
                <c:pt idx="3">
                  <c:v>1.29381685818562</c:v>
                </c:pt>
                <c:pt idx="24">
                  <c:v>1.863384098766834</c:v>
                </c:pt>
                <c:pt idx="25">
                  <c:v>1.8044960971746271</c:v>
                </c:pt>
                <c:pt idx="26">
                  <c:v>1.7942441190202323</c:v>
                </c:pt>
                <c:pt idx="32">
                  <c:v>1.8970046260980029</c:v>
                </c:pt>
                <c:pt idx="33">
                  <c:v>1.7838264183663179</c:v>
                </c:pt>
                <c:pt idx="34">
                  <c:v>1.8781936942580606</c:v>
                </c:pt>
                <c:pt idx="35">
                  <c:v>1.864261367739567</c:v>
                </c:pt>
                <c:pt idx="36">
                  <c:v>1.7630465444287728</c:v>
                </c:pt>
                <c:pt idx="38">
                  <c:v>1.7239893112662701</c:v>
                </c:pt>
                <c:pt idx="39">
                  <c:v>1.5494267121165171</c:v>
                </c:pt>
                <c:pt idx="40">
                  <c:v>1.5572685509616133</c:v>
                </c:pt>
                <c:pt idx="41">
                  <c:v>1.9112352773534771</c:v>
                </c:pt>
                <c:pt idx="42">
                  <c:v>2.1041557075223567</c:v>
                </c:pt>
                <c:pt idx="44">
                  <c:v>1.880229387985334</c:v>
                </c:pt>
                <c:pt idx="45">
                  <c:v>1.2421588721197443</c:v>
                </c:pt>
                <c:pt idx="55">
                  <c:v>1.7179153231835638</c:v>
                </c:pt>
                <c:pt idx="56">
                  <c:v>1.5043531668468337</c:v>
                </c:pt>
                <c:pt idx="57">
                  <c:v>1.3466886572859256</c:v>
                </c:pt>
                <c:pt idx="58">
                  <c:v>1.312077546001468</c:v>
                </c:pt>
                <c:pt idx="59">
                  <c:v>1.2759794579358437</c:v>
                </c:pt>
                <c:pt idx="60">
                  <c:v>0.95393235403907195</c:v>
                </c:pt>
                <c:pt idx="61">
                  <c:v>1.6261130908583825</c:v>
                </c:pt>
                <c:pt idx="62">
                  <c:v>1.5057209114425767</c:v>
                </c:pt>
                <c:pt idx="63">
                  <c:v>1.3689067432147048</c:v>
                </c:pt>
                <c:pt idx="64">
                  <c:v>1.5540183683560578</c:v>
                </c:pt>
                <c:pt idx="65">
                  <c:v>1.6412230841996762</c:v>
                </c:pt>
                <c:pt idx="66">
                  <c:v>1.8704414952370327</c:v>
                </c:pt>
                <c:pt idx="67">
                  <c:v>1.8229044872600051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87-2D47-A49E-A7F806ECC131}"/>
            </c:ext>
          </c:extLst>
        </c:ser>
        <c:ser>
          <c:idx val="1"/>
          <c:order val="1"/>
          <c:tx>
            <c:strRef>
              <c:f>'Price comparison'!$K$2</c:f>
              <c:strCache>
                <c:ptCount val="1"/>
                <c:pt idx="0">
                  <c:v>UK, £/ton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comparison'!$K$3:$K$70</c:f>
              <c:numCache>
                <c:formatCode>0.00</c:formatCode>
                <c:ptCount val="68"/>
                <c:pt idx="0">
                  <c:v>1.8052259733188132</c:v>
                </c:pt>
                <c:pt idx="1">
                  <c:v>2.0121742674061309</c:v>
                </c:pt>
                <c:pt idx="2">
                  <c:v>1.687638872543251</c:v>
                </c:pt>
                <c:pt idx="3">
                  <c:v>1.6021887617765815</c:v>
                </c:pt>
                <c:pt idx="4">
                  <c:v>1.5915960144560752</c:v>
                </c:pt>
                <c:pt idx="5">
                  <c:v>1.6094178567935049</c:v>
                </c:pt>
                <c:pt idx="6">
                  <c:v>1.5852693684597028</c:v>
                </c:pt>
                <c:pt idx="7">
                  <c:v>2.0565513174363752</c:v>
                </c:pt>
                <c:pt idx="8">
                  <c:v>2.2166953771969675</c:v>
                </c:pt>
                <c:pt idx="9">
                  <c:v>2.095058954632504</c:v>
                </c:pt>
                <c:pt idx="10">
                  <c:v>1.9764963088827916</c:v>
                </c:pt>
                <c:pt idx="11">
                  <c:v>1.7643004813536249</c:v>
                </c:pt>
                <c:pt idx="12">
                  <c:v>1.5987288877302104</c:v>
                </c:pt>
                <c:pt idx="13">
                  <c:v>1.6933077923546711</c:v>
                </c:pt>
                <c:pt idx="14">
                  <c:v>1.7722845533965033</c:v>
                </c:pt>
                <c:pt idx="15">
                  <c:v>1.8138364773876057</c:v>
                </c:pt>
                <c:pt idx="16">
                  <c:v>1.7192662796035554</c:v>
                </c:pt>
                <c:pt idx="17">
                  <c:v>1.6930806435677195</c:v>
                </c:pt>
                <c:pt idx="18">
                  <c:v>1.8825543061204355</c:v>
                </c:pt>
                <c:pt idx="19">
                  <c:v>1.861953094165719</c:v>
                </c:pt>
                <c:pt idx="20">
                  <c:v>1.7819688679014665</c:v>
                </c:pt>
                <c:pt idx="21">
                  <c:v>1.7599347716616633</c:v>
                </c:pt>
                <c:pt idx="22">
                  <c:v>1.6796041193287228</c:v>
                </c:pt>
                <c:pt idx="23">
                  <c:v>1.7129216834750569</c:v>
                </c:pt>
                <c:pt idx="24">
                  <c:v>1.7225910807062628</c:v>
                </c:pt>
                <c:pt idx="25">
                  <c:v>1.7749017554366548</c:v>
                </c:pt>
                <c:pt idx="26">
                  <c:v>2.2654986576632918</c:v>
                </c:pt>
                <c:pt idx="27">
                  <c:v>2.7999590742977118</c:v>
                </c:pt>
                <c:pt idx="28">
                  <c:v>2.3865248405054404</c:v>
                </c:pt>
                <c:pt idx="29">
                  <c:v>1.9628831307603003</c:v>
                </c:pt>
                <c:pt idx="30">
                  <c:v>1.7785780238515458</c:v>
                </c:pt>
                <c:pt idx="31">
                  <c:v>1.7520610653636171</c:v>
                </c:pt>
                <c:pt idx="32">
                  <c:v>1.6820053782222433</c:v>
                </c:pt>
                <c:pt idx="33">
                  <c:v>1.6441970886117172</c:v>
                </c:pt>
                <c:pt idx="34">
                  <c:v>1.6897527858447263</c:v>
                </c:pt>
                <c:pt idx="35">
                  <c:v>1.6353126705432921</c:v>
                </c:pt>
                <c:pt idx="36">
                  <c:v>1.6504996854688494</c:v>
                </c:pt>
                <c:pt idx="37">
                  <c:v>1.7083282908183888</c:v>
                </c:pt>
                <c:pt idx="38">
                  <c:v>1.6268078448495433</c:v>
                </c:pt>
                <c:pt idx="39">
                  <c:v>1.4654680393446218</c:v>
                </c:pt>
                <c:pt idx="40">
                  <c:v>1.3715248266412055</c:v>
                </c:pt>
                <c:pt idx="41">
                  <c:v>1.4536400667451905</c:v>
                </c:pt>
                <c:pt idx="42">
                  <c:v>1.8677335686019712</c:v>
                </c:pt>
                <c:pt idx="43">
                  <c:v>2.1261367159207714</c:v>
                </c:pt>
                <c:pt idx="44">
                  <c:v>1.9528097226798855</c:v>
                </c:pt>
                <c:pt idx="45">
                  <c:v>1.6054483840173448</c:v>
                </c:pt>
                <c:pt idx="46">
                  <c:v>1.4715722237212296</c:v>
                </c:pt>
                <c:pt idx="47">
                  <c:v>1.3296527267923199</c:v>
                </c:pt>
                <c:pt idx="48">
                  <c:v>1.3506517235664568</c:v>
                </c:pt>
                <c:pt idx="49">
                  <c:v>1.196000577549629</c:v>
                </c:pt>
                <c:pt idx="50">
                  <c:v>1.3230127580970024</c:v>
                </c:pt>
                <c:pt idx="51">
                  <c:v>1.3466684063547749</c:v>
                </c:pt>
                <c:pt idx="52">
                  <c:v>1.4807954771129712</c:v>
                </c:pt>
                <c:pt idx="53">
                  <c:v>1.4392347899966755</c:v>
                </c:pt>
                <c:pt idx="54">
                  <c:v>1.9003006674124285</c:v>
                </c:pt>
                <c:pt idx="55">
                  <c:v>1.5848202210945279</c:v>
                </c:pt>
                <c:pt idx="56">
                  <c:v>1.3838898691070582</c:v>
                </c:pt>
                <c:pt idx="57">
                  <c:v>1.2368329470189483</c:v>
                </c:pt>
                <c:pt idx="58">
                  <c:v>1.1973222975114506</c:v>
                </c:pt>
                <c:pt idx="59">
                  <c:v>1.3068031045485624</c:v>
                </c:pt>
                <c:pt idx="60">
                  <c:v>1.3758167665694261</c:v>
                </c:pt>
                <c:pt idx="61">
                  <c:v>1.418868620418495</c:v>
                </c:pt>
                <c:pt idx="62">
                  <c:v>1.3410059063136457</c:v>
                </c:pt>
                <c:pt idx="63">
                  <c:v>1.2991682837294292</c:v>
                </c:pt>
                <c:pt idx="64">
                  <c:v>1.558398859908072</c:v>
                </c:pt>
                <c:pt idx="65">
                  <c:v>1.6178371727757239</c:v>
                </c:pt>
                <c:pt idx="66">
                  <c:v>1.8174845489549634</c:v>
                </c:pt>
                <c:pt idx="67">
                  <c:v>1.7464675446811151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7-2D47-A49E-A7F806EC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33656"/>
        <c:axId val="559631304"/>
      </c:lineChart>
      <c:catAx>
        <c:axId val="55963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1304"/>
        <c:crosses val="autoZero"/>
        <c:auto val="1"/>
        <c:lblAlgn val="ctr"/>
        <c:lblOffset val="100"/>
        <c:tickMarkSkip val="3"/>
        <c:noMultiLvlLbl val="0"/>
      </c:catAx>
      <c:valAx>
        <c:axId val="55963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36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Xarque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comparison'!$AH$2</c:f>
              <c:strCache>
                <c:ptCount val="1"/>
                <c:pt idx="0">
                  <c:v>BRA, mil-réis/kg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comparison'!$AH$3:$AH$70</c:f>
              <c:numCache>
                <c:formatCode>General</c:formatCode>
                <c:ptCount val="68"/>
                <c:pt idx="0">
                  <c:v>0.13753500278729003</c:v>
                </c:pt>
                <c:pt idx="1">
                  <c:v>0.13638666592490439</c:v>
                </c:pt>
                <c:pt idx="2">
                  <c:v>0.13615643935654387</c:v>
                </c:pt>
                <c:pt idx="3">
                  <c:v>0.13612323216387098</c:v>
                </c:pt>
                <c:pt idx="24">
                  <c:v>0.2</c:v>
                </c:pt>
                <c:pt idx="25">
                  <c:v>0.20000345248006149</c:v>
                </c:pt>
                <c:pt idx="26">
                  <c:v>0.20051438463710991</c:v>
                </c:pt>
                <c:pt idx="32" formatCode="0.00">
                  <c:v>0.2</c:v>
                </c:pt>
                <c:pt idx="33" formatCode="0.00">
                  <c:v>0.2</c:v>
                </c:pt>
                <c:pt idx="34" formatCode="0.00">
                  <c:v>0.2000000869188972</c:v>
                </c:pt>
                <c:pt idx="35" formatCode="0.00">
                  <c:v>0.2</c:v>
                </c:pt>
                <c:pt idx="36" formatCode="0.00">
                  <c:v>0.2</c:v>
                </c:pt>
                <c:pt idx="38" formatCode="0.00">
                  <c:v>0.19968308456469358</c:v>
                </c:pt>
                <c:pt idx="39" formatCode="0.00">
                  <c:v>0.2</c:v>
                </c:pt>
                <c:pt idx="40" formatCode="0.00">
                  <c:v>0.2</c:v>
                </c:pt>
                <c:pt idx="41" formatCode="0.00">
                  <c:v>0.35000000000000003</c:v>
                </c:pt>
                <c:pt idx="42" formatCode="0.00">
                  <c:v>0.35</c:v>
                </c:pt>
                <c:pt idx="44" formatCode="0.00">
                  <c:v>0.34426775612822125</c:v>
                </c:pt>
                <c:pt idx="45" formatCode="0.00">
                  <c:v>0.3</c:v>
                </c:pt>
                <c:pt idx="55" formatCode="0.00">
                  <c:v>0.60158948384393929</c:v>
                </c:pt>
                <c:pt idx="56" formatCode="0.00">
                  <c:v>0.53249275786015182</c:v>
                </c:pt>
                <c:pt idx="57" formatCode="0.00">
                  <c:v>0.4922054274437988</c:v>
                </c:pt>
                <c:pt idx="58" formatCode="0.00">
                  <c:v>0.4949906207451415</c:v>
                </c:pt>
                <c:pt idx="59" formatCode="0.00">
                  <c:v>0.51127980084097435</c:v>
                </c:pt>
                <c:pt idx="60" formatCode="0.00">
                  <c:v>0.50373422282838309</c:v>
                </c:pt>
                <c:pt idx="61" formatCode="0.00">
                  <c:v>0.51497262220496742</c:v>
                </c:pt>
                <c:pt idx="62" formatCode="0.00">
                  <c:v>0.48621925387553061</c:v>
                </c:pt>
                <c:pt idx="63" formatCode="0.00">
                  <c:v>0.49396567232421235</c:v>
                </c:pt>
                <c:pt idx="64" formatCode="0.00">
                  <c:v>0.46117814003382335</c:v>
                </c:pt>
                <c:pt idx="65" formatCode="0.00">
                  <c:v>0.54347252491214182</c:v>
                </c:pt>
                <c:pt idx="66" formatCode="0.00">
                  <c:v>0.6111946681336935</c:v>
                </c:pt>
                <c:pt idx="67" formatCode="0.00">
                  <c:v>0.76026937350706392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3-4034-93A7-31DCA9A5D6CA}"/>
            </c:ext>
          </c:extLst>
        </c:ser>
        <c:ser>
          <c:idx val="1"/>
          <c:order val="1"/>
          <c:tx>
            <c:strRef>
              <c:f>'Price comparison'!$AI$2</c:f>
              <c:strCache>
                <c:ptCount val="1"/>
                <c:pt idx="0">
                  <c:v>RIO current, mil-réis/kg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'Price comparison'!$AI$3:$AI$70</c:f>
              <c:numCache>
                <c:formatCode>0.00</c:formatCode>
                <c:ptCount val="68"/>
                <c:pt idx="0">
                  <c:v>0.18240799951714406</c:v>
                </c:pt>
                <c:pt idx="1">
                  <c:v>0.16281730809935099</c:v>
                </c:pt>
                <c:pt idx="2">
                  <c:v>0.14713807578851829</c:v>
                </c:pt>
                <c:pt idx="3">
                  <c:v>0.15504615604799277</c:v>
                </c:pt>
                <c:pt idx="4">
                  <c:v>0.18959143819743146</c:v>
                </c:pt>
                <c:pt idx="5">
                  <c:v>0.16419432015703173</c:v>
                </c:pt>
                <c:pt idx="6">
                  <c:v>0.20720903784730477</c:v>
                </c:pt>
                <c:pt idx="7">
                  <c:v>0.28091138809917088</c:v>
                </c:pt>
                <c:pt idx="8">
                  <c:v>0.30296686044009175</c:v>
                </c:pt>
                <c:pt idx="9">
                  <c:v>0.31468463947264946</c:v>
                </c:pt>
                <c:pt idx="10">
                  <c:v>0.38602618817297069</c:v>
                </c:pt>
                <c:pt idx="11">
                  <c:v>0.37382285448715069</c:v>
                </c:pt>
                <c:pt idx="12">
                  <c:v>0.39876915188544221</c:v>
                </c:pt>
                <c:pt idx="13">
                  <c:v>0.28168475420454925</c:v>
                </c:pt>
                <c:pt idx="14">
                  <c:v>0.24526380941405967</c:v>
                </c:pt>
                <c:pt idx="15">
                  <c:v>0.19455101046532183</c:v>
                </c:pt>
                <c:pt idx="16">
                  <c:v>0.16885904796037302</c:v>
                </c:pt>
                <c:pt idx="17">
                  <c:v>0.20096644764673316</c:v>
                </c:pt>
                <c:pt idx="18">
                  <c:v>0.20485789387268524</c:v>
                </c:pt>
                <c:pt idx="19">
                  <c:v>0.15245631949171773</c:v>
                </c:pt>
                <c:pt idx="20">
                  <c:v>0.20290682250460892</c:v>
                </c:pt>
                <c:pt idx="21">
                  <c:v>0.13842549055448097</c:v>
                </c:pt>
                <c:pt idx="22">
                  <c:v>0.14826892772200778</c:v>
                </c:pt>
                <c:pt idx="23">
                  <c:v>0.17209147924125856</c:v>
                </c:pt>
                <c:pt idx="24">
                  <c:v>0.18382603717622684</c:v>
                </c:pt>
                <c:pt idx="25">
                  <c:v>0.23830980274356664</c:v>
                </c:pt>
                <c:pt idx="26">
                  <c:v>0.24062500000000001</c:v>
                </c:pt>
                <c:pt idx="27">
                  <c:v>0.24026962383126765</c:v>
                </c:pt>
                <c:pt idx="28">
                  <c:v>0.26855731012998174</c:v>
                </c:pt>
                <c:pt idx="29">
                  <c:v>0.34875808097992511</c:v>
                </c:pt>
                <c:pt idx="30">
                  <c:v>0.30623020063357975</c:v>
                </c:pt>
                <c:pt idx="31">
                  <c:v>0.28656227612322177</c:v>
                </c:pt>
                <c:pt idx="32">
                  <c:v>0.25805218388607476</c:v>
                </c:pt>
                <c:pt idx="33">
                  <c:v>0.36961168507303166</c:v>
                </c:pt>
                <c:pt idx="34">
                  <c:v>0.34063708341005339</c:v>
                </c:pt>
                <c:pt idx="35">
                  <c:v>0.33771449434100037</c:v>
                </c:pt>
                <c:pt idx="36">
                  <c:v>0.33057122708039488</c:v>
                </c:pt>
                <c:pt idx="37">
                  <c:v>0.36837376460017968</c:v>
                </c:pt>
                <c:pt idx="38">
                  <c:v>0.2585983966899405</c:v>
                </c:pt>
                <c:pt idx="39">
                  <c:v>0.251781840718934</c:v>
                </c:pt>
                <c:pt idx="40">
                  <c:v>0.29588102468270655</c:v>
                </c:pt>
                <c:pt idx="41">
                  <c:v>0.30852655198204937</c:v>
                </c:pt>
                <c:pt idx="42">
                  <c:v>0.27354024197790638</c:v>
                </c:pt>
                <c:pt idx="43">
                  <c:v>0.35250055078211062</c:v>
                </c:pt>
                <c:pt idx="44">
                  <c:v>0.33844128983736016</c:v>
                </c:pt>
                <c:pt idx="45">
                  <c:v>0.32296130675113344</c:v>
                </c:pt>
                <c:pt idx="46">
                  <c:v>0.26067776218167238</c:v>
                </c:pt>
                <c:pt idx="47">
                  <c:v>0.38645476063958262</c:v>
                </c:pt>
                <c:pt idx="48">
                  <c:v>0.27757917315052361</c:v>
                </c:pt>
                <c:pt idx="49">
                  <c:v>0.22359322595337669</c:v>
                </c:pt>
                <c:pt idx="50">
                  <c:v>0.27942453649511007</c:v>
                </c:pt>
                <c:pt idx="51">
                  <c:v>0.2540764802367092</c:v>
                </c:pt>
                <c:pt idx="52">
                  <c:v>0.2934922583929801</c:v>
                </c:pt>
                <c:pt idx="53">
                  <c:v>0.29130124887663084</c:v>
                </c:pt>
                <c:pt idx="54">
                  <c:v>0.34437715235720223</c:v>
                </c:pt>
                <c:pt idx="55">
                  <c:v>0.35546708374804498</c:v>
                </c:pt>
                <c:pt idx="56">
                  <c:v>0.3042090564532216</c:v>
                </c:pt>
                <c:pt idx="57">
                  <c:v>0.32500000000000001</c:v>
                </c:pt>
                <c:pt idx="58">
                  <c:v>0.34110579370736183</c:v>
                </c:pt>
                <c:pt idx="59">
                  <c:v>0.45024167383963454</c:v>
                </c:pt>
                <c:pt idx="60">
                  <c:v>0.48563334682314857</c:v>
                </c:pt>
                <c:pt idx="61">
                  <c:v>0.45656309448319604</c:v>
                </c:pt>
                <c:pt idx="62">
                  <c:v>0.49889485317335008</c:v>
                </c:pt>
                <c:pt idx="63">
                  <c:v>0.47994947900221024</c:v>
                </c:pt>
                <c:pt idx="64">
                  <c:v>0.52763309206521003</c:v>
                </c:pt>
                <c:pt idx="65">
                  <c:v>0.52356020942408377</c:v>
                </c:pt>
                <c:pt idx="66">
                  <c:v>0.78761359811511278</c:v>
                </c:pt>
                <c:pt idx="67">
                  <c:v>0.724929520741039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3-4034-93A7-31DCA9A5D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36792"/>
        <c:axId val="559632088"/>
      </c:lineChart>
      <c:catAx>
        <c:axId val="55963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2088"/>
        <c:crosses val="autoZero"/>
        <c:auto val="1"/>
        <c:lblAlgn val="ctr"/>
        <c:lblOffset val="100"/>
        <c:tickMarkSkip val="3"/>
        <c:noMultiLvlLbl val="0"/>
      </c:catAx>
      <c:valAx>
        <c:axId val="55963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67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Cotton manufactures,</a:t>
            </a:r>
            <a:r>
              <a:rPr lang="en-AU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Printed and dyed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comparison'!$O$2</c:f>
              <c:strCache>
                <c:ptCount val="1"/>
                <c:pt idx="0">
                  <c:v>BRA, £/yard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comparison'!$O$3:$O$70</c:f>
              <c:numCache>
                <c:formatCode>General</c:formatCode>
                <c:ptCount val="68"/>
                <c:pt idx="0">
                  <c:v>2.0959153353259312E-2</c:v>
                </c:pt>
                <c:pt idx="1">
                  <c:v>2.1225895092427408E-2</c:v>
                </c:pt>
                <c:pt idx="2">
                  <c:v>1.932777120590606E-2</c:v>
                </c:pt>
                <c:pt idx="3">
                  <c:v>1.9988325770396703E-2</c:v>
                </c:pt>
                <c:pt idx="24">
                  <c:v>1.8014767448378047E-2</c:v>
                </c:pt>
                <c:pt idx="25">
                  <c:v>2.2025977482031219E-2</c:v>
                </c:pt>
                <c:pt idx="26">
                  <c:v>1.4486205684218904E-2</c:v>
                </c:pt>
                <c:pt idx="32">
                  <c:v>1.6953915416276659E-2</c:v>
                </c:pt>
                <c:pt idx="33">
                  <c:v>1.5714320529956607E-2</c:v>
                </c:pt>
                <c:pt idx="34">
                  <c:v>1.2300570978632729E-2</c:v>
                </c:pt>
                <c:pt idx="35">
                  <c:v>1.28647336723054E-2</c:v>
                </c:pt>
                <c:pt idx="36">
                  <c:v>1.5627736863880231E-2</c:v>
                </c:pt>
                <c:pt idx="38">
                  <c:v>1.5363177510483151E-2</c:v>
                </c:pt>
                <c:pt idx="39">
                  <c:v>1.384641198239476E-2</c:v>
                </c:pt>
                <c:pt idx="40">
                  <c:v>1.4429585137229089E-2</c:v>
                </c:pt>
                <c:pt idx="41">
                  <c:v>1.7242299447538863E-2</c:v>
                </c:pt>
                <c:pt idx="42">
                  <c:v>1.951207197741486E-2</c:v>
                </c:pt>
                <c:pt idx="44">
                  <c:v>1.7332498045587522E-2</c:v>
                </c:pt>
                <c:pt idx="45">
                  <c:v>1.1450579573375223E-2</c:v>
                </c:pt>
                <c:pt idx="55">
                  <c:v>8.8947201677239771E-3</c:v>
                </c:pt>
                <c:pt idx="56">
                  <c:v>8.6246259523901306E-3</c:v>
                </c:pt>
                <c:pt idx="57">
                  <c:v>8.5580753368296267E-3</c:v>
                </c:pt>
                <c:pt idx="58">
                  <c:v>9.51449420131306E-3</c:v>
                </c:pt>
                <c:pt idx="59">
                  <c:v>9.9075093617654268E-3</c:v>
                </c:pt>
                <c:pt idx="60">
                  <c:v>1.0986742702134192E-2</c:v>
                </c:pt>
                <c:pt idx="61">
                  <c:v>1.1057542821730861E-2</c:v>
                </c:pt>
                <c:pt idx="62">
                  <c:v>1.1409522241416436E-2</c:v>
                </c:pt>
                <c:pt idx="63">
                  <c:v>1.0666334249350378E-2</c:v>
                </c:pt>
                <c:pt idx="64">
                  <c:v>1.1868556461001331E-2</c:v>
                </c:pt>
                <c:pt idx="65">
                  <c:v>1.2218896291933939E-2</c:v>
                </c:pt>
                <c:pt idx="66">
                  <c:v>1.2043647506691055E-2</c:v>
                </c:pt>
                <c:pt idx="67">
                  <c:v>1.2002977070940958E-2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9-4097-9458-A4248F5E9D41}"/>
            </c:ext>
          </c:extLst>
        </c:ser>
        <c:ser>
          <c:idx val="1"/>
          <c:order val="1"/>
          <c:tx>
            <c:strRef>
              <c:f>'Price comparison'!$P$2</c:f>
              <c:strCache>
                <c:ptCount val="1"/>
                <c:pt idx="0">
                  <c:v>UK, £/yard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'Price comparison'!$P$3:$P$70</c:f>
              <c:numCache>
                <c:formatCode>0.000</c:formatCode>
                <c:ptCount val="68"/>
                <c:pt idx="0">
                  <c:v>2.0275226985519999E-2</c:v>
                </c:pt>
                <c:pt idx="1">
                  <c:v>2.0341374034666376E-2</c:v>
                </c:pt>
                <c:pt idx="2">
                  <c:v>1.8112833811162628E-2</c:v>
                </c:pt>
                <c:pt idx="3">
                  <c:v>1.7563779400796235E-2</c:v>
                </c:pt>
                <c:pt idx="4">
                  <c:v>1.8660535341964445E-2</c:v>
                </c:pt>
                <c:pt idx="5">
                  <c:v>1.8381297939075565E-2</c:v>
                </c:pt>
                <c:pt idx="6">
                  <c:v>1.7990951615990951E-2</c:v>
                </c:pt>
                <c:pt idx="7">
                  <c:v>1.8186124777533258E-2</c:v>
                </c:pt>
                <c:pt idx="8">
                  <c:v>1.6349773140983025E-2</c:v>
                </c:pt>
                <c:pt idx="9">
                  <c:v>1.6379784103889215E-2</c:v>
                </c:pt>
                <c:pt idx="10">
                  <c:v>1.6319762178076836E-2</c:v>
                </c:pt>
                <c:pt idx="11">
                  <c:v>1.912445453795578E-2</c:v>
                </c:pt>
                <c:pt idx="12">
                  <c:v>1.7408919019622462E-2</c:v>
                </c:pt>
                <c:pt idx="13">
                  <c:v>1.8322091501826492E-2</c:v>
                </c:pt>
                <c:pt idx="14">
                  <c:v>1.7860034529098741E-2</c:v>
                </c:pt>
                <c:pt idx="15">
                  <c:v>1.7352363604623576E-2</c:v>
                </c:pt>
                <c:pt idx="16">
                  <c:v>1.9146655799434888E-2</c:v>
                </c:pt>
                <c:pt idx="17">
                  <c:v>2.4160100433152809E-2</c:v>
                </c:pt>
                <c:pt idx="18">
                  <c:v>2.7215505836111428E-2</c:v>
                </c:pt>
                <c:pt idx="19">
                  <c:v>2.5820040681151828E-2</c:v>
                </c:pt>
                <c:pt idx="20">
                  <c:v>2.6286838641697424E-2</c:v>
                </c:pt>
                <c:pt idx="21">
                  <c:v>2.2214085376279509E-2</c:v>
                </c:pt>
                <c:pt idx="22">
                  <c:v>2.029179372096062E-2</c:v>
                </c:pt>
                <c:pt idx="23">
                  <c:v>2.0614451542384109E-2</c:v>
                </c:pt>
                <c:pt idx="24">
                  <c:v>2.0552680047399158E-2</c:v>
                </c:pt>
                <c:pt idx="25">
                  <c:v>2.0402362664853943E-2</c:v>
                </c:pt>
                <c:pt idx="26">
                  <c:v>2.1530130161855902E-2</c:v>
                </c:pt>
                <c:pt idx="27">
                  <c:v>2.1027370956471565E-2</c:v>
                </c:pt>
                <c:pt idx="28">
                  <c:v>2.1092718205834339E-2</c:v>
                </c:pt>
                <c:pt idx="29">
                  <c:v>2.0323284181638396E-2</c:v>
                </c:pt>
                <c:pt idx="30">
                  <c:v>1.885276221007821E-2</c:v>
                </c:pt>
                <c:pt idx="31">
                  <c:v>1.8138145985118339E-2</c:v>
                </c:pt>
                <c:pt idx="32">
                  <c:v>1.6844505788064963E-2</c:v>
                </c:pt>
                <c:pt idx="33">
                  <c:v>1.5722779701488374E-2</c:v>
                </c:pt>
                <c:pt idx="34">
                  <c:v>1.6447376867780635E-2</c:v>
                </c:pt>
                <c:pt idx="35">
                  <c:v>1.6188141858113153E-2</c:v>
                </c:pt>
                <c:pt idx="36">
                  <c:v>1.5935618713703678E-2</c:v>
                </c:pt>
                <c:pt idx="37">
                  <c:v>1.509837713859395E-2</c:v>
                </c:pt>
                <c:pt idx="38">
                  <c:v>1.5049434870144759E-2</c:v>
                </c:pt>
                <c:pt idx="39">
                  <c:v>1.4131440386159112E-2</c:v>
                </c:pt>
                <c:pt idx="40">
                  <c:v>1.3564608264310638E-2</c:v>
                </c:pt>
                <c:pt idx="41">
                  <c:v>1.3972443675117097E-2</c:v>
                </c:pt>
                <c:pt idx="42">
                  <c:v>1.3811772138147329E-2</c:v>
                </c:pt>
                <c:pt idx="43">
                  <c:v>1.3833206172188077E-2</c:v>
                </c:pt>
                <c:pt idx="44">
                  <c:v>1.391673840867853E-2</c:v>
                </c:pt>
                <c:pt idx="45">
                  <c:v>1.329787876848609E-2</c:v>
                </c:pt>
                <c:pt idx="46">
                  <c:v>1.2440719335254705E-2</c:v>
                </c:pt>
                <c:pt idx="47">
                  <c:v>1.3586007744616548E-2</c:v>
                </c:pt>
                <c:pt idx="48">
                  <c:v>1.3363875768301723E-2</c:v>
                </c:pt>
                <c:pt idx="49">
                  <c:v>1.2685551730965224E-2</c:v>
                </c:pt>
                <c:pt idx="50">
                  <c:v>1.2601797841874096E-2</c:v>
                </c:pt>
                <c:pt idx="51">
                  <c:v>1.1501086509949627E-2</c:v>
                </c:pt>
                <c:pt idx="52">
                  <c:v>1.0683092534149412E-2</c:v>
                </c:pt>
                <c:pt idx="53">
                  <c:v>1.0843240108483164E-2</c:v>
                </c:pt>
                <c:pt idx="54">
                  <c:v>1.1671576526826604E-2</c:v>
                </c:pt>
                <c:pt idx="55">
                  <c:v>1.1831275431474079E-2</c:v>
                </c:pt>
                <c:pt idx="56">
                  <c:v>1.1580564627367321E-2</c:v>
                </c:pt>
                <c:pt idx="57">
                  <c:v>1.1195940728595906E-2</c:v>
                </c:pt>
                <c:pt idx="58">
                  <c:v>1.2408140090399646E-2</c:v>
                </c:pt>
                <c:pt idx="59">
                  <c:v>1.2794658520873116E-2</c:v>
                </c:pt>
                <c:pt idx="60">
                  <c:v>1.2157088480488737E-2</c:v>
                </c:pt>
                <c:pt idx="61">
                  <c:v>1.3625098866411762E-2</c:v>
                </c:pt>
                <c:pt idx="62">
                  <c:v>1.3375062110731894E-2</c:v>
                </c:pt>
                <c:pt idx="63">
                  <c:v>1.270056715000337E-2</c:v>
                </c:pt>
                <c:pt idx="64">
                  <c:v>1.3750650434220914E-2</c:v>
                </c:pt>
                <c:pt idx="65">
                  <c:v>1.3827334726988749E-2</c:v>
                </c:pt>
                <c:pt idx="66">
                  <c:v>1.4382734774305881E-2</c:v>
                </c:pt>
                <c:pt idx="67">
                  <c:v>1.6449213405693674E-2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9-4097-9458-A4248F5E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37968"/>
        <c:axId val="559634440"/>
      </c:lineChart>
      <c:catAx>
        <c:axId val="55963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4440"/>
        <c:crosses val="autoZero"/>
        <c:auto val="1"/>
        <c:lblAlgn val="ctr"/>
        <c:lblOffset val="100"/>
        <c:tickMarkSkip val="3"/>
        <c:noMultiLvlLbl val="0"/>
      </c:catAx>
      <c:valAx>
        <c:axId val="55963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79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Dollars!$F$1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Dollars!$A$4:$A$96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Dollars!$G$4:$G$96</c:f>
              <c:numCache>
                <c:formatCode>0</c:formatCode>
                <c:ptCount val="93"/>
                <c:pt idx="6">
                  <c:v>17396475.141465031</c:v>
                </c:pt>
                <c:pt idx="7">
                  <c:v>23934470.358950056</c:v>
                </c:pt>
                <c:pt idx="8">
                  <c:v>18679882.917231373</c:v>
                </c:pt>
                <c:pt idx="9">
                  <c:v>16940896.896401796</c:v>
                </c:pt>
                <c:pt idx="10">
                  <c:v>10686956.518667376</c:v>
                </c:pt>
                <c:pt idx="11">
                  <c:v>20396519.611176122</c:v>
                </c:pt>
                <c:pt idx="12">
                  <c:v>25398972.066139314</c:v>
                </c:pt>
                <c:pt idx="13">
                  <c:v>23524536.718658991</c:v>
                </c:pt>
                <c:pt idx="14">
                  <c:v>26888336.921671368</c:v>
                </c:pt>
                <c:pt idx="15">
                  <c:v>32024690.324759137</c:v>
                </c:pt>
                <c:pt idx="16">
                  <c:v>28587957.467413723</c:v>
                </c:pt>
                <c:pt idx="17">
                  <c:v>26259506.278289139</c:v>
                </c:pt>
                <c:pt idx="18">
                  <c:v>26132774.896642376</c:v>
                </c:pt>
                <c:pt idx="19">
                  <c:v>31463048.392225415</c:v>
                </c:pt>
                <c:pt idx="20">
                  <c:v>28657578.366691496</c:v>
                </c:pt>
                <c:pt idx="21">
                  <c:v>24411367.515269946</c:v>
                </c:pt>
                <c:pt idx="22">
                  <c:v>27782182.304634407</c:v>
                </c:pt>
                <c:pt idx="23">
                  <c:v>33843229.780944936</c:v>
                </c:pt>
                <c:pt idx="24">
                  <c:v>34403817.205536604</c:v>
                </c:pt>
                <c:pt idx="25">
                  <c:v>51726507.819083534</c:v>
                </c:pt>
                <c:pt idx="26">
                  <c:v>31436372.326331139</c:v>
                </c:pt>
                <c:pt idx="27">
                  <c:v>27065723.246251434</c:v>
                </c:pt>
                <c:pt idx="28">
                  <c:v>32205387.247322351</c:v>
                </c:pt>
                <c:pt idx="29">
                  <c:v>34347164.076728329</c:v>
                </c:pt>
                <c:pt idx="30">
                  <c:v>50589886.11408481</c:v>
                </c:pt>
                <c:pt idx="31">
                  <c:v>48182891.928411134</c:v>
                </c:pt>
                <c:pt idx="32">
                  <c:v>46808725.510827221</c:v>
                </c:pt>
                <c:pt idx="33">
                  <c:v>44792918.487965867</c:v>
                </c:pt>
                <c:pt idx="34">
                  <c:v>49036853.64920605</c:v>
                </c:pt>
                <c:pt idx="35">
                  <c:v>58563185.511417821</c:v>
                </c:pt>
                <c:pt idx="36">
                  <c:v>73335617.044822842</c:v>
                </c:pt>
                <c:pt idx="37">
                  <c:v>57952173.602142416</c:v>
                </c:pt>
                <c:pt idx="38">
                  <c:v>62369601.242583685</c:v>
                </c:pt>
                <c:pt idx="39">
                  <c:v>65763202.432896823</c:v>
                </c:pt>
                <c:pt idx="40">
                  <c:v>68623279.196515739</c:v>
                </c:pt>
                <c:pt idx="41">
                  <c:v>57252302.408379927</c:v>
                </c:pt>
                <c:pt idx="42">
                  <c:v>45703128.311433561</c:v>
                </c:pt>
                <c:pt idx="43">
                  <c:v>68357840.67855379</c:v>
                </c:pt>
                <c:pt idx="44">
                  <c:v>56969474.778036863</c:v>
                </c:pt>
                <c:pt idx="45">
                  <c:v>82548273.42706874</c:v>
                </c:pt>
                <c:pt idx="46">
                  <c:v>73726459.03079848</c:v>
                </c:pt>
                <c:pt idx="47">
                  <c:v>73296210.76436539</c:v>
                </c:pt>
                <c:pt idx="48">
                  <c:v>87037670.359370396</c:v>
                </c:pt>
                <c:pt idx="49">
                  <c:v>64040439.006328881</c:v>
                </c:pt>
                <c:pt idx="50">
                  <c:v>65398673.156901695</c:v>
                </c:pt>
                <c:pt idx="51">
                  <c:v>74247649.967446148</c:v>
                </c:pt>
                <c:pt idx="52">
                  <c:v>72017404.44740203</c:v>
                </c:pt>
                <c:pt idx="53">
                  <c:v>78553023.767935202</c:v>
                </c:pt>
                <c:pt idx="54">
                  <c:v>80684665.749571398</c:v>
                </c:pt>
                <c:pt idx="55">
                  <c:v>80389344.789573818</c:v>
                </c:pt>
                <c:pt idx="56">
                  <c:v>87731588.288603187</c:v>
                </c:pt>
                <c:pt idx="57">
                  <c:v>93884308.992378265</c:v>
                </c:pt>
                <c:pt idx="58">
                  <c:v>96715832.868485749</c:v>
                </c:pt>
                <c:pt idx="59">
                  <c:v>98992593.419633418</c:v>
                </c:pt>
                <c:pt idx="60">
                  <c:v>101651736.11622171</c:v>
                </c:pt>
                <c:pt idx="61">
                  <c:v>102360076.30913748</c:v>
                </c:pt>
                <c:pt idx="62">
                  <c:v>101388861.57158439</c:v>
                </c:pt>
                <c:pt idx="63">
                  <c:v>107857593.32946631</c:v>
                </c:pt>
                <c:pt idx="64">
                  <c:v>102401803.38312145</c:v>
                </c:pt>
                <c:pt idx="65">
                  <c:v>114941556.75862545</c:v>
                </c:pt>
                <c:pt idx="66">
                  <c:v>114848193.74098693</c:v>
                </c:pt>
                <c:pt idx="67">
                  <c:v>122373704.83765185</c:v>
                </c:pt>
                <c:pt idx="68">
                  <c:v>135427846.11074033</c:v>
                </c:pt>
                <c:pt idx="69">
                  <c:v>161871948.19339573</c:v>
                </c:pt>
                <c:pt idx="70">
                  <c:v>200731704.18790814</c:v>
                </c:pt>
                <c:pt idx="71">
                  <c:v>200396022.87464434</c:v>
                </c:pt>
                <c:pt idx="72">
                  <c:v>193153152.76999909</c:v>
                </c:pt>
                <c:pt idx="73">
                  <c:v>210126716.60831851</c:v>
                </c:pt>
                <c:pt idx="74">
                  <c:v>241045152.75780582</c:v>
                </c:pt>
                <c:pt idx="75">
                  <c:v>210853053.7052063</c:v>
                </c:pt>
                <c:pt idx="76">
                  <c:v>182243385.45516467</c:v>
                </c:pt>
                <c:pt idx="77">
                  <c:v>173688477.11623517</c:v>
                </c:pt>
                <c:pt idx="78">
                  <c:v>169870552.29421991</c:v>
                </c:pt>
                <c:pt idx="79">
                  <c:v>136143131.37493035</c:v>
                </c:pt>
                <c:pt idx="80">
                  <c:v>117931745.34831226</c:v>
                </c:pt>
                <c:pt idx="81">
                  <c:v>146352961.69615674</c:v>
                </c:pt>
                <c:pt idx="82">
                  <c:v>154760953.23535171</c:v>
                </c:pt>
                <c:pt idx="83">
                  <c:v>159363314.24848998</c:v>
                </c:pt>
                <c:pt idx="84">
                  <c:v>167577118.99532664</c:v>
                </c:pt>
                <c:pt idx="85">
                  <c:v>199151878.37139732</c:v>
                </c:pt>
                <c:pt idx="86">
                  <c:v>224434915.80560717</c:v>
                </c:pt>
                <c:pt idx="87">
                  <c:v>194350738.57065704</c:v>
                </c:pt>
                <c:pt idx="88">
                  <c:v>198785675.56446394</c:v>
                </c:pt>
                <c:pt idx="89">
                  <c:v>282704705.70001817</c:v>
                </c:pt>
                <c:pt idx="90">
                  <c:v>264018586.82221073</c:v>
                </c:pt>
                <c:pt idx="91">
                  <c:v>288458043.12861806</c:v>
                </c:pt>
                <c:pt idx="92">
                  <c:v>286781369.77326685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57-4F3B-86C0-DE48BCB93D08}"/>
            </c:ext>
          </c:extLst>
        </c:ser>
        <c:ser>
          <c:idx val="1"/>
          <c:order val="1"/>
          <c:tx>
            <c:strRef>
              <c:f>Dollars!$B$1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Dollars!$C$4:$C$96</c:f>
              <c:numCache>
                <c:formatCode>0</c:formatCode>
                <c:ptCount val="93"/>
                <c:pt idx="0">
                  <c:v>12399117.859924175</c:v>
                </c:pt>
                <c:pt idx="1">
                  <c:v>14737331.388037156</c:v>
                </c:pt>
                <c:pt idx="2">
                  <c:v>16107806.048074339</c:v>
                </c:pt>
                <c:pt idx="3">
                  <c:v>18292325.574115947</c:v>
                </c:pt>
                <c:pt idx="4">
                  <c:v>17446860.516810011</c:v>
                </c:pt>
                <c:pt idx="5">
                  <c:v>16094353.558400324</c:v>
                </c:pt>
                <c:pt idx="6">
                  <c:v>20031388.734109689</c:v>
                </c:pt>
                <c:pt idx="7">
                  <c:v>22754525.691510011</c:v>
                </c:pt>
                <c:pt idx="8">
                  <c:v>21598401.65733977</c:v>
                </c:pt>
                <c:pt idx="9">
                  <c:v>23180967.608088277</c:v>
                </c:pt>
                <c:pt idx="10">
                  <c:v>25363394.606007814</c:v>
                </c:pt>
                <c:pt idx="11">
                  <c:v>28379418.406138584</c:v>
                </c:pt>
                <c:pt idx="12">
                  <c:v>35929576.213350281</c:v>
                </c:pt>
                <c:pt idx="13">
                  <c:v>33133328.405889839</c:v>
                </c:pt>
                <c:pt idx="14">
                  <c:v>38448531.766683005</c:v>
                </c:pt>
                <c:pt idx="15">
                  <c:v>38442765.5967457</c:v>
                </c:pt>
                <c:pt idx="16">
                  <c:v>38088614.780137978</c:v>
                </c:pt>
                <c:pt idx="17">
                  <c:v>37762057.069359437</c:v>
                </c:pt>
                <c:pt idx="18">
                  <c:v>41091804.817425683</c:v>
                </c:pt>
                <c:pt idx="19">
                  <c:v>42812155.652976394</c:v>
                </c:pt>
                <c:pt idx="20">
                  <c:v>42892072.657277264</c:v>
                </c:pt>
                <c:pt idx="21">
                  <c:v>42855920.791806132</c:v>
                </c:pt>
                <c:pt idx="22">
                  <c:v>46795774.103257775</c:v>
                </c:pt>
                <c:pt idx="23">
                  <c:v>51703732.352270193</c:v>
                </c:pt>
                <c:pt idx="24">
                  <c:v>54905240.182524025</c:v>
                </c:pt>
                <c:pt idx="25">
                  <c:v>60321138.237404622</c:v>
                </c:pt>
                <c:pt idx="26">
                  <c:v>67196128.460674107</c:v>
                </c:pt>
                <c:pt idx="27">
                  <c:v>70605463.980066642</c:v>
                </c:pt>
                <c:pt idx="28">
                  <c:v>60420307.828741029</c:v>
                </c:pt>
                <c:pt idx="29">
                  <c:v>65177988.44722075</c:v>
                </c:pt>
                <c:pt idx="30">
                  <c:v>74454250.51475504</c:v>
                </c:pt>
                <c:pt idx="31">
                  <c:v>76472895.086098999</c:v>
                </c:pt>
                <c:pt idx="32">
                  <c:v>76754973.685975939</c:v>
                </c:pt>
                <c:pt idx="33">
                  <c:v>79252205.974390969</c:v>
                </c:pt>
                <c:pt idx="34">
                  <c:v>85757771.336075082</c:v>
                </c:pt>
                <c:pt idx="35">
                  <c:v>86039901.920477957</c:v>
                </c:pt>
                <c:pt idx="36">
                  <c:v>80677498.248273194</c:v>
                </c:pt>
                <c:pt idx="37">
                  <c:v>79080756.518978462</c:v>
                </c:pt>
                <c:pt idx="38">
                  <c:v>79097063.57133171</c:v>
                </c:pt>
                <c:pt idx="39">
                  <c:v>79483276.642931357</c:v>
                </c:pt>
                <c:pt idx="40">
                  <c:v>84824777.294517115</c:v>
                </c:pt>
                <c:pt idx="41">
                  <c:v>79050325.343935162</c:v>
                </c:pt>
                <c:pt idx="42">
                  <c:v>73289862.158559248</c:v>
                </c:pt>
                <c:pt idx="43">
                  <c:v>79754793.203547567</c:v>
                </c:pt>
                <c:pt idx="44">
                  <c:v>90406691.44121629</c:v>
                </c:pt>
                <c:pt idx="45">
                  <c:v>99401215.270285189</c:v>
                </c:pt>
                <c:pt idx="46">
                  <c:v>110233872.3182566</c:v>
                </c:pt>
                <c:pt idx="47">
                  <c:v>118360992.19702108</c:v>
                </c:pt>
                <c:pt idx="48">
                  <c:v>113463141.94621845</c:v>
                </c:pt>
                <c:pt idx="49">
                  <c:v>110873056.8849172</c:v>
                </c:pt>
                <c:pt idx="50">
                  <c:v>126408291.55474852</c:v>
                </c:pt>
                <c:pt idx="51">
                  <c:v>126905025.25695695</c:v>
                </c:pt>
                <c:pt idx="52">
                  <c:v>107435263.43621141</c:v>
                </c:pt>
                <c:pt idx="53">
                  <c:v>109747670.57926574</c:v>
                </c:pt>
                <c:pt idx="54">
                  <c:v>110662065.67280757</c:v>
                </c:pt>
                <c:pt idx="55">
                  <c:v>105720643.49268033</c:v>
                </c:pt>
                <c:pt idx="56">
                  <c:v>115338004.21320954</c:v>
                </c:pt>
                <c:pt idx="57">
                  <c:v>126695869.3077269</c:v>
                </c:pt>
                <c:pt idx="58">
                  <c:v>114473935.19606997</c:v>
                </c:pt>
                <c:pt idx="59">
                  <c:v>107576844.17965373</c:v>
                </c:pt>
                <c:pt idx="60">
                  <c:v>126748352.02286501</c:v>
                </c:pt>
                <c:pt idx="61">
                  <c:v>147767722.89719224</c:v>
                </c:pt>
                <c:pt idx="62">
                  <c:v>152631488.31812468</c:v>
                </c:pt>
                <c:pt idx="63">
                  <c:v>156020115.43707287</c:v>
                </c:pt>
                <c:pt idx="64">
                  <c:v>151514066.13943389</c:v>
                </c:pt>
                <c:pt idx="65">
                  <c:v>146887486.35430849</c:v>
                </c:pt>
                <c:pt idx="66">
                  <c:v>139746748.95807225</c:v>
                </c:pt>
                <c:pt idx="67">
                  <c:v>123207690.68314739</c:v>
                </c:pt>
                <c:pt idx="68">
                  <c:v>153583129.61868548</c:v>
                </c:pt>
                <c:pt idx="69">
                  <c:v>141381403.48003516</c:v>
                </c:pt>
                <c:pt idx="70">
                  <c:v>154264335.80212986</c:v>
                </c:pt>
                <c:pt idx="71">
                  <c:v>189015024.52940747</c:v>
                </c:pt>
                <c:pt idx="72">
                  <c:v>152433481.97747824</c:v>
                </c:pt>
                <c:pt idx="73">
                  <c:v>162607010.20158261</c:v>
                </c:pt>
                <c:pt idx="74">
                  <c:v>198213234.57493523</c:v>
                </c:pt>
                <c:pt idx="75">
                  <c:v>194454302.52951044</c:v>
                </c:pt>
                <c:pt idx="76">
                  <c:v>262884348.24530146</c:v>
                </c:pt>
                <c:pt idx="77">
                  <c:v>265780415.25753671</c:v>
                </c:pt>
                <c:pt idx="78">
                  <c:v>251947304.00625479</c:v>
                </c:pt>
                <c:pt idx="79">
                  <c:v>243179787.07475489</c:v>
                </c:pt>
                <c:pt idx="80">
                  <c:v>373419351.03921115</c:v>
                </c:pt>
                <c:pt idx="81">
                  <c:v>351699932.74392849</c:v>
                </c:pt>
                <c:pt idx="82">
                  <c:v>348554461.83150178</c:v>
                </c:pt>
                <c:pt idx="83">
                  <c:v>275179917.51668924</c:v>
                </c:pt>
                <c:pt idx="84">
                  <c:v>306702036.17628384</c:v>
                </c:pt>
                <c:pt idx="85">
                  <c:v>363073008.45876467</c:v>
                </c:pt>
                <c:pt idx="86">
                  <c:v>367254881.13452256</c:v>
                </c:pt>
                <c:pt idx="87">
                  <c:v>337833261.97980773</c:v>
                </c:pt>
                <c:pt idx="88">
                  <c:v>409198248.45649666</c:v>
                </c:pt>
                <c:pt idx="89">
                  <c:v>277209338.91482788</c:v>
                </c:pt>
                <c:pt idx="90">
                  <c:v>295240863.74290407</c:v>
                </c:pt>
                <c:pt idx="91">
                  <c:v>324945553.94361711</c:v>
                </c:pt>
                <c:pt idx="92">
                  <c:v>362477061.38883948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57-4F3B-86C0-DE48BCB93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663536"/>
        <c:axId val="189659616"/>
      </c:lineChart>
      <c:catAx>
        <c:axId val="18966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659616"/>
        <c:crosses val="autoZero"/>
        <c:auto val="1"/>
        <c:lblAlgn val="ctr"/>
        <c:lblOffset val="100"/>
        <c:tickMarkSkip val="6"/>
        <c:noMultiLvlLbl val="0"/>
      </c:catAx>
      <c:valAx>
        <c:axId val="1896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96635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222222222222199E-2"/>
                <c:y val="0.3055555555555560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AU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US Dollars,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Cotton manufactures, Plain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comparison'!$S$2</c:f>
              <c:strCache>
                <c:ptCount val="1"/>
                <c:pt idx="0">
                  <c:v>Morins, madapolões: blancos, reis/kg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comparison'!$T$3:$T$70</c:f>
              <c:numCache>
                <c:formatCode>0.00</c:formatCode>
                <c:ptCount val="68"/>
                <c:pt idx="0">
                  <c:v>9.4784862210401857E-3</c:v>
                </c:pt>
                <c:pt idx="1">
                  <c:v>1.0078661085563498E-2</c:v>
                </c:pt>
                <c:pt idx="2">
                  <c:v>8.8758841694565292E-3</c:v>
                </c:pt>
                <c:pt idx="24">
                  <c:v>8.2375872297232988E-3</c:v>
                </c:pt>
                <c:pt idx="25">
                  <c:v>1.0870809273217744E-2</c:v>
                </c:pt>
                <c:pt idx="32">
                  <c:v>9.2059672944529245E-3</c:v>
                </c:pt>
                <c:pt idx="33">
                  <c:v>6.9116737935594388E-3</c:v>
                </c:pt>
                <c:pt idx="34">
                  <c:v>8.1510232738466557E-3</c:v>
                </c:pt>
                <c:pt idx="35">
                  <c:v>8.0674607917435928E-3</c:v>
                </c:pt>
                <c:pt idx="36">
                  <c:v>7.8010909045520922E-3</c:v>
                </c:pt>
                <c:pt idx="38">
                  <c:v>7.6282712887888061E-3</c:v>
                </c:pt>
                <c:pt idx="39">
                  <c:v>6.8558704075952076E-3</c:v>
                </c:pt>
                <c:pt idx="40">
                  <c:v>6.8905688095646598E-3</c:v>
                </c:pt>
                <c:pt idx="41">
                  <c:v>8.6184452931429706E-3</c:v>
                </c:pt>
                <c:pt idx="42">
                  <c:v>9.6983577964710379E-3</c:v>
                </c:pt>
                <c:pt idx="44">
                  <c:v>8.6366822779349543E-3</c:v>
                </c:pt>
                <c:pt idx="45">
                  <c:v>3.0088858555812129E-3</c:v>
                </c:pt>
                <c:pt idx="55">
                  <c:v>7.0626495527162008E-3</c:v>
                </c:pt>
                <c:pt idx="56">
                  <c:v>7.1346504794789481E-3</c:v>
                </c:pt>
                <c:pt idx="57">
                  <c:v>7.3001911253322239E-3</c:v>
                </c:pt>
                <c:pt idx="58">
                  <c:v>7.9788258981135021E-3</c:v>
                </c:pt>
                <c:pt idx="59">
                  <c:v>7.8818830107234041E-3</c:v>
                </c:pt>
                <c:pt idx="60">
                  <c:v>8.4890867926111311E-3</c:v>
                </c:pt>
                <c:pt idx="61">
                  <c:v>9.240459396074957E-3</c:v>
                </c:pt>
                <c:pt idx="62">
                  <c:v>9.1383946943618729E-3</c:v>
                </c:pt>
                <c:pt idx="63">
                  <c:v>8.5468638172794802E-3</c:v>
                </c:pt>
                <c:pt idx="64">
                  <c:v>9.4450546067458094E-3</c:v>
                </c:pt>
                <c:pt idx="65">
                  <c:v>9.7171659704962266E-3</c:v>
                </c:pt>
                <c:pt idx="66">
                  <c:v>9.1627336922088052E-3</c:v>
                </c:pt>
                <c:pt idx="67">
                  <c:v>9.3813899717676546E-3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D-4ACD-8941-C9E29FC570AD}"/>
            </c:ext>
          </c:extLst>
        </c:ser>
        <c:ser>
          <c:idx val="1"/>
          <c:order val="1"/>
          <c:tx>
            <c:strRef>
              <c:f>'Price comparison'!$U$2</c:f>
              <c:strCache>
                <c:ptCount val="1"/>
                <c:pt idx="0">
                  <c:v>UK, £/yard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'Price comparison'!$U$3:$U$70</c:f>
              <c:numCache>
                <c:formatCode>0.00</c:formatCode>
                <c:ptCount val="68"/>
                <c:pt idx="0">
                  <c:v>1.281190563532727E-2</c:v>
                </c:pt>
                <c:pt idx="1">
                  <c:v>1.5600395476661718E-2</c:v>
                </c:pt>
                <c:pt idx="2">
                  <c:v>1.2983280679261822E-2</c:v>
                </c:pt>
                <c:pt idx="3">
                  <c:v>1.2364096530382625E-2</c:v>
                </c:pt>
                <c:pt idx="4">
                  <c:v>1.3056705643929392E-2</c:v>
                </c:pt>
                <c:pt idx="5">
                  <c:v>1.2572266158079361E-2</c:v>
                </c:pt>
                <c:pt idx="6">
                  <c:v>1.2990338183660664E-2</c:v>
                </c:pt>
                <c:pt idx="7">
                  <c:v>1.2781302170870012E-2</c:v>
                </c:pt>
                <c:pt idx="8">
                  <c:v>1.1830891083917973E-2</c:v>
                </c:pt>
                <c:pt idx="9">
                  <c:v>1.1783528738036061E-2</c:v>
                </c:pt>
                <c:pt idx="10">
                  <c:v>1.1878253429799883E-2</c:v>
                </c:pt>
                <c:pt idx="11">
                  <c:v>1.2877473349226058E-2</c:v>
                </c:pt>
                <c:pt idx="12">
                  <c:v>1.2871809887117822E-2</c:v>
                </c:pt>
                <c:pt idx="13">
                  <c:v>1.3149554854559226E-2</c:v>
                </c:pt>
                <c:pt idx="14">
                  <c:v>1.3266024788809869E-2</c:v>
                </c:pt>
                <c:pt idx="15">
                  <c:v>1.3549575694086113E-2</c:v>
                </c:pt>
                <c:pt idx="16">
                  <c:v>1.5999914078020924E-2</c:v>
                </c:pt>
                <c:pt idx="17">
                  <c:v>2.1867320719301409E-2</c:v>
                </c:pt>
                <c:pt idx="18">
                  <c:v>2.519223751860673E-2</c:v>
                </c:pt>
                <c:pt idx="19">
                  <c:v>2.3172805013600327E-2</c:v>
                </c:pt>
                <c:pt idx="20">
                  <c:v>2.2972041833589505E-2</c:v>
                </c:pt>
                <c:pt idx="21">
                  <c:v>1.8482309106930397E-2</c:v>
                </c:pt>
                <c:pt idx="22">
                  <c:v>1.6273383959035659E-2</c:v>
                </c:pt>
                <c:pt idx="23">
                  <c:v>1.653562972353197E-2</c:v>
                </c:pt>
                <c:pt idx="24">
                  <c:v>1.6124988079632536E-2</c:v>
                </c:pt>
                <c:pt idx="25">
                  <c:v>1.5676067177211386E-2</c:v>
                </c:pt>
                <c:pt idx="26">
                  <c:v>1.638697824044064E-2</c:v>
                </c:pt>
                <c:pt idx="27">
                  <c:v>1.6308045912058439E-2</c:v>
                </c:pt>
                <c:pt idx="28">
                  <c:v>1.5017759987363922E-2</c:v>
                </c:pt>
                <c:pt idx="29">
                  <c:v>1.4034984688329305E-2</c:v>
                </c:pt>
                <c:pt idx="30">
                  <c:v>1.3171834558042944E-2</c:v>
                </c:pt>
                <c:pt idx="31">
                  <c:v>1.2528087201286276E-2</c:v>
                </c:pt>
                <c:pt idx="32">
                  <c:v>1.1932016463177857E-2</c:v>
                </c:pt>
                <c:pt idx="33">
                  <c:v>1.093388783728937E-2</c:v>
                </c:pt>
                <c:pt idx="34">
                  <c:v>1.1869071745188281E-2</c:v>
                </c:pt>
                <c:pt idx="35">
                  <c:v>1.1441239567891408E-2</c:v>
                </c:pt>
                <c:pt idx="36">
                  <c:v>1.1393924759271866E-2</c:v>
                </c:pt>
                <c:pt idx="37">
                  <c:v>1.0539160461068512E-2</c:v>
                </c:pt>
                <c:pt idx="38">
                  <c:v>1.0409649278169489E-2</c:v>
                </c:pt>
                <c:pt idx="39">
                  <c:v>9.581251656124808E-3</c:v>
                </c:pt>
                <c:pt idx="40">
                  <c:v>9.2332922610159421E-3</c:v>
                </c:pt>
                <c:pt idx="41">
                  <c:v>9.7737541321712279E-3</c:v>
                </c:pt>
                <c:pt idx="42">
                  <c:v>9.8188479931882646E-3</c:v>
                </c:pt>
                <c:pt idx="43">
                  <c:v>1.0280337612599713E-2</c:v>
                </c:pt>
                <c:pt idx="44">
                  <c:v>1.0003763556453393E-2</c:v>
                </c:pt>
                <c:pt idx="45">
                  <c:v>9.1567215398915876E-3</c:v>
                </c:pt>
                <c:pt idx="46">
                  <c:v>8.0498343694901595E-3</c:v>
                </c:pt>
                <c:pt idx="47">
                  <c:v>9.209300111533307E-3</c:v>
                </c:pt>
                <c:pt idx="48">
                  <c:v>9.2964142283524943E-3</c:v>
                </c:pt>
                <c:pt idx="49">
                  <c:v>9.0738754918271158E-3</c:v>
                </c:pt>
                <c:pt idx="50">
                  <c:v>9.109454394043117E-3</c:v>
                </c:pt>
                <c:pt idx="51">
                  <c:v>8.1589810851682831E-3</c:v>
                </c:pt>
                <c:pt idx="52">
                  <c:v>7.6048040676066405E-3</c:v>
                </c:pt>
                <c:pt idx="53">
                  <c:v>8.8137708037450344E-3</c:v>
                </c:pt>
                <c:pt idx="54">
                  <c:v>9.8799105786307219E-3</c:v>
                </c:pt>
                <c:pt idx="55">
                  <c:v>1.1439178172663367E-2</c:v>
                </c:pt>
                <c:pt idx="56">
                  <c:v>1.04794916670399E-2</c:v>
                </c:pt>
                <c:pt idx="57">
                  <c:v>1.0636814191305344E-2</c:v>
                </c:pt>
                <c:pt idx="58">
                  <c:v>1.0825288040065419E-2</c:v>
                </c:pt>
                <c:pt idx="59">
                  <c:v>1.0770354456677594E-2</c:v>
                </c:pt>
                <c:pt idx="60">
                  <c:v>1.288600171281068E-2</c:v>
                </c:pt>
                <c:pt idx="61">
                  <c:v>1.1920657861445982E-2</c:v>
                </c:pt>
                <c:pt idx="62">
                  <c:v>1.3131708386481433E-2</c:v>
                </c:pt>
                <c:pt idx="63">
                  <c:v>1.4945544978395779E-2</c:v>
                </c:pt>
                <c:pt idx="64">
                  <c:v>1.3163654925880029E-2</c:v>
                </c:pt>
                <c:pt idx="65">
                  <c:v>1.356617982562365E-2</c:v>
                </c:pt>
                <c:pt idx="66">
                  <c:v>1.3386092203665691E-2</c:v>
                </c:pt>
                <c:pt idx="67">
                  <c:v>1.5580444510211254E-2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2D-4ACD-8941-C9E29FC570AD}"/>
            </c:ext>
          </c:extLst>
        </c:ser>
        <c:ser>
          <c:idx val="2"/>
          <c:order val="2"/>
          <c:tx>
            <c:strRef>
              <c:f>'Price comparison'!$Y$2</c:f>
              <c:strCache>
                <c:ptCount val="1"/>
                <c:pt idx="0">
                  <c:v>Panno de algodão, £/yard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comparison'!$Y$3:$Y$70</c:f>
              <c:numCache>
                <c:formatCode>General</c:formatCode>
                <c:ptCount val="68"/>
                <c:pt idx="0">
                  <c:v>1.0058164308887721E-2</c:v>
                </c:pt>
                <c:pt idx="1">
                  <c:v>1.0233752362757278E-2</c:v>
                </c:pt>
                <c:pt idx="2">
                  <c:v>8.8804757676074122E-3</c:v>
                </c:pt>
                <c:pt idx="24">
                  <c:v>5.2899424122690589E-3</c:v>
                </c:pt>
                <c:pt idx="25">
                  <c:v>6.373654595011405E-3</c:v>
                </c:pt>
                <c:pt idx="26">
                  <c:v>6.8521832533380124E-3</c:v>
                </c:pt>
                <c:pt idx="32">
                  <c:v>5.9929593166888166E-3</c:v>
                </c:pt>
                <c:pt idx="33">
                  <c:v>7.2720815828191121E-3</c:v>
                </c:pt>
                <c:pt idx="34">
                  <c:v>5.6991213542607715E-3</c:v>
                </c:pt>
                <c:pt idx="35">
                  <c:v>5.8105883591757094E-3</c:v>
                </c:pt>
                <c:pt idx="36">
                  <c:v>6.248067828983358E-3</c:v>
                </c:pt>
                <c:pt idx="38">
                  <c:v>5.5820073993645353E-3</c:v>
                </c:pt>
                <c:pt idx="39">
                  <c:v>5.0518726511739366E-3</c:v>
                </c:pt>
                <c:pt idx="40">
                  <c:v>5.2725044546149923E-3</c:v>
                </c:pt>
                <c:pt idx="41">
                  <c:v>6.615362619395773E-3</c:v>
                </c:pt>
                <c:pt idx="42">
                  <c:v>7.6838306886140894E-3</c:v>
                </c:pt>
                <c:pt idx="44">
                  <c:v>6.8041419893923932E-3</c:v>
                </c:pt>
                <c:pt idx="45">
                  <c:v>4.3127731763384428E-3</c:v>
                </c:pt>
                <c:pt idx="55">
                  <c:v>4.6072501851634534E-3</c:v>
                </c:pt>
                <c:pt idx="56">
                  <c:v>4.98313110045597E-3</c:v>
                </c:pt>
                <c:pt idx="57">
                  <c:v>5.3117025653621483E-3</c:v>
                </c:pt>
                <c:pt idx="58">
                  <c:v>5.7847565219005474E-3</c:v>
                </c:pt>
                <c:pt idx="59">
                  <c:v>5.9087393781609363E-3</c:v>
                </c:pt>
                <c:pt idx="60">
                  <c:v>5.6072391735030955E-3</c:v>
                </c:pt>
                <c:pt idx="61">
                  <c:v>6.772707497590175E-3</c:v>
                </c:pt>
                <c:pt idx="62">
                  <c:v>7.4334650548959708E-3</c:v>
                </c:pt>
                <c:pt idx="63">
                  <c:v>6.2875122763791516E-3</c:v>
                </c:pt>
                <c:pt idx="64">
                  <c:v>6.8919789111444099E-3</c:v>
                </c:pt>
                <c:pt idx="65">
                  <c:v>7.2384900713887987E-3</c:v>
                </c:pt>
                <c:pt idx="66">
                  <c:v>7.0098827691156941E-3</c:v>
                </c:pt>
                <c:pt idx="67">
                  <c:v>7.2947632929072385E-3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D-4ACD-8941-C9E29FC57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35616"/>
        <c:axId val="559636400"/>
      </c:lineChart>
      <c:catAx>
        <c:axId val="5596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636400"/>
        <c:crosses val="autoZero"/>
        <c:auto val="1"/>
        <c:lblAlgn val="ctr"/>
        <c:lblOffset val="100"/>
        <c:tickMarkSkip val="3"/>
        <c:noMultiLvlLbl val="0"/>
      </c:catAx>
      <c:valAx>
        <c:axId val="55963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56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AU" sz="1200">
                <a:latin typeface="Times New Roman" panose="02020603050405020304" pitchFamily="18" charset="0"/>
                <a:cs typeface="Times New Roman" panose="02020603050405020304" pitchFamily="18" charset="0"/>
              </a:rPr>
              <a:t>Codfish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'Price comparison'!$AD$2</c:f>
              <c:strCache>
                <c:ptCount val="1"/>
                <c:pt idx="0">
                  <c:v>BRA, £/cwt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comparison'!$AD$3:$AD$70</c:f>
              <c:numCache>
                <c:formatCode>General</c:formatCode>
                <c:ptCount val="68"/>
                <c:pt idx="0">
                  <c:v>0.57017171717171722</c:v>
                </c:pt>
                <c:pt idx="1">
                  <c:v>0.59272313615680794</c:v>
                </c:pt>
                <c:pt idx="2">
                  <c:v>0.52871593944570494</c:v>
                </c:pt>
                <c:pt idx="3">
                  <c:v>0.54785784593598119</c:v>
                </c:pt>
                <c:pt idx="24">
                  <c:v>0.48067836898559219</c:v>
                </c:pt>
                <c:pt idx="25">
                  <c:v>0.63801053271004804</c:v>
                </c:pt>
                <c:pt idx="26">
                  <c:v>0.53291988808472013</c:v>
                </c:pt>
                <c:pt idx="32">
                  <c:v>0.49369347418313353</c:v>
                </c:pt>
                <c:pt idx="33">
                  <c:v>0.62021023390628938</c:v>
                </c:pt>
                <c:pt idx="34">
                  <c:v>0.93658410442644091</c:v>
                </c:pt>
                <c:pt idx="35">
                  <c:v>0.92738773274917863</c:v>
                </c:pt>
                <c:pt idx="36">
                  <c:v>0.89566819464033853</c:v>
                </c:pt>
                <c:pt idx="38">
                  <c:v>0.87476749095212381</c:v>
                </c:pt>
                <c:pt idx="39">
                  <c:v>0.78714440656956941</c:v>
                </c:pt>
                <c:pt idx="40">
                  <c:v>0.79112824106517166</c:v>
                </c:pt>
                <c:pt idx="41">
                  <c:v>0.94752274639978684</c:v>
                </c:pt>
                <c:pt idx="42">
                  <c:v>1.3361993687532878</c:v>
                </c:pt>
                <c:pt idx="44">
                  <c:v>1.1742081778032822</c:v>
                </c:pt>
                <c:pt idx="45">
                  <c:v>0.62902010101055816</c:v>
                </c:pt>
                <c:pt idx="55">
                  <c:v>1.2809172964171991</c:v>
                </c:pt>
                <c:pt idx="56">
                  <c:v>2.2061638627835007</c:v>
                </c:pt>
                <c:pt idx="57">
                  <c:v>1.382334095052715</c:v>
                </c:pt>
                <c:pt idx="58">
                  <c:v>1.042142850189012</c:v>
                </c:pt>
                <c:pt idx="59">
                  <c:v>2.3239576177588805</c:v>
                </c:pt>
                <c:pt idx="60">
                  <c:v>1.5317410669717122</c:v>
                </c:pt>
                <c:pt idx="61">
                  <c:v>2.2537328104819165</c:v>
                </c:pt>
                <c:pt idx="62">
                  <c:v>2.1578198524215009</c:v>
                </c:pt>
                <c:pt idx="63">
                  <c:v>1.8932066173825837</c:v>
                </c:pt>
                <c:pt idx="64">
                  <c:v>1.6634245067886277</c:v>
                </c:pt>
                <c:pt idx="65">
                  <c:v>1.7515874151360971</c:v>
                </c:pt>
                <c:pt idx="66">
                  <c:v>1.7283140765876459</c:v>
                </c:pt>
                <c:pt idx="67">
                  <c:v>1.8842175347278782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4-45EB-BF74-963155CFE9F3}"/>
            </c:ext>
          </c:extLst>
        </c:ser>
        <c:ser>
          <c:idx val="1"/>
          <c:order val="1"/>
          <c:tx>
            <c:strRef>
              <c:f>'Price comparison'!$AE$2</c:f>
              <c:strCache>
                <c:ptCount val="1"/>
                <c:pt idx="0">
                  <c:v>RIO current/UK, £/cwt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'Price comparison'!$A$3:$A$70</c:f>
              <c:numCache>
                <c:formatCode>General</c:formatCode>
                <c:ptCount val="68"/>
                <c:pt idx="0">
                  <c:v>1846</c:v>
                </c:pt>
                <c:pt idx="1">
                  <c:v>1847</c:v>
                </c:pt>
                <c:pt idx="2">
                  <c:v>1848</c:v>
                </c:pt>
                <c:pt idx="3">
                  <c:v>1849</c:v>
                </c:pt>
                <c:pt idx="4">
                  <c:v>1850</c:v>
                </c:pt>
                <c:pt idx="5">
                  <c:v>1851</c:v>
                </c:pt>
                <c:pt idx="6">
                  <c:v>1852</c:v>
                </c:pt>
                <c:pt idx="7">
                  <c:v>1853</c:v>
                </c:pt>
                <c:pt idx="8">
                  <c:v>1854</c:v>
                </c:pt>
                <c:pt idx="9">
                  <c:v>1855</c:v>
                </c:pt>
                <c:pt idx="10">
                  <c:v>1856</c:v>
                </c:pt>
                <c:pt idx="11">
                  <c:v>1857</c:v>
                </c:pt>
                <c:pt idx="12">
                  <c:v>1858</c:v>
                </c:pt>
                <c:pt idx="13">
                  <c:v>1859</c:v>
                </c:pt>
                <c:pt idx="14">
                  <c:v>1860</c:v>
                </c:pt>
                <c:pt idx="15">
                  <c:v>1861</c:v>
                </c:pt>
                <c:pt idx="16">
                  <c:v>1862</c:v>
                </c:pt>
                <c:pt idx="17">
                  <c:v>1863</c:v>
                </c:pt>
                <c:pt idx="18">
                  <c:v>1864</c:v>
                </c:pt>
                <c:pt idx="19">
                  <c:v>1865</c:v>
                </c:pt>
                <c:pt idx="20">
                  <c:v>1866</c:v>
                </c:pt>
                <c:pt idx="21">
                  <c:v>1867</c:v>
                </c:pt>
                <c:pt idx="22">
                  <c:v>1868</c:v>
                </c:pt>
                <c:pt idx="23">
                  <c:v>1869</c:v>
                </c:pt>
                <c:pt idx="24">
                  <c:v>1870</c:v>
                </c:pt>
                <c:pt idx="25">
                  <c:v>1871</c:v>
                </c:pt>
                <c:pt idx="26">
                  <c:v>1872</c:v>
                </c:pt>
                <c:pt idx="27">
                  <c:v>1873</c:v>
                </c:pt>
                <c:pt idx="28">
                  <c:v>1874</c:v>
                </c:pt>
                <c:pt idx="29">
                  <c:v>1875</c:v>
                </c:pt>
                <c:pt idx="30">
                  <c:v>1876</c:v>
                </c:pt>
                <c:pt idx="31">
                  <c:v>1877</c:v>
                </c:pt>
                <c:pt idx="32">
                  <c:v>1878</c:v>
                </c:pt>
                <c:pt idx="33">
                  <c:v>1879</c:v>
                </c:pt>
                <c:pt idx="34">
                  <c:v>1880</c:v>
                </c:pt>
                <c:pt idx="35">
                  <c:v>1881</c:v>
                </c:pt>
                <c:pt idx="36">
                  <c:v>1882</c:v>
                </c:pt>
                <c:pt idx="37">
                  <c:v>1883</c:v>
                </c:pt>
                <c:pt idx="38">
                  <c:v>1884</c:v>
                </c:pt>
                <c:pt idx="39">
                  <c:v>1885</c:v>
                </c:pt>
                <c:pt idx="40">
                  <c:v>1886</c:v>
                </c:pt>
                <c:pt idx="41">
                  <c:v>1887</c:v>
                </c:pt>
                <c:pt idx="42">
                  <c:v>1888</c:v>
                </c:pt>
                <c:pt idx="43">
                  <c:v>1889</c:v>
                </c:pt>
                <c:pt idx="44">
                  <c:v>1890</c:v>
                </c:pt>
                <c:pt idx="45">
                  <c:v>1891</c:v>
                </c:pt>
                <c:pt idx="46">
                  <c:v>1892</c:v>
                </c:pt>
                <c:pt idx="47">
                  <c:v>1893</c:v>
                </c:pt>
                <c:pt idx="48">
                  <c:v>1894</c:v>
                </c:pt>
                <c:pt idx="49">
                  <c:v>1895</c:v>
                </c:pt>
                <c:pt idx="50">
                  <c:v>1896</c:v>
                </c:pt>
                <c:pt idx="51">
                  <c:v>1897</c:v>
                </c:pt>
                <c:pt idx="52">
                  <c:v>1898</c:v>
                </c:pt>
                <c:pt idx="53">
                  <c:v>1899</c:v>
                </c:pt>
                <c:pt idx="54">
                  <c:v>1900</c:v>
                </c:pt>
                <c:pt idx="55">
                  <c:v>1901</c:v>
                </c:pt>
                <c:pt idx="56">
                  <c:v>1902</c:v>
                </c:pt>
                <c:pt idx="57">
                  <c:v>1903</c:v>
                </c:pt>
                <c:pt idx="58">
                  <c:v>1904</c:v>
                </c:pt>
                <c:pt idx="59">
                  <c:v>1905</c:v>
                </c:pt>
                <c:pt idx="60">
                  <c:v>1906</c:v>
                </c:pt>
                <c:pt idx="61">
                  <c:v>1907</c:v>
                </c:pt>
                <c:pt idx="62">
                  <c:v>1908</c:v>
                </c:pt>
                <c:pt idx="63">
                  <c:v>1909</c:v>
                </c:pt>
                <c:pt idx="64">
                  <c:v>1910</c:v>
                </c:pt>
                <c:pt idx="65">
                  <c:v>1911</c:v>
                </c:pt>
                <c:pt idx="66">
                  <c:v>1912</c:v>
                </c:pt>
                <c:pt idx="67">
                  <c:v>1913</c:v>
                </c:pt>
              </c:numCache>
            </c:numRef>
          </c:cat>
          <c:val>
            <c:numRef>
              <c:f>'Price comparison'!$AE$3:$AE$70</c:f>
              <c:numCache>
                <c:formatCode>0.00</c:formatCode>
                <c:ptCount val="68"/>
                <c:pt idx="0">
                  <c:v>0.81962384870146299</c:v>
                </c:pt>
                <c:pt idx="1">
                  <c:v>0.71126950355879881</c:v>
                </c:pt>
                <c:pt idx="2">
                  <c:v>0.69125694511475433</c:v>
                </c:pt>
                <c:pt idx="3">
                  <c:v>0.54773503279447111</c:v>
                </c:pt>
                <c:pt idx="4">
                  <c:v>0.56367687470262662</c:v>
                </c:pt>
                <c:pt idx="5">
                  <c:v>0.63348896795762855</c:v>
                </c:pt>
                <c:pt idx="6">
                  <c:v>0.64613807047561467</c:v>
                </c:pt>
                <c:pt idx="7">
                  <c:v>0.76541474670559484</c:v>
                </c:pt>
                <c:pt idx="8">
                  <c:v>0.8420291319064177</c:v>
                </c:pt>
                <c:pt idx="9">
                  <c:v>0.71474640814651214</c:v>
                </c:pt>
                <c:pt idx="10">
                  <c:v>0.85331969135859098</c:v>
                </c:pt>
                <c:pt idx="11">
                  <c:v>0.86370884432006478</c:v>
                </c:pt>
                <c:pt idx="12">
                  <c:v>0.82289935325317887</c:v>
                </c:pt>
                <c:pt idx="13">
                  <c:v>0.71619959057829696</c:v>
                </c:pt>
                <c:pt idx="14">
                  <c:v>0.69208149533380425</c:v>
                </c:pt>
                <c:pt idx="15">
                  <c:v>0.6465959849671552</c:v>
                </c:pt>
                <c:pt idx="16">
                  <c:v>0.79966852652662834</c:v>
                </c:pt>
                <c:pt idx="17">
                  <c:v>0.83161305424301546</c:v>
                </c:pt>
                <c:pt idx="18">
                  <c:v>0.74671976186650135</c:v>
                </c:pt>
                <c:pt idx="19">
                  <c:v>0.98535535449084966</c:v>
                </c:pt>
                <c:pt idx="20">
                  <c:v>0.94641780123065855</c:v>
                </c:pt>
                <c:pt idx="21">
                  <c:v>0.83119149691896599</c:v>
                </c:pt>
                <c:pt idx="22">
                  <c:v>0.67751409184510769</c:v>
                </c:pt>
                <c:pt idx="23">
                  <c:v>0.83877562251600024</c:v>
                </c:pt>
                <c:pt idx="24">
                  <c:v>1.2983153110028536</c:v>
                </c:pt>
                <c:pt idx="25">
                  <c:v>1.1191081750446763</c:v>
                </c:pt>
                <c:pt idx="26">
                  <c:v>1.1377626273659114</c:v>
                </c:pt>
                <c:pt idx="27">
                  <c:v>1.3808008341945857</c:v>
                </c:pt>
                <c:pt idx="28">
                  <c:v>1.2279026174271803</c:v>
                </c:pt>
                <c:pt idx="29">
                  <c:v>1.2388024523888792</c:v>
                </c:pt>
                <c:pt idx="30">
                  <c:v>1.072912867828663</c:v>
                </c:pt>
                <c:pt idx="31">
                  <c:v>1.1958405063031474</c:v>
                </c:pt>
                <c:pt idx="32">
                  <c:v>0.97108715075384122</c:v>
                </c:pt>
                <c:pt idx="33">
                  <c:v>0.95017003039315207</c:v>
                </c:pt>
                <c:pt idx="34">
                  <c:v>0.84187409063742369</c:v>
                </c:pt>
                <c:pt idx="35">
                  <c:v>0.97375950175742176</c:v>
                </c:pt>
                <c:pt idx="36">
                  <c:v>1.0076291842057139</c:v>
                </c:pt>
                <c:pt idx="37">
                  <c:v>1.1411146516551482</c:v>
                </c:pt>
                <c:pt idx="38">
                  <c:v>1.0072026193507504</c:v>
                </c:pt>
                <c:pt idx="39">
                  <c:v>0.98393291547271455</c:v>
                </c:pt>
                <c:pt idx="40">
                  <c:v>0.96913446636014655</c:v>
                </c:pt>
                <c:pt idx="41">
                  <c:v>0.9261848108525621</c:v>
                </c:pt>
                <c:pt idx="42">
                  <c:v>1.1224102158079232</c:v>
                </c:pt>
                <c:pt idx="43">
                  <c:v>1.1752047919425328</c:v>
                </c:pt>
                <c:pt idx="44">
                  <c:v>1.0029622169083681</c:v>
                </c:pt>
                <c:pt idx="45">
                  <c:v>0.94657023088666292</c:v>
                </c:pt>
                <c:pt idx="46">
                  <c:v>1.1205668081182256</c:v>
                </c:pt>
                <c:pt idx="47">
                  <c:v>1.030724032776611</c:v>
                </c:pt>
                <c:pt idx="48">
                  <c:v>0.87601438194859527</c:v>
                </c:pt>
                <c:pt idx="49">
                  <c:v>0.85193084502228966</c:v>
                </c:pt>
                <c:pt idx="50">
                  <c:v>0.82487038649040878</c:v>
                </c:pt>
                <c:pt idx="51">
                  <c:v>0.75158766198746052</c:v>
                </c:pt>
                <c:pt idx="52">
                  <c:v>0.7759347245892747</c:v>
                </c:pt>
                <c:pt idx="53">
                  <c:v>0.86588779820967376</c:v>
                </c:pt>
                <c:pt idx="54">
                  <c:v>1.1060180247962617</c:v>
                </c:pt>
                <c:pt idx="55">
                  <c:v>1.1798278545393965</c:v>
                </c:pt>
                <c:pt idx="56">
                  <c:v>1.0260812805771651</c:v>
                </c:pt>
                <c:pt idx="57">
                  <c:v>1.1303539404900402</c:v>
                </c:pt>
                <c:pt idx="58">
                  <c:v>1.3966657732161232</c:v>
                </c:pt>
                <c:pt idx="59">
                  <c:v>1.6818653344265113</c:v>
                </c:pt>
                <c:pt idx="60">
                  <c:v>1.2678333325188362</c:v>
                </c:pt>
                <c:pt idx="61">
                  <c:v>1.4496570026163123</c:v>
                </c:pt>
                <c:pt idx="62">
                  <c:v>1.2672534003925762</c:v>
                </c:pt>
                <c:pt idx="63">
                  <c:v>1.1710063066918741</c:v>
                </c:pt>
                <c:pt idx="64">
                  <c:v>1.6323582181256457</c:v>
                </c:pt>
                <c:pt idx="65">
                  <c:v>1.3981067230226709</c:v>
                </c:pt>
                <c:pt idx="66">
                  <c:v>1.4705514941383706</c:v>
                </c:pt>
                <c:pt idx="67">
                  <c:v>1.3469564770584268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5EB-BF74-963155CFE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631696"/>
        <c:axId val="559632480"/>
      </c:lineChart>
      <c:catAx>
        <c:axId val="55963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2480"/>
        <c:crosses val="autoZero"/>
        <c:auto val="1"/>
        <c:lblAlgn val="ctr"/>
        <c:lblOffset val="100"/>
        <c:tickMarkSkip val="3"/>
        <c:noMultiLvlLbl val="0"/>
      </c:catAx>
      <c:valAx>
        <c:axId val="55963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9631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Dollars!$B$3</c:f>
              <c:strCache>
                <c:ptCount val="1"/>
                <c:pt idx="0">
                  <c:v>Current</c:v>
                </c:pt>
              </c:strCache>
            </c:strRef>
          </c:tx>
          <c:spPr>
            <a:ln w="38100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Dollars!$A$4:$A$96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Dollars!$B$4:$B$96</c:f>
              <c:numCache>
                <c:formatCode>0</c:formatCode>
                <c:ptCount val="93"/>
                <c:pt idx="0">
                  <c:v>19244822.723286197</c:v>
                </c:pt>
                <c:pt idx="1">
                  <c:v>21888195.813010186</c:v>
                </c:pt>
                <c:pt idx="2">
                  <c:v>25554646.553870283</c:v>
                </c:pt>
                <c:pt idx="3">
                  <c:v>23151114.96320729</c:v>
                </c:pt>
                <c:pt idx="4">
                  <c:v>24395220.108862225</c:v>
                </c:pt>
                <c:pt idx="5">
                  <c:v>18029160.813164443</c:v>
                </c:pt>
                <c:pt idx="6">
                  <c:v>22780474.315248564</c:v>
                </c:pt>
                <c:pt idx="7">
                  <c:v>25409773.452527791</c:v>
                </c:pt>
                <c:pt idx="8">
                  <c:v>21349143.167538192</c:v>
                </c:pt>
                <c:pt idx="9">
                  <c:v>22268081.369319148</c:v>
                </c:pt>
                <c:pt idx="10">
                  <c:v>23568060.971311565</c:v>
                </c:pt>
                <c:pt idx="11">
                  <c:v>29282125.853266146</c:v>
                </c:pt>
                <c:pt idx="12">
                  <c:v>38865820.939925671</c:v>
                </c:pt>
                <c:pt idx="13">
                  <c:v>35075759.844758041</c:v>
                </c:pt>
                <c:pt idx="14">
                  <c:v>43094279.02257511</c:v>
                </c:pt>
                <c:pt idx="15">
                  <c:v>44128363.509369887</c:v>
                </c:pt>
                <c:pt idx="16">
                  <c:v>36136154.233219363</c:v>
                </c:pt>
                <c:pt idx="17">
                  <c:v>36333426.556451969</c:v>
                </c:pt>
                <c:pt idx="18">
                  <c:v>40396898.827995695</c:v>
                </c:pt>
                <c:pt idx="19">
                  <c:v>43602859.272894815</c:v>
                </c:pt>
                <c:pt idx="20">
                  <c:v>41604383.330835767</c:v>
                </c:pt>
                <c:pt idx="21">
                  <c:v>36299815.603240773</c:v>
                </c:pt>
                <c:pt idx="22">
                  <c:v>37550532.067897774</c:v>
                </c:pt>
                <c:pt idx="23">
                  <c:v>40422031.086392611</c:v>
                </c:pt>
                <c:pt idx="24">
                  <c:v>43574047.871527523</c:v>
                </c:pt>
                <c:pt idx="25">
                  <c:v>44385554.983270861</c:v>
                </c:pt>
                <c:pt idx="26">
                  <c:v>46699765.574732006</c:v>
                </c:pt>
                <c:pt idx="27">
                  <c:v>40760823.841432042</c:v>
                </c:pt>
                <c:pt idx="28">
                  <c:v>41473164.372980788</c:v>
                </c:pt>
                <c:pt idx="29">
                  <c:v>52725280.497797877</c:v>
                </c:pt>
                <c:pt idx="30">
                  <c:v>49907272.122842431</c:v>
                </c:pt>
                <c:pt idx="31">
                  <c:v>52053145.228308663</c:v>
                </c:pt>
                <c:pt idx="32">
                  <c:v>58014362.154141948</c:v>
                </c:pt>
                <c:pt idx="33">
                  <c:v>60188857.34423431</c:v>
                </c:pt>
                <c:pt idx="34">
                  <c:v>65383662.20297841</c:v>
                </c:pt>
                <c:pt idx="35">
                  <c:v>69851078.206171826</c:v>
                </c:pt>
                <c:pt idx="36">
                  <c:v>73430638.018400118</c:v>
                </c:pt>
                <c:pt idx="37">
                  <c:v>59732118.11914964</c:v>
                </c:pt>
                <c:pt idx="38">
                  <c:v>68744936.683135957</c:v>
                </c:pt>
                <c:pt idx="39">
                  <c:v>75613165.698533356</c:v>
                </c:pt>
                <c:pt idx="40">
                  <c:v>74113334.409293994</c:v>
                </c:pt>
                <c:pt idx="41">
                  <c:v>81203290.304191485</c:v>
                </c:pt>
                <c:pt idx="42">
                  <c:v>80783002.905758068</c:v>
                </c:pt>
                <c:pt idx="43">
                  <c:v>94094966.421711698</c:v>
                </c:pt>
                <c:pt idx="44">
                  <c:v>95153219.640804246</c:v>
                </c:pt>
                <c:pt idx="45">
                  <c:v>96563110.946912125</c:v>
                </c:pt>
                <c:pt idx="46">
                  <c:v>94645239.296489045</c:v>
                </c:pt>
                <c:pt idx="47">
                  <c:v>99983735.404607639</c:v>
                </c:pt>
                <c:pt idx="48">
                  <c:v>97579685.655255109</c:v>
                </c:pt>
                <c:pt idx="49">
                  <c:v>96631850.220350429</c:v>
                </c:pt>
                <c:pt idx="50">
                  <c:v>111636989.41568923</c:v>
                </c:pt>
                <c:pt idx="51">
                  <c:v>134165422.2618888</c:v>
                </c:pt>
                <c:pt idx="52">
                  <c:v>122741048.02657917</c:v>
                </c:pt>
                <c:pt idx="53">
                  <c:v>129184326.18728504</c:v>
                </c:pt>
                <c:pt idx="54">
                  <c:v>127343949.73754287</c:v>
                </c:pt>
                <c:pt idx="55">
                  <c:v>114313724.00522608</c:v>
                </c:pt>
                <c:pt idx="56">
                  <c:v>133210068.25645557</c:v>
                </c:pt>
                <c:pt idx="57">
                  <c:v>138132262.61656502</c:v>
                </c:pt>
                <c:pt idx="58">
                  <c:v>111144192.67642106</c:v>
                </c:pt>
                <c:pt idx="59">
                  <c:v>115529813.79447903</c:v>
                </c:pt>
                <c:pt idx="60">
                  <c:v>119597055.38715914</c:v>
                </c:pt>
                <c:pt idx="61">
                  <c:v>129785119.02807565</c:v>
                </c:pt>
                <c:pt idx="62">
                  <c:v>133055081.99394238</c:v>
                </c:pt>
                <c:pt idx="63">
                  <c:v>122748131.6755456</c:v>
                </c:pt>
                <c:pt idx="64">
                  <c:v>113884179.77568619</c:v>
                </c:pt>
                <c:pt idx="65">
                  <c:v>115887972.23992456</c:v>
                </c:pt>
                <c:pt idx="66">
                  <c:v>132846022.23419331</c:v>
                </c:pt>
                <c:pt idx="67">
                  <c:v>108046149.97230811</c:v>
                </c:pt>
                <c:pt idx="68">
                  <c:v>161467663.48287573</c:v>
                </c:pt>
                <c:pt idx="69">
                  <c:v>145382015.07459083</c:v>
                </c:pt>
                <c:pt idx="70">
                  <c:v>159584757.68832287</c:v>
                </c:pt>
                <c:pt idx="71">
                  <c:v>188278774.73808926</c:v>
                </c:pt>
                <c:pt idx="72">
                  <c:v>157773686.45615235</c:v>
                </c:pt>
                <c:pt idx="73">
                  <c:v>161964924.02851507</c:v>
                </c:pt>
                <c:pt idx="74">
                  <c:v>199993908.58326548</c:v>
                </c:pt>
                <c:pt idx="75">
                  <c:v>209978936.78665078</c:v>
                </c:pt>
                <c:pt idx="76">
                  <c:v>226645721.03076661</c:v>
                </c:pt>
                <c:pt idx="77">
                  <c:v>160121057.82995453</c:v>
                </c:pt>
                <c:pt idx="78">
                  <c:v>140644236.59683442</c:v>
                </c:pt>
                <c:pt idx="79">
                  <c:v>157615458.52147034</c:v>
                </c:pt>
                <c:pt idx="80">
                  <c:v>238037077.28243282</c:v>
                </c:pt>
                <c:pt idx="81">
                  <c:v>208858780.79171082</c:v>
                </c:pt>
                <c:pt idx="82">
                  <c:v>229509766.33774015</c:v>
                </c:pt>
                <c:pt idx="83">
                  <c:v>202430268.80883858</c:v>
                </c:pt>
                <c:pt idx="84">
                  <c:v>238210721.85323519</c:v>
                </c:pt>
                <c:pt idx="85">
                  <c:v>256435010.87170479</c:v>
                </c:pt>
                <c:pt idx="86">
                  <c:v>265738070.84755108</c:v>
                </c:pt>
                <c:pt idx="87">
                  <c:v>234493746.5021573</c:v>
                </c:pt>
                <c:pt idx="88">
                  <c:v>313186941.05595118</c:v>
                </c:pt>
                <c:pt idx="89">
                  <c:v>248945835.21508411</c:v>
                </c:pt>
                <c:pt idx="90">
                  <c:v>294530968.26550025</c:v>
                </c:pt>
                <c:pt idx="91">
                  <c:v>362134799.19635904</c:v>
                </c:pt>
                <c:pt idx="92">
                  <c:v>362477061.38883948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A-4DFB-BF8B-44DE25B148CA}"/>
            </c:ext>
          </c:extLst>
        </c:ser>
        <c:ser>
          <c:idx val="1"/>
          <c:order val="1"/>
          <c:tx>
            <c:strRef>
              <c:f>Dollars!$C$3</c:f>
              <c:strCache>
                <c:ptCount val="1"/>
                <c:pt idx="0">
                  <c:v>Constant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Dollars!$A$4:$A$96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Dollars!$C$4:$C$96</c:f>
              <c:numCache>
                <c:formatCode>0</c:formatCode>
                <c:ptCount val="93"/>
                <c:pt idx="0">
                  <c:v>12399117.859924175</c:v>
                </c:pt>
                <c:pt idx="1">
                  <c:v>14737331.388037156</c:v>
                </c:pt>
                <c:pt idx="2">
                  <c:v>16107806.048074339</c:v>
                </c:pt>
                <c:pt idx="3">
                  <c:v>18292325.574115947</c:v>
                </c:pt>
                <c:pt idx="4">
                  <c:v>17446860.516810011</c:v>
                </c:pt>
                <c:pt idx="5">
                  <c:v>16094353.558400324</c:v>
                </c:pt>
                <c:pt idx="6">
                  <c:v>20031388.734109689</c:v>
                </c:pt>
                <c:pt idx="7">
                  <c:v>22754525.691510011</c:v>
                </c:pt>
                <c:pt idx="8">
                  <c:v>21598401.65733977</c:v>
                </c:pt>
                <c:pt idx="9">
                  <c:v>23180967.608088277</c:v>
                </c:pt>
                <c:pt idx="10">
                  <c:v>25363394.606007814</c:v>
                </c:pt>
                <c:pt idx="11">
                  <c:v>28379418.406138584</c:v>
                </c:pt>
                <c:pt idx="12">
                  <c:v>35929576.213350281</c:v>
                </c:pt>
                <c:pt idx="13">
                  <c:v>33133328.405889839</c:v>
                </c:pt>
                <c:pt idx="14">
                  <c:v>38448531.766683005</c:v>
                </c:pt>
                <c:pt idx="15">
                  <c:v>38442765.5967457</c:v>
                </c:pt>
                <c:pt idx="16">
                  <c:v>38088614.780137978</c:v>
                </c:pt>
                <c:pt idx="17">
                  <c:v>37762057.069359437</c:v>
                </c:pt>
                <c:pt idx="18">
                  <c:v>41091804.817425683</c:v>
                </c:pt>
                <c:pt idx="19">
                  <c:v>42812155.652976394</c:v>
                </c:pt>
                <c:pt idx="20">
                  <c:v>42892072.657277264</c:v>
                </c:pt>
                <c:pt idx="21">
                  <c:v>42855920.791806132</c:v>
                </c:pt>
                <c:pt idx="22">
                  <c:v>46795774.103257775</c:v>
                </c:pt>
                <c:pt idx="23">
                  <c:v>51703732.352270193</c:v>
                </c:pt>
                <c:pt idx="24">
                  <c:v>54905240.182524025</c:v>
                </c:pt>
                <c:pt idx="25">
                  <c:v>60321138.237404622</c:v>
                </c:pt>
                <c:pt idx="26">
                  <c:v>67196128.460674107</c:v>
                </c:pt>
                <c:pt idx="27">
                  <c:v>70605463.980066642</c:v>
                </c:pt>
                <c:pt idx="28">
                  <c:v>60420307.828741029</c:v>
                </c:pt>
                <c:pt idx="29">
                  <c:v>65177988.44722075</c:v>
                </c:pt>
                <c:pt idx="30">
                  <c:v>74454250.51475504</c:v>
                </c:pt>
                <c:pt idx="31">
                  <c:v>76472895.086098999</c:v>
                </c:pt>
                <c:pt idx="32">
                  <c:v>76754973.685975939</c:v>
                </c:pt>
                <c:pt idx="33">
                  <c:v>79252205.974390969</c:v>
                </c:pt>
                <c:pt idx="34">
                  <c:v>85757771.336075082</c:v>
                </c:pt>
                <c:pt idx="35">
                  <c:v>86039901.920477957</c:v>
                </c:pt>
                <c:pt idx="36">
                  <c:v>80677498.248273194</c:v>
                </c:pt>
                <c:pt idx="37">
                  <c:v>79080756.518978462</c:v>
                </c:pt>
                <c:pt idx="38">
                  <c:v>79097063.57133171</c:v>
                </c:pt>
                <c:pt idx="39">
                  <c:v>79483276.642931357</c:v>
                </c:pt>
                <c:pt idx="40">
                  <c:v>84824777.294517115</c:v>
                </c:pt>
                <c:pt idx="41">
                  <c:v>79050325.343935162</c:v>
                </c:pt>
                <c:pt idx="42">
                  <c:v>73289862.158559248</c:v>
                </c:pt>
                <c:pt idx="43">
                  <c:v>79754793.203547567</c:v>
                </c:pt>
                <c:pt idx="44">
                  <c:v>90406691.44121629</c:v>
                </c:pt>
                <c:pt idx="45">
                  <c:v>99401215.270285189</c:v>
                </c:pt>
                <c:pt idx="46">
                  <c:v>110233872.3182566</c:v>
                </c:pt>
                <c:pt idx="47">
                  <c:v>118360992.19702108</c:v>
                </c:pt>
                <c:pt idx="48">
                  <c:v>113463141.94621845</c:v>
                </c:pt>
                <c:pt idx="49">
                  <c:v>110873056.8849172</c:v>
                </c:pt>
                <c:pt idx="50">
                  <c:v>126408291.55474852</c:v>
                </c:pt>
                <c:pt idx="51">
                  <c:v>126905025.25695695</c:v>
                </c:pt>
                <c:pt idx="52">
                  <c:v>107435263.43621141</c:v>
                </c:pt>
                <c:pt idx="53">
                  <c:v>109747670.57926574</c:v>
                </c:pt>
                <c:pt idx="54">
                  <c:v>110662065.67280757</c:v>
                </c:pt>
                <c:pt idx="55">
                  <c:v>105720643.49268033</c:v>
                </c:pt>
                <c:pt idx="56">
                  <c:v>115338004.21320954</c:v>
                </c:pt>
                <c:pt idx="57">
                  <c:v>126695869.3077269</c:v>
                </c:pt>
                <c:pt idx="58">
                  <c:v>114473935.19606997</c:v>
                </c:pt>
                <c:pt idx="59">
                  <c:v>107576844.17965373</c:v>
                </c:pt>
                <c:pt idx="60">
                  <c:v>126748352.02286501</c:v>
                </c:pt>
                <c:pt idx="61">
                  <c:v>147767722.89719224</c:v>
                </c:pt>
                <c:pt idx="62">
                  <c:v>152631488.31812468</c:v>
                </c:pt>
                <c:pt idx="63">
                  <c:v>156020115.43707287</c:v>
                </c:pt>
                <c:pt idx="64">
                  <c:v>151514066.13943389</c:v>
                </c:pt>
                <c:pt idx="65">
                  <c:v>146887486.35430849</c:v>
                </c:pt>
                <c:pt idx="66">
                  <c:v>139746748.95807225</c:v>
                </c:pt>
                <c:pt idx="67">
                  <c:v>123207690.68314739</c:v>
                </c:pt>
                <c:pt idx="68">
                  <c:v>153583129.61868548</c:v>
                </c:pt>
                <c:pt idx="69">
                  <c:v>141381403.48003516</c:v>
                </c:pt>
                <c:pt idx="70">
                  <c:v>154264335.80212986</c:v>
                </c:pt>
                <c:pt idx="71">
                  <c:v>189015024.52940747</c:v>
                </c:pt>
                <c:pt idx="72">
                  <c:v>152433481.97747824</c:v>
                </c:pt>
                <c:pt idx="73">
                  <c:v>162607010.20158261</c:v>
                </c:pt>
                <c:pt idx="74">
                  <c:v>198213234.57493523</c:v>
                </c:pt>
                <c:pt idx="75">
                  <c:v>194454302.52951044</c:v>
                </c:pt>
                <c:pt idx="76">
                  <c:v>262884348.24530146</c:v>
                </c:pt>
                <c:pt idx="77">
                  <c:v>265780415.25753671</c:v>
                </c:pt>
                <c:pt idx="78">
                  <c:v>251947304.00625479</c:v>
                </c:pt>
                <c:pt idx="79">
                  <c:v>243179787.07475489</c:v>
                </c:pt>
                <c:pt idx="80">
                  <c:v>373419351.03921115</c:v>
                </c:pt>
                <c:pt idx="81">
                  <c:v>351699932.74392849</c:v>
                </c:pt>
                <c:pt idx="82">
                  <c:v>348554461.83150178</c:v>
                </c:pt>
                <c:pt idx="83">
                  <c:v>275179917.51668924</c:v>
                </c:pt>
                <c:pt idx="84">
                  <c:v>306702036.17628384</c:v>
                </c:pt>
                <c:pt idx="85">
                  <c:v>363073008.45876467</c:v>
                </c:pt>
                <c:pt idx="86">
                  <c:v>367254881.13452256</c:v>
                </c:pt>
                <c:pt idx="87">
                  <c:v>337833261.97980773</c:v>
                </c:pt>
                <c:pt idx="88">
                  <c:v>409198248.45649666</c:v>
                </c:pt>
                <c:pt idx="89">
                  <c:v>277209338.91482788</c:v>
                </c:pt>
                <c:pt idx="90">
                  <c:v>295240863.74290407</c:v>
                </c:pt>
                <c:pt idx="91">
                  <c:v>324945553.94361711</c:v>
                </c:pt>
                <c:pt idx="92">
                  <c:v>362477061.38883948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A-4DFB-BF8B-44DE25B1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493304"/>
        <c:axId val="557493696"/>
      </c:lineChart>
      <c:catAx>
        <c:axId val="55749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493696"/>
        <c:crosses val="autoZero"/>
        <c:auto val="1"/>
        <c:lblAlgn val="ctr"/>
        <c:lblOffset val="100"/>
        <c:noMultiLvlLbl val="0"/>
      </c:catAx>
      <c:valAx>
        <c:axId val="55749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4933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801E-2"/>
                <c:y val="0.231481481481482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AU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US Dollars,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'Alternative series'!$B$3:$C$3</c:f>
              <c:strCache>
                <c:ptCount val="1"/>
                <c:pt idx="0">
                  <c:v>New freight series, high taxes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'Alternative series'!$A$6:$A$98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'Alternative series'!$C$6:$C$98</c:f>
              <c:numCache>
                <c:formatCode>0</c:formatCode>
                <c:ptCount val="93"/>
                <c:pt idx="0">
                  <c:v>16717708.049340755</c:v>
                </c:pt>
                <c:pt idx="1">
                  <c:v>19073485.920472041</c:v>
                </c:pt>
                <c:pt idx="2">
                  <c:v>21550822.018885285</c:v>
                </c:pt>
                <c:pt idx="3">
                  <c:v>19978669.385665614</c:v>
                </c:pt>
                <c:pt idx="4">
                  <c:v>21154656.651138127</c:v>
                </c:pt>
                <c:pt idx="5">
                  <c:v>15808795.614674237</c:v>
                </c:pt>
                <c:pt idx="6">
                  <c:v>19587326.075929638</c:v>
                </c:pt>
                <c:pt idx="7">
                  <c:v>21598930.08720883</c:v>
                </c:pt>
                <c:pt idx="8">
                  <c:v>18384210.944614023</c:v>
                </c:pt>
                <c:pt idx="9">
                  <c:v>18567555.129429936</c:v>
                </c:pt>
                <c:pt idx="10">
                  <c:v>20064259.43526464</c:v>
                </c:pt>
                <c:pt idx="11">
                  <c:v>24746450.792204615</c:v>
                </c:pt>
                <c:pt idx="12">
                  <c:v>33200496.897800423</c:v>
                </c:pt>
                <c:pt idx="13">
                  <c:v>29990410.900265992</c:v>
                </c:pt>
                <c:pt idx="14">
                  <c:v>36790339.478460342</c:v>
                </c:pt>
                <c:pt idx="15">
                  <c:v>37158225.999673523</c:v>
                </c:pt>
                <c:pt idx="16">
                  <c:v>29522844.023748603</c:v>
                </c:pt>
                <c:pt idx="17">
                  <c:v>29413934.616478153</c:v>
                </c:pt>
                <c:pt idx="18">
                  <c:v>33523289.769394573</c:v>
                </c:pt>
                <c:pt idx="19">
                  <c:v>35851650.489991859</c:v>
                </c:pt>
                <c:pt idx="20">
                  <c:v>34409135.699591793</c:v>
                </c:pt>
                <c:pt idx="21">
                  <c:v>30319879.423753969</c:v>
                </c:pt>
                <c:pt idx="22">
                  <c:v>31728640.450111501</c:v>
                </c:pt>
                <c:pt idx="23">
                  <c:v>33603830.856079869</c:v>
                </c:pt>
                <c:pt idx="24">
                  <c:v>36564627.602178633</c:v>
                </c:pt>
                <c:pt idx="25">
                  <c:v>38798193.210421301</c:v>
                </c:pt>
                <c:pt idx="26">
                  <c:v>39611500.804022744</c:v>
                </c:pt>
                <c:pt idx="27">
                  <c:v>35955003.873214357</c:v>
                </c:pt>
                <c:pt idx="28">
                  <c:v>35857809.801317096</c:v>
                </c:pt>
                <c:pt idx="29">
                  <c:v>47012987.123092398</c:v>
                </c:pt>
                <c:pt idx="30">
                  <c:v>42804553.778239556</c:v>
                </c:pt>
                <c:pt idx="31">
                  <c:v>45036705.67205362</c:v>
                </c:pt>
                <c:pt idx="32">
                  <c:v>50487619.479056455</c:v>
                </c:pt>
                <c:pt idx="33">
                  <c:v>50579415.165230967</c:v>
                </c:pt>
                <c:pt idx="34">
                  <c:v>57549255.386380978</c:v>
                </c:pt>
                <c:pt idx="35">
                  <c:v>60436999.333815679</c:v>
                </c:pt>
                <c:pt idx="36">
                  <c:v>64169760.877145991</c:v>
                </c:pt>
                <c:pt idx="37">
                  <c:v>51645572.224548683</c:v>
                </c:pt>
                <c:pt idx="38">
                  <c:v>58675358.628732637</c:v>
                </c:pt>
                <c:pt idx="39">
                  <c:v>65851085.737727486</c:v>
                </c:pt>
                <c:pt idx="40">
                  <c:v>64456966.641083367</c:v>
                </c:pt>
                <c:pt idx="41">
                  <c:v>66658900.108480252</c:v>
                </c:pt>
                <c:pt idx="42">
                  <c:v>66717543.888572544</c:v>
                </c:pt>
                <c:pt idx="43">
                  <c:v>77597944.117851704</c:v>
                </c:pt>
                <c:pt idx="44">
                  <c:v>78552107.78182444</c:v>
                </c:pt>
                <c:pt idx="45">
                  <c:v>79666611.590142339</c:v>
                </c:pt>
                <c:pt idx="46">
                  <c:v>78846661.480974481</c:v>
                </c:pt>
                <c:pt idx="47">
                  <c:v>82517823.137524322</c:v>
                </c:pt>
                <c:pt idx="48">
                  <c:v>79644724.699248686</c:v>
                </c:pt>
                <c:pt idx="49">
                  <c:v>78945834.903634861</c:v>
                </c:pt>
                <c:pt idx="50">
                  <c:v>91181723.513212278</c:v>
                </c:pt>
                <c:pt idx="51">
                  <c:v>108992099.01156175</c:v>
                </c:pt>
                <c:pt idx="52">
                  <c:v>100352152.72081015</c:v>
                </c:pt>
                <c:pt idx="53">
                  <c:v>105604821.9356751</c:v>
                </c:pt>
                <c:pt idx="54">
                  <c:v>104024465.06824955</c:v>
                </c:pt>
                <c:pt idx="55">
                  <c:v>93427716.559210017</c:v>
                </c:pt>
                <c:pt idx="56">
                  <c:v>109122893.07549763</c:v>
                </c:pt>
                <c:pt idx="57">
                  <c:v>113486983.20633465</c:v>
                </c:pt>
                <c:pt idx="58">
                  <c:v>90476477.692670211</c:v>
                </c:pt>
                <c:pt idx="59">
                  <c:v>94532167.454647154</c:v>
                </c:pt>
                <c:pt idx="60">
                  <c:v>97065675.658672124</c:v>
                </c:pt>
                <c:pt idx="61">
                  <c:v>104685505.97623949</c:v>
                </c:pt>
                <c:pt idx="62">
                  <c:v>108047252.25011617</c:v>
                </c:pt>
                <c:pt idx="63">
                  <c:v>100228062.93152514</c:v>
                </c:pt>
                <c:pt idx="64">
                  <c:v>93904238.181594476</c:v>
                </c:pt>
                <c:pt idx="65">
                  <c:v>95437491.619881704</c:v>
                </c:pt>
                <c:pt idx="66">
                  <c:v>105529721.86601146</c:v>
                </c:pt>
                <c:pt idx="67">
                  <c:v>83243152.946141839</c:v>
                </c:pt>
                <c:pt idx="68">
                  <c:v>131358707.80053417</c:v>
                </c:pt>
                <c:pt idx="69">
                  <c:v>119670119.74698858</c:v>
                </c:pt>
                <c:pt idx="70">
                  <c:v>133311838.93490714</c:v>
                </c:pt>
                <c:pt idx="71">
                  <c:v>209174891.74814346</c:v>
                </c:pt>
                <c:pt idx="72">
                  <c:v>175504247.82757473</c:v>
                </c:pt>
                <c:pt idx="73">
                  <c:v>180571849.02265063</c:v>
                </c:pt>
                <c:pt idx="74">
                  <c:v>223268133.2755686</c:v>
                </c:pt>
                <c:pt idx="75">
                  <c:v>233828695.86919621</c:v>
                </c:pt>
                <c:pt idx="76">
                  <c:v>253175624.33629856</c:v>
                </c:pt>
                <c:pt idx="77">
                  <c:v>176895742.58734456</c:v>
                </c:pt>
                <c:pt idx="78">
                  <c:v>156815419.24082032</c:v>
                </c:pt>
                <c:pt idx="79">
                  <c:v>175876086.66334772</c:v>
                </c:pt>
                <c:pt idx="80">
                  <c:v>237193499.60595819</c:v>
                </c:pt>
                <c:pt idx="81">
                  <c:v>207772072.27562913</c:v>
                </c:pt>
                <c:pt idx="82">
                  <c:v>228129392.70112908</c:v>
                </c:pt>
                <c:pt idx="83">
                  <c:v>200522222.74435383</c:v>
                </c:pt>
                <c:pt idx="84">
                  <c:v>236391232.41803852</c:v>
                </c:pt>
                <c:pt idx="85">
                  <c:v>254305329.01052734</c:v>
                </c:pt>
                <c:pt idx="86">
                  <c:v>263260505.71473637</c:v>
                </c:pt>
                <c:pt idx="87">
                  <c:v>232010977.31156504</c:v>
                </c:pt>
                <c:pt idx="88">
                  <c:v>310239583.99077237</c:v>
                </c:pt>
                <c:pt idx="89">
                  <c:v>245362805.17394856</c:v>
                </c:pt>
                <c:pt idx="90">
                  <c:v>292183896.57022738</c:v>
                </c:pt>
                <c:pt idx="91">
                  <c:v>359225340.67794585</c:v>
                </c:pt>
                <c:pt idx="92">
                  <c:v>357562139.10579473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92-4A40-8EB8-AB375974DD88}"/>
            </c:ext>
          </c:extLst>
        </c:ser>
        <c:ser>
          <c:idx val="1"/>
          <c:order val="1"/>
          <c:tx>
            <c:strRef>
              <c:f>Dollars!$B$2</c:f>
              <c:strCache>
                <c:ptCount val="1"/>
                <c:pt idx="0">
                  <c:v>Corrected series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'Alternative series'!$A$6:$A$98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Dollars!$B$4:$B$96</c:f>
              <c:numCache>
                <c:formatCode>0</c:formatCode>
                <c:ptCount val="93"/>
                <c:pt idx="0">
                  <c:v>19244822.723286197</c:v>
                </c:pt>
                <c:pt idx="1">
                  <c:v>21888195.813010186</c:v>
                </c:pt>
                <c:pt idx="2">
                  <c:v>25554646.553870283</c:v>
                </c:pt>
                <c:pt idx="3">
                  <c:v>23151114.96320729</c:v>
                </c:pt>
                <c:pt idx="4">
                  <c:v>24395220.108862225</c:v>
                </c:pt>
                <c:pt idx="5">
                  <c:v>18029160.813164443</c:v>
                </c:pt>
                <c:pt idx="6">
                  <c:v>22780474.315248564</c:v>
                </c:pt>
                <c:pt idx="7">
                  <c:v>25409773.452527791</c:v>
                </c:pt>
                <c:pt idx="8">
                  <c:v>21349143.167538192</c:v>
                </c:pt>
                <c:pt idx="9">
                  <c:v>22268081.369319148</c:v>
                </c:pt>
                <c:pt idx="10">
                  <c:v>23568060.971311565</c:v>
                </c:pt>
                <c:pt idx="11">
                  <c:v>29282125.853266146</c:v>
                </c:pt>
                <c:pt idx="12">
                  <c:v>38865820.939925671</c:v>
                </c:pt>
                <c:pt idx="13">
                  <c:v>35075759.844758041</c:v>
                </c:pt>
                <c:pt idx="14">
                  <c:v>43094279.02257511</c:v>
                </c:pt>
                <c:pt idx="15">
                  <c:v>44128363.509369887</c:v>
                </c:pt>
                <c:pt idx="16">
                  <c:v>36136154.233219363</c:v>
                </c:pt>
                <c:pt idx="17">
                  <c:v>36333426.556451969</c:v>
                </c:pt>
                <c:pt idx="18">
                  <c:v>40396898.827995695</c:v>
                </c:pt>
                <c:pt idx="19">
                  <c:v>43602859.272894815</c:v>
                </c:pt>
                <c:pt idx="20">
                  <c:v>41604383.330835767</c:v>
                </c:pt>
                <c:pt idx="21">
                  <c:v>36299815.603240773</c:v>
                </c:pt>
                <c:pt idx="22">
                  <c:v>37550532.067897774</c:v>
                </c:pt>
                <c:pt idx="23">
                  <c:v>40422031.086392611</c:v>
                </c:pt>
                <c:pt idx="24">
                  <c:v>43574047.871527523</c:v>
                </c:pt>
                <c:pt idx="25">
                  <c:v>44385554.983270861</c:v>
                </c:pt>
                <c:pt idx="26">
                  <c:v>46699765.574732006</c:v>
                </c:pt>
                <c:pt idx="27">
                  <c:v>40760823.841432042</c:v>
                </c:pt>
                <c:pt idx="28">
                  <c:v>41473164.372980788</c:v>
                </c:pt>
                <c:pt idx="29">
                  <c:v>52725280.497797877</c:v>
                </c:pt>
                <c:pt idx="30">
                  <c:v>49907272.122842431</c:v>
                </c:pt>
                <c:pt idx="31">
                  <c:v>52053145.228308663</c:v>
                </c:pt>
                <c:pt idx="32">
                  <c:v>58014362.154141948</c:v>
                </c:pt>
                <c:pt idx="33">
                  <c:v>60188857.34423431</c:v>
                </c:pt>
                <c:pt idx="34">
                  <c:v>65383662.20297841</c:v>
                </c:pt>
                <c:pt idx="35">
                  <c:v>69851078.206171826</c:v>
                </c:pt>
                <c:pt idx="36">
                  <c:v>73430638.018400118</c:v>
                </c:pt>
                <c:pt idx="37">
                  <c:v>59732118.11914964</c:v>
                </c:pt>
                <c:pt idx="38">
                  <c:v>68744936.683135957</c:v>
                </c:pt>
                <c:pt idx="39">
                  <c:v>75613165.698533356</c:v>
                </c:pt>
                <c:pt idx="40">
                  <c:v>74113334.409293994</c:v>
                </c:pt>
                <c:pt idx="41">
                  <c:v>81203290.304191485</c:v>
                </c:pt>
                <c:pt idx="42">
                  <c:v>80783002.905758068</c:v>
                </c:pt>
                <c:pt idx="43">
                  <c:v>94094966.421711698</c:v>
                </c:pt>
                <c:pt idx="44">
                  <c:v>95153219.640804246</c:v>
                </c:pt>
                <c:pt idx="45">
                  <c:v>96563110.946912125</c:v>
                </c:pt>
                <c:pt idx="46">
                  <c:v>94645239.296489045</c:v>
                </c:pt>
                <c:pt idx="47">
                  <c:v>99983735.404607639</c:v>
                </c:pt>
                <c:pt idx="48">
                  <c:v>97579685.655255109</c:v>
                </c:pt>
                <c:pt idx="49">
                  <c:v>96631850.220350429</c:v>
                </c:pt>
                <c:pt idx="50">
                  <c:v>111636989.41568923</c:v>
                </c:pt>
                <c:pt idx="51">
                  <c:v>134165422.2618888</c:v>
                </c:pt>
                <c:pt idx="52">
                  <c:v>122741048.02657917</c:v>
                </c:pt>
                <c:pt idx="53">
                  <c:v>129184326.18728504</c:v>
                </c:pt>
                <c:pt idx="54">
                  <c:v>127343949.73754287</c:v>
                </c:pt>
                <c:pt idx="55">
                  <c:v>114313724.00522608</c:v>
                </c:pt>
                <c:pt idx="56">
                  <c:v>133210068.25645557</c:v>
                </c:pt>
                <c:pt idx="57">
                  <c:v>138132262.61656502</c:v>
                </c:pt>
                <c:pt idx="58">
                  <c:v>111144192.67642106</c:v>
                </c:pt>
                <c:pt idx="59">
                  <c:v>115529813.79447903</c:v>
                </c:pt>
                <c:pt idx="60">
                  <c:v>119597055.38715914</c:v>
                </c:pt>
                <c:pt idx="61">
                  <c:v>129785119.02807565</c:v>
                </c:pt>
                <c:pt idx="62">
                  <c:v>133055081.99394238</c:v>
                </c:pt>
                <c:pt idx="63">
                  <c:v>122748131.6755456</c:v>
                </c:pt>
                <c:pt idx="64">
                  <c:v>113884179.77568619</c:v>
                </c:pt>
                <c:pt idx="65">
                  <c:v>115887972.23992456</c:v>
                </c:pt>
                <c:pt idx="66">
                  <c:v>132846022.23419331</c:v>
                </c:pt>
                <c:pt idx="67">
                  <c:v>108046149.97230811</c:v>
                </c:pt>
                <c:pt idx="68">
                  <c:v>161467663.48287573</c:v>
                </c:pt>
                <c:pt idx="69">
                  <c:v>145382015.07459083</c:v>
                </c:pt>
                <c:pt idx="70">
                  <c:v>159584757.68832287</c:v>
                </c:pt>
                <c:pt idx="71">
                  <c:v>188278774.73808926</c:v>
                </c:pt>
                <c:pt idx="72">
                  <c:v>157773686.45615235</c:v>
                </c:pt>
                <c:pt idx="73">
                  <c:v>161964924.02851507</c:v>
                </c:pt>
                <c:pt idx="74">
                  <c:v>199993908.58326548</c:v>
                </c:pt>
                <c:pt idx="75">
                  <c:v>209978936.78665078</c:v>
                </c:pt>
                <c:pt idx="76">
                  <c:v>226645721.03076661</c:v>
                </c:pt>
                <c:pt idx="77">
                  <c:v>160121057.82995453</c:v>
                </c:pt>
                <c:pt idx="78">
                  <c:v>140644236.59683442</c:v>
                </c:pt>
                <c:pt idx="79">
                  <c:v>157615458.52147034</c:v>
                </c:pt>
                <c:pt idx="80">
                  <c:v>238037077.28243282</c:v>
                </c:pt>
                <c:pt idx="81">
                  <c:v>208858780.79171082</c:v>
                </c:pt>
                <c:pt idx="82">
                  <c:v>229509766.33774015</c:v>
                </c:pt>
                <c:pt idx="83">
                  <c:v>202430268.80883858</c:v>
                </c:pt>
                <c:pt idx="84">
                  <c:v>238210721.85323519</c:v>
                </c:pt>
                <c:pt idx="85">
                  <c:v>256435010.87170479</c:v>
                </c:pt>
                <c:pt idx="86">
                  <c:v>265738070.84755108</c:v>
                </c:pt>
                <c:pt idx="87">
                  <c:v>234493746.5021573</c:v>
                </c:pt>
                <c:pt idx="88">
                  <c:v>313186941.05595118</c:v>
                </c:pt>
                <c:pt idx="89">
                  <c:v>248945835.21508411</c:v>
                </c:pt>
                <c:pt idx="90">
                  <c:v>294530968.26550025</c:v>
                </c:pt>
                <c:pt idx="91">
                  <c:v>362134799.19635904</c:v>
                </c:pt>
                <c:pt idx="92">
                  <c:v>362477061.38883948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92-4A40-8EB8-AB375974DD88}"/>
            </c:ext>
          </c:extLst>
        </c:ser>
        <c:ser>
          <c:idx val="2"/>
          <c:order val="2"/>
          <c:tx>
            <c:strRef>
              <c:f>'Alternative series'!$E$3</c:f>
              <c:strCache>
                <c:ptCount val="1"/>
                <c:pt idx="0">
                  <c:v>New freight series, no taxes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'Alternative series'!$F$6:$F$98</c:f>
              <c:numCache>
                <c:formatCode>General</c:formatCode>
                <c:ptCount val="93"/>
                <c:pt idx="0">
                  <c:v>19864268.768673342</c:v>
                </c:pt>
                <c:pt idx="1">
                  <c:v>22587710.837210484</c:v>
                </c:pt>
                <c:pt idx="2">
                  <c:v>25955722.370864306</c:v>
                </c:pt>
                <c:pt idx="3">
                  <c:v>24091444.063483175</c:v>
                </c:pt>
                <c:pt idx="4">
                  <c:v>25311136.439232089</c:v>
                </c:pt>
                <c:pt idx="5">
                  <c:v>18867414.138858106</c:v>
                </c:pt>
                <c:pt idx="6">
                  <c:v>23753118.227080997</c:v>
                </c:pt>
                <c:pt idx="7">
                  <c:v>25823929.516392618</c:v>
                </c:pt>
                <c:pt idx="8">
                  <c:v>22262680.827700861</c:v>
                </c:pt>
                <c:pt idx="9">
                  <c:v>23051579.357226726</c:v>
                </c:pt>
                <c:pt idx="10">
                  <c:v>23980888.605828475</c:v>
                </c:pt>
                <c:pt idx="11">
                  <c:v>30108904.267942347</c:v>
                </c:pt>
                <c:pt idx="12">
                  <c:v>39818073.551753797</c:v>
                </c:pt>
                <c:pt idx="13">
                  <c:v>36009659.801207155</c:v>
                </c:pt>
                <c:pt idx="14">
                  <c:v>44085953.430221915</c:v>
                </c:pt>
                <c:pt idx="15">
                  <c:v>47014447.311001085</c:v>
                </c:pt>
                <c:pt idx="16">
                  <c:v>38116516.418220766</c:v>
                </c:pt>
                <c:pt idx="17">
                  <c:v>38201640.140806496</c:v>
                </c:pt>
                <c:pt idx="18">
                  <c:v>43088572.822818764</c:v>
                </c:pt>
                <c:pt idx="19">
                  <c:v>46074348.748069152</c:v>
                </c:pt>
                <c:pt idx="20">
                  <c:v>44090406.362238079</c:v>
                </c:pt>
                <c:pt idx="21">
                  <c:v>38562770.403060101</c:v>
                </c:pt>
                <c:pt idx="22">
                  <c:v>40206330.449755698</c:v>
                </c:pt>
                <c:pt idx="23">
                  <c:v>42708901.168719076</c:v>
                </c:pt>
                <c:pt idx="24">
                  <c:v>46561407.851393677</c:v>
                </c:pt>
                <c:pt idx="25">
                  <c:v>49541821.241155274</c:v>
                </c:pt>
                <c:pt idx="26">
                  <c:v>51007759.438240267</c:v>
                </c:pt>
                <c:pt idx="27">
                  <c:v>45945306.000344254</c:v>
                </c:pt>
                <c:pt idx="28">
                  <c:v>45742766.494116902</c:v>
                </c:pt>
                <c:pt idx="29">
                  <c:v>59894545.808230206</c:v>
                </c:pt>
                <c:pt idx="30">
                  <c:v>53688025.87587636</c:v>
                </c:pt>
                <c:pt idx="31">
                  <c:v>56217189.126206733</c:v>
                </c:pt>
                <c:pt idx="32">
                  <c:v>61855577.415036604</c:v>
                </c:pt>
                <c:pt idx="33">
                  <c:v>65605568.947460495</c:v>
                </c:pt>
                <c:pt idx="34">
                  <c:v>73636187.934346735</c:v>
                </c:pt>
                <c:pt idx="35">
                  <c:v>77148983.324751824</c:v>
                </c:pt>
                <c:pt idx="36">
                  <c:v>81147229.399496496</c:v>
                </c:pt>
                <c:pt idx="37">
                  <c:v>67334128.099407718</c:v>
                </c:pt>
                <c:pt idx="38">
                  <c:v>75355369.566038579</c:v>
                </c:pt>
                <c:pt idx="39">
                  <c:v>82408218.893724635</c:v>
                </c:pt>
                <c:pt idx="40">
                  <c:v>82181787.592855871</c:v>
                </c:pt>
                <c:pt idx="41">
                  <c:v>87995101.894985184</c:v>
                </c:pt>
                <c:pt idx="42">
                  <c:v>87247090.350352988</c:v>
                </c:pt>
                <c:pt idx="43">
                  <c:v>102169596.81253451</c:v>
                </c:pt>
                <c:pt idx="44">
                  <c:v>103880223.13712251</c:v>
                </c:pt>
                <c:pt idx="45">
                  <c:v>105084816.77082734</c:v>
                </c:pt>
                <c:pt idx="46">
                  <c:v>104539949.22585507</c:v>
                </c:pt>
                <c:pt idx="47">
                  <c:v>111563359.39011994</c:v>
                </c:pt>
                <c:pt idx="48">
                  <c:v>109034219.65300862</c:v>
                </c:pt>
                <c:pt idx="49">
                  <c:v>107411899.58961815</c:v>
                </c:pt>
                <c:pt idx="50">
                  <c:v>124499074.53618541</c:v>
                </c:pt>
                <c:pt idx="51">
                  <c:v>150631040.68026394</c:v>
                </c:pt>
                <c:pt idx="52">
                  <c:v>136513964.32788125</c:v>
                </c:pt>
                <c:pt idx="53">
                  <c:v>143067036.02224573</c:v>
                </c:pt>
                <c:pt idx="54">
                  <c:v>140922099.55501783</c:v>
                </c:pt>
                <c:pt idx="55">
                  <c:v>125839816.21389242</c:v>
                </c:pt>
                <c:pt idx="56">
                  <c:v>145208048.23507157</c:v>
                </c:pt>
                <c:pt idx="57">
                  <c:v>151613101.20379779</c:v>
                </c:pt>
                <c:pt idx="58">
                  <c:v>122344997.94533554</c:v>
                </c:pt>
                <c:pt idx="59">
                  <c:v>127317415.04880315</c:v>
                </c:pt>
                <c:pt idx="60">
                  <c:v>133392186.90645066</c:v>
                </c:pt>
                <c:pt idx="61">
                  <c:v>143458975.06598371</c:v>
                </c:pt>
                <c:pt idx="62">
                  <c:v>144981377.92462429</c:v>
                </c:pt>
                <c:pt idx="63">
                  <c:v>133199583.47226661</c:v>
                </c:pt>
                <c:pt idx="64">
                  <c:v>124983514.83674718</c:v>
                </c:pt>
                <c:pt idx="65">
                  <c:v>127061058.17632927</c:v>
                </c:pt>
                <c:pt idx="66">
                  <c:v>145387350.05797198</c:v>
                </c:pt>
                <c:pt idx="67">
                  <c:v>117104790.99598417</c:v>
                </c:pt>
                <c:pt idx="68">
                  <c:v>173685501.88989386</c:v>
                </c:pt>
                <c:pt idx="69">
                  <c:v>157165129.99912569</c:v>
                </c:pt>
                <c:pt idx="70">
                  <c:v>171332919.84556603</c:v>
                </c:pt>
                <c:pt idx="71">
                  <c:v>212800369.80714777</c:v>
                </c:pt>
                <c:pt idx="72">
                  <c:v>177764278.62980649</c:v>
                </c:pt>
                <c:pt idx="73">
                  <c:v>183342306.60361072</c:v>
                </c:pt>
                <c:pt idx="74">
                  <c:v>226314634.158795</c:v>
                </c:pt>
                <c:pt idx="75">
                  <c:v>236385393.15191099</c:v>
                </c:pt>
                <c:pt idx="76">
                  <c:v>257921230.35723096</c:v>
                </c:pt>
                <c:pt idx="77">
                  <c:v>181492428.17210475</c:v>
                </c:pt>
                <c:pt idx="78">
                  <c:v>162980739.57244182</c:v>
                </c:pt>
                <c:pt idx="79">
                  <c:v>179023861.16237068</c:v>
                </c:pt>
                <c:pt idx="80">
                  <c:v>244867090.8598184</c:v>
                </c:pt>
                <c:pt idx="81">
                  <c:v>215165181.75713578</c:v>
                </c:pt>
                <c:pt idx="82">
                  <c:v>235795835.96259385</c:v>
                </c:pt>
                <c:pt idx="83">
                  <c:v>207160916.67594266</c:v>
                </c:pt>
                <c:pt idx="84">
                  <c:v>246748941.59891838</c:v>
                </c:pt>
                <c:pt idx="85">
                  <c:v>264947720.69749847</c:v>
                </c:pt>
                <c:pt idx="86">
                  <c:v>267268493.93002167</c:v>
                </c:pt>
                <c:pt idx="87">
                  <c:v>248762422.81104323</c:v>
                </c:pt>
                <c:pt idx="88">
                  <c:v>329225402.16244668</c:v>
                </c:pt>
                <c:pt idx="89">
                  <c:v>257001902.71943864</c:v>
                </c:pt>
                <c:pt idx="90">
                  <c:v>302641816.44019359</c:v>
                </c:pt>
                <c:pt idx="91">
                  <c:v>370026990.6217407</c:v>
                </c:pt>
                <c:pt idx="92">
                  <c:v>369455089.12224859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92-4A40-8EB8-AB375974D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489384"/>
        <c:axId val="557494480"/>
      </c:lineChart>
      <c:catAx>
        <c:axId val="55748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494480"/>
        <c:crosses val="autoZero"/>
        <c:auto val="1"/>
        <c:lblAlgn val="ctr"/>
        <c:lblOffset val="100"/>
        <c:noMultiLvlLbl val="0"/>
      </c:catAx>
      <c:valAx>
        <c:axId val="55749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4893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05555555555556E-2"/>
                <c:y val="0.245370370370369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AU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US Dollars,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'Alternative series'!$J$3</c:f>
              <c:strCache>
                <c:ptCount val="1"/>
                <c:pt idx="0">
                  <c:v>Sum sample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'Alternative series'!$A$6:$A$98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'Alternative series'!$K$6:$K$98</c:f>
              <c:numCache>
                <c:formatCode>General</c:formatCode>
                <c:ptCount val="93"/>
                <c:pt idx="0">
                  <c:v>12904094.218036681</c:v>
                </c:pt>
                <c:pt idx="1">
                  <c:v>11788147.081910899</c:v>
                </c:pt>
                <c:pt idx="2">
                  <c:v>9600397.1282090619</c:v>
                </c:pt>
                <c:pt idx="3">
                  <c:v>14804051.830648845</c:v>
                </c:pt>
                <c:pt idx="4">
                  <c:v>16816517.367712926</c:v>
                </c:pt>
                <c:pt idx="5">
                  <c:v>16726519.92008733</c:v>
                </c:pt>
                <c:pt idx="6">
                  <c:v>17557335.102612786</c:v>
                </c:pt>
                <c:pt idx="7">
                  <c:v>24413220.773863912</c:v>
                </c:pt>
                <c:pt idx="8">
                  <c:v>18643405.236723691</c:v>
                </c:pt>
                <c:pt idx="9">
                  <c:v>16942233.158083558</c:v>
                </c:pt>
                <c:pt idx="10">
                  <c:v>10790730.566141959</c:v>
                </c:pt>
                <c:pt idx="11">
                  <c:v>17207497.348343745</c:v>
                </c:pt>
                <c:pt idx="12">
                  <c:v>22683119.425330877</c:v>
                </c:pt>
                <c:pt idx="13">
                  <c:v>20670294.42421329</c:v>
                </c:pt>
                <c:pt idx="14">
                  <c:v>25363788.394218609</c:v>
                </c:pt>
                <c:pt idx="15">
                  <c:v>30354997.255920157</c:v>
                </c:pt>
                <c:pt idx="16">
                  <c:v>25138397.219110675</c:v>
                </c:pt>
                <c:pt idx="17">
                  <c:v>24288775.590618219</c:v>
                </c:pt>
                <c:pt idx="18">
                  <c:v>25748023.84447616</c:v>
                </c:pt>
                <c:pt idx="19">
                  <c:v>31025179.438600492</c:v>
                </c:pt>
                <c:pt idx="20">
                  <c:v>27711124.52886444</c:v>
                </c:pt>
                <c:pt idx="21">
                  <c:v>21833152.027215179</c:v>
                </c:pt>
                <c:pt idx="22">
                  <c:v>22423617.040106222</c:v>
                </c:pt>
                <c:pt idx="23">
                  <c:v>27153225.761079438</c:v>
                </c:pt>
                <c:pt idx="24">
                  <c:v>25669962.663403235</c:v>
                </c:pt>
                <c:pt idx="25">
                  <c:v>39101387.031011961</c:v>
                </c:pt>
                <c:pt idx="26">
                  <c:v>24852209.67291702</c:v>
                </c:pt>
                <c:pt idx="27">
                  <c:v>22525413.929091386</c:v>
                </c:pt>
                <c:pt idx="28">
                  <c:v>23603718.272536092</c:v>
                </c:pt>
                <c:pt idx="29">
                  <c:v>25867724.122867245</c:v>
                </c:pt>
                <c:pt idx="30">
                  <c:v>38995914.018544868</c:v>
                </c:pt>
                <c:pt idx="31">
                  <c:v>35265230.827538654</c:v>
                </c:pt>
                <c:pt idx="32">
                  <c:v>36644168.393722869</c:v>
                </c:pt>
                <c:pt idx="33">
                  <c:v>35478184.535158224</c:v>
                </c:pt>
                <c:pt idx="34">
                  <c:v>42573642.639169432</c:v>
                </c:pt>
                <c:pt idx="35">
                  <c:v>54753753.371862218</c:v>
                </c:pt>
                <c:pt idx="36">
                  <c:v>58674450.315798506</c:v>
                </c:pt>
                <c:pt idx="37">
                  <c:v>44869527.091778681</c:v>
                </c:pt>
                <c:pt idx="38">
                  <c:v>47849912.417231143</c:v>
                </c:pt>
                <c:pt idx="39">
                  <c:v>50648735.436600991</c:v>
                </c:pt>
                <c:pt idx="40">
                  <c:v>55206411.141767576</c:v>
                </c:pt>
                <c:pt idx="41">
                  <c:v>46085559.668600753</c:v>
                </c:pt>
                <c:pt idx="42">
                  <c:v>46444069.895206593</c:v>
                </c:pt>
                <c:pt idx="43">
                  <c:v>69575387.828082457</c:v>
                </c:pt>
                <c:pt idx="44">
                  <c:v>67649630.593590066</c:v>
                </c:pt>
                <c:pt idx="45">
                  <c:v>74700009.702891335</c:v>
                </c:pt>
                <c:pt idx="46">
                  <c:v>62610839.424096346</c:v>
                </c:pt>
                <c:pt idx="47">
                  <c:v>56870109.056686439</c:v>
                </c:pt>
                <c:pt idx="48">
                  <c:v>71296768.694102123</c:v>
                </c:pt>
                <c:pt idx="49">
                  <c:v>55263757.633689918</c:v>
                </c:pt>
                <c:pt idx="50">
                  <c:v>61406458.318205327</c:v>
                </c:pt>
                <c:pt idx="51">
                  <c:v>75259966.734294504</c:v>
                </c:pt>
                <c:pt idx="52">
                  <c:v>77003775.489913359</c:v>
                </c:pt>
                <c:pt idx="53">
                  <c:v>77740647.086887434</c:v>
                </c:pt>
                <c:pt idx="54">
                  <c:v>74255251.404001504</c:v>
                </c:pt>
                <c:pt idx="55">
                  <c:v>67995924.430108413</c:v>
                </c:pt>
                <c:pt idx="56">
                  <c:v>71874278.997829095</c:v>
                </c:pt>
                <c:pt idx="57">
                  <c:v>70537446.67036286</c:v>
                </c:pt>
                <c:pt idx="58">
                  <c:v>68571585.189538091</c:v>
                </c:pt>
                <c:pt idx="59">
                  <c:v>80393186.350682497</c:v>
                </c:pt>
                <c:pt idx="60">
                  <c:v>80051872.528532028</c:v>
                </c:pt>
                <c:pt idx="61">
                  <c:v>80445327.22054939</c:v>
                </c:pt>
                <c:pt idx="62">
                  <c:v>76712194.657008573</c:v>
                </c:pt>
                <c:pt idx="63">
                  <c:v>74071665.483707696</c:v>
                </c:pt>
                <c:pt idx="64">
                  <c:v>62962236.448692165</c:v>
                </c:pt>
                <c:pt idx="65">
                  <c:v>67578967.759921208</c:v>
                </c:pt>
                <c:pt idx="66">
                  <c:v>68613654.951288506</c:v>
                </c:pt>
                <c:pt idx="67">
                  <c:v>74832715.226269186</c:v>
                </c:pt>
                <c:pt idx="68">
                  <c:v>89984706.620971799</c:v>
                </c:pt>
                <c:pt idx="69">
                  <c:v>99649502.499534756</c:v>
                </c:pt>
                <c:pt idx="70">
                  <c:v>114216363.31122249</c:v>
                </c:pt>
                <c:pt idx="71">
                  <c:v>105004438.9504829</c:v>
                </c:pt>
                <c:pt idx="72">
                  <c:v>108303448.90095629</c:v>
                </c:pt>
                <c:pt idx="73">
                  <c:v>108388421.79826504</c:v>
                </c:pt>
                <c:pt idx="74">
                  <c:v>116891165.28540094</c:v>
                </c:pt>
                <c:pt idx="75">
                  <c:v>109053971.48104253</c:v>
                </c:pt>
                <c:pt idx="76">
                  <c:v>86988672.167286798</c:v>
                </c:pt>
                <c:pt idx="77">
                  <c:v>89553646.345540687</c:v>
                </c:pt>
                <c:pt idx="78">
                  <c:v>86100664.811784461</c:v>
                </c:pt>
                <c:pt idx="79">
                  <c:v>79216806.30204019</c:v>
                </c:pt>
                <c:pt idx="80">
                  <c:v>63457467.872299351</c:v>
                </c:pt>
                <c:pt idx="81">
                  <c:v>72125460.097983703</c:v>
                </c:pt>
                <c:pt idx="82">
                  <c:v>76716759.699701905</c:v>
                </c:pt>
                <c:pt idx="83">
                  <c:v>82512583.28045845</c:v>
                </c:pt>
                <c:pt idx="84">
                  <c:v>94670142.699957162</c:v>
                </c:pt>
                <c:pt idx="85">
                  <c:v>115879577.0775369</c:v>
                </c:pt>
                <c:pt idx="86">
                  <c:v>138745818.45029077</c:v>
                </c:pt>
                <c:pt idx="87">
                  <c:v>118134276.20279226</c:v>
                </c:pt>
                <c:pt idx="88">
                  <c:v>119376216.70669228</c:v>
                </c:pt>
                <c:pt idx="89">
                  <c:v>191071659.44066712</c:v>
                </c:pt>
                <c:pt idx="90">
                  <c:v>181590607.30384883</c:v>
                </c:pt>
                <c:pt idx="91">
                  <c:v>217958257.23232681</c:v>
                </c:pt>
                <c:pt idx="92">
                  <c:v>217429485.1770159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0-45B0-9D63-872EB17141EA}"/>
            </c:ext>
          </c:extLst>
        </c:ser>
        <c:ser>
          <c:idx val="1"/>
          <c:order val="1"/>
          <c:tx>
            <c:strRef>
              <c:f>Dollars!$L$1</c:f>
              <c:strCache>
                <c:ptCount val="1"/>
                <c:pt idx="0">
                  <c:v>Official series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Dollars!$M$4:$M$96</c:f>
              <c:numCache>
                <c:formatCode>General</c:formatCode>
                <c:ptCount val="93"/>
                <c:pt idx="0">
                  <c:v>22035876.800000001</c:v>
                </c:pt>
                <c:pt idx="1">
                  <c:v>22847643</c:v>
                </c:pt>
                <c:pt idx="2">
                  <c:v>19663551.5</c:v>
                </c:pt>
                <c:pt idx="3">
                  <c:v>23543130.099999998</c:v>
                </c:pt>
                <c:pt idx="4">
                  <c:v>23823923.500000004</c:v>
                </c:pt>
                <c:pt idx="5">
                  <c:v>18377694</c:v>
                </c:pt>
                <c:pt idx="6">
                  <c:v>19516153.199999999</c:v>
                </c:pt>
                <c:pt idx="7">
                  <c:v>20305008</c:v>
                </c:pt>
                <c:pt idx="8">
                  <c:v>17794920</c:v>
                </c:pt>
                <c:pt idx="9">
                  <c:v>19079731.199999999</c:v>
                </c:pt>
                <c:pt idx="10">
                  <c:v>16927728.300000001</c:v>
                </c:pt>
                <c:pt idx="11">
                  <c:v>22952632.500000004</c:v>
                </c:pt>
                <c:pt idx="12">
                  <c:v>27090764.800000004</c:v>
                </c:pt>
                <c:pt idx="13">
                  <c:v>26801838.699999999</c:v>
                </c:pt>
                <c:pt idx="14">
                  <c:v>30655585.799999997</c:v>
                </c:pt>
                <c:pt idx="15">
                  <c:v>33709056.75</c:v>
                </c:pt>
                <c:pt idx="16">
                  <c:v>31307339.25</c:v>
                </c:pt>
                <c:pt idx="17">
                  <c:v>26388463.150000002</c:v>
                </c:pt>
                <c:pt idx="18">
                  <c:v>31591760.999999996</c:v>
                </c:pt>
                <c:pt idx="19">
                  <c:v>35887153.100000001</c:v>
                </c:pt>
                <c:pt idx="20">
                  <c:v>36262232.399999999</c:v>
                </c:pt>
                <c:pt idx="21">
                  <c:v>30543772.400000002</c:v>
                </c:pt>
                <c:pt idx="22">
                  <c:v>27769240</c:v>
                </c:pt>
                <c:pt idx="23">
                  <c:v>28532554.25</c:v>
                </c:pt>
                <c:pt idx="24">
                  <c:v>27598350.149999999</c:v>
                </c:pt>
                <c:pt idx="25">
                  <c:v>28380098.699999999</c:v>
                </c:pt>
                <c:pt idx="26">
                  <c:v>28233126</c:v>
                </c:pt>
                <c:pt idx="27">
                  <c:v>26533325</c:v>
                </c:pt>
                <c:pt idx="28">
                  <c:v>28286476.400000002</c:v>
                </c:pt>
                <c:pt idx="29">
                  <c:v>37970514.299999997</c:v>
                </c:pt>
                <c:pt idx="30">
                  <c:v>50303591.649999999</c:v>
                </c:pt>
                <c:pt idx="31">
                  <c:v>52071821.399999991</c:v>
                </c:pt>
                <c:pt idx="32">
                  <c:v>49294898.349999994</c:v>
                </c:pt>
                <c:pt idx="33">
                  <c:v>48806469.600000001</c:v>
                </c:pt>
                <c:pt idx="34">
                  <c:v>49971167.399999999</c:v>
                </c:pt>
                <c:pt idx="35">
                  <c:v>61427520.149999999</c:v>
                </c:pt>
                <c:pt idx="36">
                  <c:v>70449614.600000009</c:v>
                </c:pt>
                <c:pt idx="37">
                  <c:v>68005000</c:v>
                </c:pt>
                <c:pt idx="38">
                  <c:v>61980388.399999999</c:v>
                </c:pt>
                <c:pt idx="39">
                  <c:v>60858715</c:v>
                </c:pt>
                <c:pt idx="40">
                  <c:v>60788400.150000006</c:v>
                </c:pt>
                <c:pt idx="41">
                  <c:v>54891651.350000001</c:v>
                </c:pt>
                <c:pt idx="42">
                  <c:v>60943577.75</c:v>
                </c:pt>
                <c:pt idx="43">
                  <c:v>70222713.299999997</c:v>
                </c:pt>
                <c:pt idx="44">
                  <c:v>70445781.100000009</c:v>
                </c:pt>
                <c:pt idx="45">
                  <c:v>69883262.299999997</c:v>
                </c:pt>
                <c:pt idx="46">
                  <c:v>66942161.850000001</c:v>
                </c:pt>
                <c:pt idx="47">
                  <c:v>60490168.200000003</c:v>
                </c:pt>
                <c:pt idx="48">
                  <c:v>60608976.050000004</c:v>
                </c:pt>
                <c:pt idx="49">
                  <c:v>68181158</c:v>
                </c:pt>
                <c:pt idx="50">
                  <c:v>72666760.5</c:v>
                </c:pt>
                <c:pt idx="51">
                  <c:v>76524378.650000006</c:v>
                </c:pt>
                <c:pt idx="52">
                  <c:v>80316531.25</c:v>
                </c:pt>
                <c:pt idx="53">
                  <c:v>83902588.600000009</c:v>
                </c:pt>
                <c:pt idx="54">
                  <c:v>90965594.050000012</c:v>
                </c:pt>
                <c:pt idx="55">
                  <c:v>87350440.900000006</c:v>
                </c:pt>
                <c:pt idx="56">
                  <c:v>80575968.799999997</c:v>
                </c:pt>
                <c:pt idx="57">
                  <c:v>78459249.350000009</c:v>
                </c:pt>
                <c:pt idx="58">
                  <c:v>75435523.750000015</c:v>
                </c:pt>
                <c:pt idx="59">
                  <c:v>77470821.75</c:v>
                </c:pt>
                <c:pt idx="60">
                  <c:v>80048962.5</c:v>
                </c:pt>
                <c:pt idx="61">
                  <c:v>81332964.700000003</c:v>
                </c:pt>
                <c:pt idx="62">
                  <c:v>84782340.5</c:v>
                </c:pt>
                <c:pt idx="63">
                  <c:v>81466179.199999988</c:v>
                </c:pt>
                <c:pt idx="64">
                  <c:v>74508036</c:v>
                </c:pt>
                <c:pt idx="65">
                  <c:v>76387178.199999988</c:v>
                </c:pt>
                <c:pt idx="66">
                  <c:v>86119450</c:v>
                </c:pt>
                <c:pt idx="67">
                  <c:v>96061797.200000003</c:v>
                </c:pt>
                <c:pt idx="68">
                  <c:v>116858537.39999999</c:v>
                </c:pt>
                <c:pt idx="69">
                  <c:v>116744349.5</c:v>
                </c:pt>
                <c:pt idx="70">
                  <c:v>124274021.50000001</c:v>
                </c:pt>
                <c:pt idx="71">
                  <c:v>128172276.2</c:v>
                </c:pt>
                <c:pt idx="72">
                  <c:v>127507138.5</c:v>
                </c:pt>
                <c:pt idx="73">
                  <c:v>132383450.5</c:v>
                </c:pt>
                <c:pt idx="74">
                  <c:v>142797019.59999999</c:v>
                </c:pt>
                <c:pt idx="75">
                  <c:v>135809056</c:v>
                </c:pt>
                <c:pt idx="76">
                  <c:v>111807267</c:v>
                </c:pt>
                <c:pt idx="77">
                  <c:v>114095467.19999999</c:v>
                </c:pt>
                <c:pt idx="78">
                  <c:v>109741919.40000001</c:v>
                </c:pt>
                <c:pt idx="79">
                  <c:v>104159066.8</c:v>
                </c:pt>
                <c:pt idx="80">
                  <c:v>104163707.89999999</c:v>
                </c:pt>
                <c:pt idx="81">
                  <c:v>113412960.09999999</c:v>
                </c:pt>
                <c:pt idx="82">
                  <c:v>117725924.80000001</c:v>
                </c:pt>
                <c:pt idx="83">
                  <c:v>126143854.00000001</c:v>
                </c:pt>
                <c:pt idx="84">
                  <c:v>145128916</c:v>
                </c:pt>
                <c:pt idx="85">
                  <c:v>161065963.19999999</c:v>
                </c:pt>
                <c:pt idx="86">
                  <c:v>196880971.19999999</c:v>
                </c:pt>
                <c:pt idx="87">
                  <c:v>172685009.59999999</c:v>
                </c:pt>
                <c:pt idx="88">
                  <c:v>180974633.09999999</c:v>
                </c:pt>
                <c:pt idx="89">
                  <c:v>232801536.00000003</c:v>
                </c:pt>
                <c:pt idx="90">
                  <c:v>256836410.60000002</c:v>
                </c:pt>
                <c:pt idx="91">
                  <c:v>308613365</c:v>
                </c:pt>
                <c:pt idx="92">
                  <c:v>326675274.19999999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0-45B0-9D63-872EB17141EA}"/>
            </c:ext>
          </c:extLst>
        </c:ser>
        <c:ser>
          <c:idx val="2"/>
          <c:order val="2"/>
          <c:tx>
            <c:strRef>
              <c:f>Dollars!$F$2</c:f>
              <c:strCache>
                <c:ptCount val="1"/>
                <c:pt idx="0">
                  <c:v>Re-estimate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Dollars!$F$4:$F$96</c:f>
              <c:numCache>
                <c:formatCode>0</c:formatCode>
                <c:ptCount val="93"/>
                <c:pt idx="0">
                  <c:v>24863475.552661937</c:v>
                </c:pt>
                <c:pt idx="1">
                  <c:v>22713280.128767394</c:v>
                </c:pt>
                <c:pt idx="2">
                  <c:v>18497946.098334461</c:v>
                </c:pt>
                <c:pt idx="3">
                  <c:v>28524294.270665985</c:v>
                </c:pt>
                <c:pt idx="4">
                  <c:v>32401892.096279223</c:v>
                </c:pt>
                <c:pt idx="5">
                  <c:v>32228485.943082262</c:v>
                </c:pt>
                <c:pt idx="6">
                  <c:v>28496209.260835115</c:v>
                </c:pt>
                <c:pt idx="7">
                  <c:v>39495794.207635827</c:v>
                </c:pt>
                <c:pt idx="8">
                  <c:v>30163286.760210402</c:v>
                </c:pt>
                <c:pt idx="9">
                  <c:v>27408875.857115474</c:v>
                </c:pt>
                <c:pt idx="10">
                  <c:v>15985624.836405966</c:v>
                </c:pt>
                <c:pt idx="11">
                  <c:v>25439200.932345301</c:v>
                </c:pt>
                <c:pt idx="12">
                  <c:v>33531760.797295097</c:v>
                </c:pt>
                <c:pt idx="13">
                  <c:v>29720562.943938624</c:v>
                </c:pt>
                <c:pt idx="14">
                  <c:v>36432384.644015439</c:v>
                </c:pt>
                <c:pt idx="15">
                  <c:v>43574456.353637114</c:v>
                </c:pt>
                <c:pt idx="16">
                  <c:v>36168301.600900225</c:v>
                </c:pt>
                <c:pt idx="17">
                  <c:v>32608832.086157616</c:v>
                </c:pt>
                <c:pt idx="18">
                  <c:v>32296452.301138878</c:v>
                </c:pt>
                <c:pt idx="19">
                  <c:v>36206708.099580936</c:v>
                </c:pt>
                <c:pt idx="20">
                  <c:v>31711676.909995593</c:v>
                </c:pt>
                <c:pt idx="21">
                  <c:v>25466820.280983537</c:v>
                </c:pt>
                <c:pt idx="22">
                  <c:v>26229815.097931709</c:v>
                </c:pt>
                <c:pt idx="23">
                  <c:v>31804661.97042831</c:v>
                </c:pt>
                <c:pt idx="24">
                  <c:v>33439479.774197336</c:v>
                </c:pt>
                <c:pt idx="25">
                  <c:v>49589234.213300459</c:v>
                </c:pt>
                <c:pt idx="26">
                  <c:v>32883459.238994241</c:v>
                </c:pt>
                <c:pt idx="27">
                  <c:v>25503323.806373689</c:v>
                </c:pt>
                <c:pt idx="28">
                  <c:v>28874464.389926344</c:v>
                </c:pt>
                <c:pt idx="29">
                  <c:v>31920604.624106053</c:v>
                </c:pt>
                <c:pt idx="30">
                  <c:v>45856291.040062033</c:v>
                </c:pt>
                <c:pt idx="31">
                  <c:v>43109878.663094454</c:v>
                </c:pt>
                <c:pt idx="32">
                  <c:v>44457373.204421565</c:v>
                </c:pt>
                <c:pt idx="33">
                  <c:v>42903604.283641547</c:v>
                </c:pt>
                <c:pt idx="34">
                  <c:v>48841080.478170238</c:v>
                </c:pt>
                <c:pt idx="35">
                  <c:v>58581601.751998611</c:v>
                </c:pt>
                <c:pt idx="36">
                  <c:v>75144900.538674176</c:v>
                </c:pt>
                <c:pt idx="37">
                  <c:v>56027236.620585203</c:v>
                </c:pt>
                <c:pt idx="38">
                  <c:v>61510407.976764224</c:v>
                </c:pt>
                <c:pt idx="39">
                  <c:v>64682544.462269537</c:v>
                </c:pt>
                <c:pt idx="40">
                  <c:v>66620423.3218446</c:v>
                </c:pt>
                <c:pt idx="41">
                  <c:v>59768527.835943528</c:v>
                </c:pt>
                <c:pt idx="42">
                  <c:v>59212180.312325619</c:v>
                </c:pt>
                <c:pt idx="43">
                  <c:v>98608451.375267282</c:v>
                </c:pt>
                <c:pt idx="44">
                  <c:v>83868380.644417956</c:v>
                </c:pt>
                <c:pt idx="45">
                  <c:v>119159488.77781518</c:v>
                </c:pt>
                <c:pt idx="46">
                  <c:v>94796434.33363919</c:v>
                </c:pt>
                <c:pt idx="47">
                  <c:v>86234852.876155511</c:v>
                </c:pt>
                <c:pt idx="48">
                  <c:v>98313822.268657774</c:v>
                </c:pt>
                <c:pt idx="49">
                  <c:v>69609464.126129106</c:v>
                </c:pt>
                <c:pt idx="50">
                  <c:v>75420712.663446918</c:v>
                </c:pt>
                <c:pt idx="51">
                  <c:v>91189438.374303937</c:v>
                </c:pt>
                <c:pt idx="52">
                  <c:v>95147571.092942134</c:v>
                </c:pt>
                <c:pt idx="53">
                  <c:v>96479558.879661903</c:v>
                </c:pt>
                <c:pt idx="54">
                  <c:v>93533975.91016379</c:v>
                </c:pt>
                <c:pt idx="55">
                  <c:v>87981772.612272948</c:v>
                </c:pt>
                <c:pt idx="56">
                  <c:v>92541844.969444662</c:v>
                </c:pt>
                <c:pt idx="57">
                  <c:v>91888833.452616066</c:v>
                </c:pt>
                <c:pt idx="58">
                  <c:v>90735361.89516142</c:v>
                </c:pt>
                <c:pt idx="59">
                  <c:v>96107310.866756991</c:v>
                </c:pt>
                <c:pt idx="60">
                  <c:v>97374981.873414889</c:v>
                </c:pt>
                <c:pt idx="61">
                  <c:v>99500059.007396549</c:v>
                </c:pt>
                <c:pt idx="62">
                  <c:v>95661426.354743958</c:v>
                </c:pt>
                <c:pt idx="63">
                  <c:v>92931604.46960102</c:v>
                </c:pt>
                <c:pt idx="64">
                  <c:v>81685093.163950086</c:v>
                </c:pt>
                <c:pt idx="65">
                  <c:v>89063235.75019829</c:v>
                </c:pt>
                <c:pt idx="66">
                  <c:v>91855184.250854939</c:v>
                </c:pt>
                <c:pt idx="67">
                  <c:v>102087167.93472527</c:v>
                </c:pt>
                <c:pt idx="68">
                  <c:v>122412407.64140567</c:v>
                </c:pt>
                <c:pt idx="69">
                  <c:v>139134684.89281473</c:v>
                </c:pt>
                <c:pt idx="70">
                  <c:v>159360006.02227375</c:v>
                </c:pt>
                <c:pt idx="71">
                  <c:v>148184721.49319714</c:v>
                </c:pt>
                <c:pt idx="72">
                  <c:v>149597358.79053953</c:v>
                </c:pt>
                <c:pt idx="73">
                  <c:v>147858259.20782548</c:v>
                </c:pt>
                <c:pt idx="74">
                  <c:v>154802517.31423986</c:v>
                </c:pt>
                <c:pt idx="75">
                  <c:v>145601117.69519347</c:v>
                </c:pt>
                <c:pt idx="76">
                  <c:v>121891334.28036572</c:v>
                </c:pt>
                <c:pt idx="77">
                  <c:v>122785595.11040919</c:v>
                </c:pt>
                <c:pt idx="78">
                  <c:v>117466182.72012047</c:v>
                </c:pt>
                <c:pt idx="79">
                  <c:v>109372195.58788571</c:v>
                </c:pt>
                <c:pt idx="80">
                  <c:v>92366299.24051927</c:v>
                </c:pt>
                <c:pt idx="81">
                  <c:v>105477271.51072821</c:v>
                </c:pt>
                <c:pt idx="82">
                  <c:v>110200787.24947177</c:v>
                </c:pt>
                <c:pt idx="83">
                  <c:v>118094971.41709213</c:v>
                </c:pt>
                <c:pt idx="84">
                  <c:v>138154643.58419025</c:v>
                </c:pt>
                <c:pt idx="85">
                  <c:v>160268267.66608062</c:v>
                </c:pt>
                <c:pt idx="86">
                  <c:v>184096083.42416194</c:v>
                </c:pt>
                <c:pt idx="87">
                  <c:v>160428014.86201549</c:v>
                </c:pt>
                <c:pt idx="88">
                  <c:v>162096849.23956278</c:v>
                </c:pt>
                <c:pt idx="89">
                  <c:v>257007945.4424209</c:v>
                </c:pt>
                <c:pt idx="90">
                  <c:v>238157844.63385752</c:v>
                </c:pt>
                <c:pt idx="91">
                  <c:v>287486637.80900866</c:v>
                </c:pt>
                <c:pt idx="92">
                  <c:v>286781369.77326685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0-45B0-9D63-872EB1714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885872"/>
        <c:axId val="556880384"/>
      </c:lineChart>
      <c:catAx>
        <c:axId val="55688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6880384"/>
        <c:crosses val="autoZero"/>
        <c:auto val="1"/>
        <c:lblAlgn val="ctr"/>
        <c:lblOffset val="100"/>
        <c:noMultiLvlLbl val="0"/>
      </c:catAx>
      <c:valAx>
        <c:axId val="55688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68858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801E-2"/>
                <c:y val="0.3287037037037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AU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US Dollars,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'Trade balance'!$B$2</c:f>
              <c:strCache>
                <c:ptCount val="1"/>
                <c:pt idx="0">
                  <c:v>Original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'Trade balance'!$A$4:$A$96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'Trade balance'!$B$4:$B$96</c:f>
              <c:numCache>
                <c:formatCode>0</c:formatCode>
                <c:ptCount val="93"/>
                <c:pt idx="0">
                  <c:v>-5618652.8293757401</c:v>
                </c:pt>
                <c:pt idx="1">
                  <c:v>-825084.31575720757</c:v>
                </c:pt>
                <c:pt idx="2">
                  <c:v>7056700.4555358216</c:v>
                </c:pt>
                <c:pt idx="3">
                  <c:v>-5373179.307458695</c:v>
                </c:pt>
                <c:pt idx="4">
                  <c:v>-8006671.9874169976</c:v>
                </c:pt>
                <c:pt idx="5">
                  <c:v>-14199325.129917819</c:v>
                </c:pt>
                <c:pt idx="6">
                  <c:v>-5715734.945586551</c:v>
                </c:pt>
                <c:pt idx="7">
                  <c:v>-14086020.755108036</c:v>
                </c:pt>
                <c:pt idx="8">
                  <c:v>-8814143.5926722102</c:v>
                </c:pt>
                <c:pt idx="9">
                  <c:v>-5140794.4877963252</c:v>
                </c:pt>
                <c:pt idx="10">
                  <c:v>7582436.1349055991</c:v>
                </c:pt>
                <c:pt idx="11">
                  <c:v>3842924.9209208451</c:v>
                </c:pt>
                <c:pt idx="12">
                  <c:v>5334060.1426305734</c:v>
                </c:pt>
                <c:pt idx="13">
                  <c:v>5355196.9008194171</c:v>
                </c:pt>
                <c:pt idx="14">
                  <c:v>6661894.3785596713</c:v>
                </c:pt>
                <c:pt idx="15">
                  <c:v>553907.15573277324</c:v>
                </c:pt>
                <c:pt idx="16">
                  <c:v>-32147.367680862546</c:v>
                </c:pt>
                <c:pt idx="17">
                  <c:v>3724594.4702943526</c:v>
                </c:pt>
                <c:pt idx="18">
                  <c:v>8100446.5268568173</c:v>
                </c:pt>
                <c:pt idx="19">
                  <c:v>7396151.1733138785</c:v>
                </c:pt>
                <c:pt idx="20">
                  <c:v>9892706.420840174</c:v>
                </c:pt>
                <c:pt idx="21">
                  <c:v>10832995.322257236</c:v>
                </c:pt>
                <c:pt idx="22">
                  <c:v>11320716.969966065</c:v>
                </c:pt>
                <c:pt idx="23">
                  <c:v>8617369.1159643009</c:v>
                </c:pt>
                <c:pt idx="24">
                  <c:v>10134568.097330187</c:v>
                </c:pt>
                <c:pt idx="25">
                  <c:v>-5203679.2300295979</c:v>
                </c:pt>
                <c:pt idx="26">
                  <c:v>13816306.335737765</c:v>
                </c:pt>
                <c:pt idx="27">
                  <c:v>15257500.035058353</c:v>
                </c:pt>
                <c:pt idx="28">
                  <c:v>12598699.983054444</c:v>
                </c:pt>
                <c:pt idx="29">
                  <c:v>20804675.873691823</c:v>
                </c:pt>
                <c:pt idx="30">
                  <c:v>4050981.0827803984</c:v>
                </c:pt>
                <c:pt idx="31">
                  <c:v>8943266.5652142093</c:v>
                </c:pt>
                <c:pt idx="32">
                  <c:v>13556988.949720383</c:v>
                </c:pt>
                <c:pt idx="33">
                  <c:v>17285253.060592763</c:v>
                </c:pt>
                <c:pt idx="34">
                  <c:v>16542581.724808171</c:v>
                </c:pt>
                <c:pt idx="35">
                  <c:v>11269476.454173215</c:v>
                </c:pt>
                <c:pt idx="36">
                  <c:v>-1714262.520274058</c:v>
                </c:pt>
                <c:pt idx="37">
                  <c:v>3704881.498564437</c:v>
                </c:pt>
                <c:pt idx="38">
                  <c:v>7234528.7063717321</c:v>
                </c:pt>
                <c:pt idx="39">
                  <c:v>10930621.236263819</c:v>
                </c:pt>
                <c:pt idx="40">
                  <c:v>7492911.0874493942</c:v>
                </c:pt>
                <c:pt idx="41">
                  <c:v>21434762.468247958</c:v>
                </c:pt>
                <c:pt idx="42">
                  <c:v>21570822.593432449</c:v>
                </c:pt>
                <c:pt idx="43">
                  <c:v>-4513484.953555584</c:v>
                </c:pt>
                <c:pt idx="44">
                  <c:v>11284838.99638629</c:v>
                </c:pt>
                <c:pt idx="45">
                  <c:v>-22596377.830903053</c:v>
                </c:pt>
                <c:pt idx="46">
                  <c:v>-151195.03715014458</c:v>
                </c:pt>
                <c:pt idx="47">
                  <c:v>13748882.528452128</c:v>
                </c:pt>
                <c:pt idx="48">
                  <c:v>-734136.61340266466</c:v>
                </c:pt>
                <c:pt idx="49">
                  <c:v>27022386.094221324</c:v>
                </c:pt>
                <c:pt idx="50">
                  <c:v>36216276.752242312</c:v>
                </c:pt>
                <c:pt idx="51">
                  <c:v>42975983.887584865</c:v>
                </c:pt>
                <c:pt idx="52">
                  <c:v>27593476.933637038</c:v>
                </c:pt>
                <c:pt idx="53">
                  <c:v>32704767.307623133</c:v>
                </c:pt>
                <c:pt idx="54">
                  <c:v>33809973.827379078</c:v>
                </c:pt>
                <c:pt idx="55">
                  <c:v>26331951.392953128</c:v>
                </c:pt>
                <c:pt idx="56">
                  <c:v>40668223.287010908</c:v>
                </c:pt>
                <c:pt idx="57">
                  <c:v>46243429.163948953</c:v>
                </c:pt>
                <c:pt idx="58">
                  <c:v>20408830.781259641</c:v>
                </c:pt>
                <c:pt idx="59">
                  <c:v>19422502.927722037</c:v>
                </c:pt>
                <c:pt idx="60">
                  <c:v>22222073.51374425</c:v>
                </c:pt>
                <c:pt idx="61">
                  <c:v>30285060.020679101</c:v>
                </c:pt>
                <c:pt idx="62">
                  <c:v>37393655.639198422</c:v>
                </c:pt>
                <c:pt idx="63">
                  <c:v>29816527.205944583</c:v>
                </c:pt>
                <c:pt idx="64">
                  <c:v>32199086.611736104</c:v>
                </c:pt>
                <c:pt idx="65">
                  <c:v>26824736.489726275</c:v>
                </c:pt>
                <c:pt idx="66">
                  <c:v>40990837.983338371</c:v>
                </c:pt>
                <c:pt idx="67">
                  <c:v>5958982.0375828445</c:v>
                </c:pt>
                <c:pt idx="68">
                  <c:v>39055255.841470063</c:v>
                </c:pt>
                <c:pt idx="69">
                  <c:v>6247330.1817761064</c:v>
                </c:pt>
                <c:pt idx="70">
                  <c:v>224751.66604912281</c:v>
                </c:pt>
                <c:pt idx="71">
                  <c:v>40094053.24489212</c:v>
                </c:pt>
                <c:pt idx="72">
                  <c:v>8176327.6656128168</c:v>
                </c:pt>
                <c:pt idx="73">
                  <c:v>14106664.820689589</c:v>
                </c:pt>
                <c:pt idx="74">
                  <c:v>45191391.269025624</c:v>
                </c:pt>
                <c:pt idx="75">
                  <c:v>64377819.091457307</c:v>
                </c:pt>
                <c:pt idx="76">
                  <c:v>104754386.75040089</c:v>
                </c:pt>
                <c:pt idx="77">
                  <c:v>37335462.719545349</c:v>
                </c:pt>
                <c:pt idx="78">
                  <c:v>23178053.876713946</c:v>
                </c:pt>
                <c:pt idx="79">
                  <c:v>48243262.93358463</c:v>
                </c:pt>
                <c:pt idx="80">
                  <c:v>145670778.04191357</c:v>
                </c:pt>
                <c:pt idx="81">
                  <c:v>103381509.28098261</c:v>
                </c:pt>
                <c:pt idx="82">
                  <c:v>119308979.08826838</c:v>
                </c:pt>
                <c:pt idx="83">
                  <c:v>84335297.391746446</c:v>
                </c:pt>
                <c:pt idx="84">
                  <c:v>100056078.26904494</c:v>
                </c:pt>
                <c:pt idx="85">
                  <c:v>96166743.205624163</c:v>
                </c:pt>
                <c:pt idx="86">
                  <c:v>81641987.423389137</c:v>
                </c:pt>
                <c:pt idx="87">
                  <c:v>74065731.640141815</c:v>
                </c:pt>
                <c:pt idx="88">
                  <c:v>151090091.8163884</c:v>
                </c:pt>
                <c:pt idx="89">
                  <c:v>-8062110.2273367941</c:v>
                </c:pt>
                <c:pt idx="90">
                  <c:v>56373123.631642729</c:v>
                </c:pt>
                <c:pt idx="91">
                  <c:v>74648161.38735038</c:v>
                </c:pt>
                <c:pt idx="92">
                  <c:v>75695691.615572631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8-4FF8-ACA5-BEF73006973A}"/>
            </c:ext>
          </c:extLst>
        </c:ser>
        <c:ser>
          <c:idx val="1"/>
          <c:order val="1"/>
          <c:tx>
            <c:strRef>
              <c:f>'Trade balance'!$E$2</c:f>
              <c:strCache>
                <c:ptCount val="1"/>
                <c:pt idx="0">
                  <c:v>Official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'Trade balance'!$A$4:$A$96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'Trade balance'!$E$4:$E$96</c:f>
              <c:numCache>
                <c:formatCode>General</c:formatCode>
                <c:ptCount val="93"/>
                <c:pt idx="0">
                  <c:v>-1190737.5999999978</c:v>
                </c:pt>
                <c:pt idx="1">
                  <c:v>-2787512</c:v>
                </c:pt>
                <c:pt idx="2">
                  <c:v>1252669.5</c:v>
                </c:pt>
                <c:pt idx="3">
                  <c:v>-4799157.799999997</c:v>
                </c:pt>
                <c:pt idx="4">
                  <c:v>-1501974.5</c:v>
                </c:pt>
                <c:pt idx="5">
                  <c:v>-2046886.3999999985</c:v>
                </c:pt>
                <c:pt idx="6">
                  <c:v>-1441253.5999999978</c:v>
                </c:pt>
                <c:pt idx="7">
                  <c:v>108424.79999999702</c:v>
                </c:pt>
                <c:pt idx="8">
                  <c:v>-1064778</c:v>
                </c:pt>
                <c:pt idx="9">
                  <c:v>-3137894.4000000004</c:v>
                </c:pt>
                <c:pt idx="10">
                  <c:v>-534611</c:v>
                </c:pt>
                <c:pt idx="11">
                  <c:v>-233169.60000000149</c:v>
                </c:pt>
                <c:pt idx="12">
                  <c:v>2010624</c:v>
                </c:pt>
                <c:pt idx="13">
                  <c:v>-1384502.6999999993</c:v>
                </c:pt>
                <c:pt idx="14">
                  <c:v>-1304596.1999999993</c:v>
                </c:pt>
                <c:pt idx="15">
                  <c:v>-4198276.9499999993</c:v>
                </c:pt>
                <c:pt idx="16">
                  <c:v>-6821793</c:v>
                </c:pt>
                <c:pt idx="17">
                  <c:v>-4419658.3500000015</c:v>
                </c:pt>
                <c:pt idx="18">
                  <c:v>-5296031.25</c:v>
                </c:pt>
                <c:pt idx="19">
                  <c:v>-8205492.3000000007</c:v>
                </c:pt>
                <c:pt idx="20">
                  <c:v>-10517444.399999999</c:v>
                </c:pt>
                <c:pt idx="21">
                  <c:v>-7709100.4000000022</c:v>
                </c:pt>
                <c:pt idx="22">
                  <c:v>-5525121.200000003</c:v>
                </c:pt>
                <c:pt idx="23">
                  <c:v>-5087896.5</c:v>
                </c:pt>
                <c:pt idx="24">
                  <c:v>-1717133.25</c:v>
                </c:pt>
                <c:pt idx="25">
                  <c:v>-520117.19999999925</c:v>
                </c:pt>
                <c:pt idx="26">
                  <c:v>2073145.5</c:v>
                </c:pt>
                <c:pt idx="27">
                  <c:v>4199081.2500000037</c:v>
                </c:pt>
                <c:pt idx="28">
                  <c:v>108312.75</c:v>
                </c:pt>
                <c:pt idx="29">
                  <c:v>-3750054</c:v>
                </c:pt>
                <c:pt idx="30">
                  <c:v>-10500896.25</c:v>
                </c:pt>
                <c:pt idx="31">
                  <c:v>-11629520.499999993</c:v>
                </c:pt>
                <c:pt idx="32">
                  <c:v>-6432213.1999999955</c:v>
                </c:pt>
                <c:pt idx="33">
                  <c:v>-1054641.6000000015</c:v>
                </c:pt>
                <c:pt idx="34">
                  <c:v>2018000.599999994</c:v>
                </c:pt>
                <c:pt idx="35">
                  <c:v>-2542810.200000003</c:v>
                </c:pt>
                <c:pt idx="36">
                  <c:v>-12228832.899999999</c:v>
                </c:pt>
                <c:pt idx="37">
                  <c:v>-14472921.25</c:v>
                </c:pt>
                <c:pt idx="38">
                  <c:v>-5351229.3999999985</c:v>
                </c:pt>
                <c:pt idx="39">
                  <c:v>-160026.89999999851</c:v>
                </c:pt>
                <c:pt idx="40">
                  <c:v>2490115.549999997</c:v>
                </c:pt>
                <c:pt idx="41">
                  <c:v>8830575.3000000045</c:v>
                </c:pt>
                <c:pt idx="42">
                  <c:v>7712811.650000006</c:v>
                </c:pt>
                <c:pt idx="43">
                  <c:v>4032192.950000003</c:v>
                </c:pt>
                <c:pt idx="44">
                  <c:v>7392757.849999994</c:v>
                </c:pt>
                <c:pt idx="45">
                  <c:v>8083783.1000000089</c:v>
                </c:pt>
                <c:pt idx="46">
                  <c:v>13342848.949999996</c:v>
                </c:pt>
                <c:pt idx="47">
                  <c:v>16315469.849999994</c:v>
                </c:pt>
                <c:pt idx="48">
                  <c:v>11655292.550000004</c:v>
                </c:pt>
                <c:pt idx="49">
                  <c:v>6721129.799999997</c:v>
                </c:pt>
                <c:pt idx="50">
                  <c:v>11051554.700000003</c:v>
                </c:pt>
                <c:pt idx="51">
                  <c:v>24052528</c:v>
                </c:pt>
                <c:pt idx="52">
                  <c:v>23972514.550000012</c:v>
                </c:pt>
                <c:pt idx="53">
                  <c:v>20386457.200000003</c:v>
                </c:pt>
                <c:pt idx="54">
                  <c:v>13808381.75</c:v>
                </c:pt>
                <c:pt idx="55">
                  <c:v>13013096.549999997</c:v>
                </c:pt>
                <c:pt idx="56">
                  <c:v>15527458.600000009</c:v>
                </c:pt>
                <c:pt idx="57">
                  <c:v>15061925.799999997</c:v>
                </c:pt>
                <c:pt idx="58">
                  <c:v>19928471</c:v>
                </c:pt>
                <c:pt idx="59">
                  <c:v>21933473.75</c:v>
                </c:pt>
                <c:pt idx="60">
                  <c:v>17475545.750000015</c:v>
                </c:pt>
                <c:pt idx="61">
                  <c:v>7579843.700000003</c:v>
                </c:pt>
                <c:pt idx="62">
                  <c:v>4611399</c:v>
                </c:pt>
                <c:pt idx="63">
                  <c:v>13175640.100000009</c:v>
                </c:pt>
                <c:pt idx="64">
                  <c:v>9534756</c:v>
                </c:pt>
                <c:pt idx="65">
                  <c:v>10174910.200000003</c:v>
                </c:pt>
                <c:pt idx="66">
                  <c:v>20396967.200000003</c:v>
                </c:pt>
                <c:pt idx="67">
                  <c:v>9691897</c:v>
                </c:pt>
                <c:pt idx="68">
                  <c:v>22152585.000000015</c:v>
                </c:pt>
                <c:pt idx="69">
                  <c:v>11485361.5</c:v>
                </c:pt>
                <c:pt idx="70">
                  <c:v>7636788.099999994</c:v>
                </c:pt>
                <c:pt idx="71">
                  <c:v>22182351.200000003</c:v>
                </c:pt>
                <c:pt idx="72">
                  <c:v>28171708.799999982</c:v>
                </c:pt>
                <c:pt idx="73">
                  <c:v>16318107.400000006</c:v>
                </c:pt>
                <c:pt idx="74">
                  <c:v>16493124.200000018</c:v>
                </c:pt>
                <c:pt idx="75">
                  <c:v>2206653.599999994</c:v>
                </c:pt>
                <c:pt idx="76">
                  <c:v>14069526.899999991</c:v>
                </c:pt>
                <c:pt idx="77">
                  <c:v>7189139.1000000089</c:v>
                </c:pt>
                <c:pt idx="78">
                  <c:v>14503851.599999994</c:v>
                </c:pt>
                <c:pt idx="79">
                  <c:v>57185560.799999997</c:v>
                </c:pt>
                <c:pt idx="80">
                  <c:v>93775111.500000015</c:v>
                </c:pt>
                <c:pt idx="81">
                  <c:v>64104460.200000018</c:v>
                </c:pt>
                <c:pt idx="82">
                  <c:v>61639792.5</c:v>
                </c:pt>
                <c:pt idx="83">
                  <c:v>65785614.000000015</c:v>
                </c:pt>
                <c:pt idx="84">
                  <c:v>72068207.599999994</c:v>
                </c:pt>
                <c:pt idx="85">
                  <c:v>96312634</c:v>
                </c:pt>
                <c:pt idx="86">
                  <c:v>66305477.099999994</c:v>
                </c:pt>
                <c:pt idx="87">
                  <c:v>42155558.400000006</c:v>
                </c:pt>
                <c:pt idx="88">
                  <c:v>129546046.49999997</c:v>
                </c:pt>
                <c:pt idx="89">
                  <c:v>74014859.99999997</c:v>
                </c:pt>
                <c:pt idx="90">
                  <c:v>68154859.100000024</c:v>
                </c:pt>
                <c:pt idx="91">
                  <c:v>54613739.200000048</c:v>
                </c:pt>
                <c:pt idx="92">
                  <c:v>-8341245.5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8-4FF8-ACA5-BEF73006973A}"/>
            </c:ext>
          </c:extLst>
        </c:ser>
        <c:ser>
          <c:idx val="2"/>
          <c:order val="2"/>
          <c:tx>
            <c:strRef>
              <c:f>'Trade balance'!$C$2</c:f>
              <c:strCache>
                <c:ptCount val="1"/>
                <c:pt idx="0">
                  <c:v>Estimate B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'Trade balance'!$C$4:$C$96</c:f>
              <c:numCache>
                <c:formatCode>0</c:formatCode>
                <c:ptCount val="93"/>
                <c:pt idx="0">
                  <c:v>-8145767.503321182</c:v>
                </c:pt>
                <c:pt idx="1">
                  <c:v>-3639794.2082953528</c:v>
                </c:pt>
                <c:pt idx="2">
                  <c:v>3052875.9205508232</c:v>
                </c:pt>
                <c:pt idx="3">
                  <c:v>-8545624.8850003704</c:v>
                </c:pt>
                <c:pt idx="4">
                  <c:v>-11247235.445141096</c:v>
                </c:pt>
                <c:pt idx="5">
                  <c:v>-16419690.328408025</c:v>
                </c:pt>
                <c:pt idx="6">
                  <c:v>-8908883.1849054769</c:v>
                </c:pt>
                <c:pt idx="7">
                  <c:v>-17896864.120426998</c:v>
                </c:pt>
                <c:pt idx="8">
                  <c:v>-11779075.815596379</c:v>
                </c:pt>
                <c:pt idx="9">
                  <c:v>-8841320.7276855372</c:v>
                </c:pt>
                <c:pt idx="10">
                  <c:v>4078634.5988586731</c:v>
                </c:pt>
                <c:pt idx="11">
                  <c:v>-692750.14014068618</c:v>
                </c:pt>
                <c:pt idx="12">
                  <c:v>-331263.89949467406</c:v>
                </c:pt>
                <c:pt idx="13">
                  <c:v>269847.95632736757</c:v>
                </c:pt>
                <c:pt idx="14">
                  <c:v>357954.83444490284</c:v>
                </c:pt>
                <c:pt idx="15">
                  <c:v>-6416230.3539635912</c:v>
                </c:pt>
                <c:pt idx="16">
                  <c:v>-6645457.5771516226</c:v>
                </c:pt>
                <c:pt idx="17">
                  <c:v>-3194897.4696794637</c:v>
                </c:pt>
                <c:pt idx="18">
                  <c:v>1226837.468255695</c:v>
                </c:pt>
                <c:pt idx="19">
                  <c:v>-355057.60958907753</c:v>
                </c:pt>
                <c:pt idx="20">
                  <c:v>2697458.7895962</c:v>
                </c:pt>
                <c:pt idx="21">
                  <c:v>4853059.1427704319</c:v>
                </c:pt>
                <c:pt idx="22">
                  <c:v>5498825.3521797918</c:v>
                </c:pt>
                <c:pt idx="23">
                  <c:v>1799168.8856515586</c:v>
                </c:pt>
                <c:pt idx="24">
                  <c:v>3125147.8279812969</c:v>
                </c:pt>
                <c:pt idx="25">
                  <c:v>-10791041.002879158</c:v>
                </c:pt>
                <c:pt idx="26">
                  <c:v>6728041.5650285035</c:v>
                </c:pt>
                <c:pt idx="27">
                  <c:v>10451680.066840667</c:v>
                </c:pt>
                <c:pt idx="28">
                  <c:v>6983345.4113907516</c:v>
                </c:pt>
                <c:pt idx="29">
                  <c:v>15092382.498986345</c:v>
                </c:pt>
                <c:pt idx="30">
                  <c:v>-3051737.261822477</c:v>
                </c:pt>
                <c:pt idx="31">
                  <c:v>1926827.0089591667</c:v>
                </c:pt>
                <c:pt idx="32">
                  <c:v>6030246.2746348903</c:v>
                </c:pt>
                <c:pt idx="33">
                  <c:v>7675810.8815894201</c:v>
                </c:pt>
                <c:pt idx="34">
                  <c:v>8708174.9082107395</c:v>
                </c:pt>
                <c:pt idx="35">
                  <c:v>1855397.5818170682</c:v>
                </c:pt>
                <c:pt idx="36">
                  <c:v>-10975139.661528185</c:v>
                </c:pt>
                <c:pt idx="37">
                  <c:v>-4381664.3960365206</c:v>
                </c:pt>
                <c:pt idx="38">
                  <c:v>-2835049.3480315879</c:v>
                </c:pt>
                <c:pt idx="39">
                  <c:v>1168541.2754579484</c:v>
                </c:pt>
                <c:pt idx="40">
                  <c:v>-2163456.680761233</c:v>
                </c:pt>
                <c:pt idx="41">
                  <c:v>6890372.2725367248</c:v>
                </c:pt>
                <c:pt idx="42">
                  <c:v>7505363.5762469247</c:v>
                </c:pt>
                <c:pt idx="43">
                  <c:v>-21010507.257415578</c:v>
                </c:pt>
                <c:pt idx="44">
                  <c:v>-5316272.8625935167</c:v>
                </c:pt>
                <c:pt idx="45">
                  <c:v>-39492877.187672839</c:v>
                </c:pt>
                <c:pt idx="46">
                  <c:v>-15949772.852664709</c:v>
                </c:pt>
                <c:pt idx="47">
                  <c:v>-3717029.7386311889</c:v>
                </c:pt>
                <c:pt idx="48">
                  <c:v>-18669097.569409087</c:v>
                </c:pt>
                <c:pt idx="49">
                  <c:v>9336370.7775057554</c:v>
                </c:pt>
                <c:pt idx="50">
                  <c:v>15761010.84976536</c:v>
                </c:pt>
                <c:pt idx="51">
                  <c:v>17802660.637257814</c:v>
                </c:pt>
                <c:pt idx="52">
                  <c:v>5204581.6278680116</c:v>
                </c:pt>
                <c:pt idx="53">
                  <c:v>9125263.0560131967</c:v>
                </c:pt>
                <c:pt idx="54">
                  <c:v>10490489.158085763</c:v>
                </c:pt>
                <c:pt idx="55">
                  <c:v>5445943.9469370693</c:v>
                </c:pt>
                <c:pt idx="56">
                  <c:v>16581048.106052965</c:v>
                </c:pt>
                <c:pt idx="57">
                  <c:v>21598149.753718585</c:v>
                </c:pt>
                <c:pt idx="58">
                  <c:v>-258884.20249120891</c:v>
                </c:pt>
                <c:pt idx="59">
                  <c:v>-1575143.4121098369</c:v>
                </c:pt>
                <c:pt idx="60">
                  <c:v>-309306.21474276483</c:v>
                </c:pt>
                <c:pt idx="61">
                  <c:v>5185446.9688429385</c:v>
                </c:pt>
                <c:pt idx="62">
                  <c:v>12385825.895372212</c:v>
                </c:pt>
                <c:pt idx="63">
                  <c:v>7296458.4619241208</c:v>
                </c:pt>
                <c:pt idx="64">
                  <c:v>12219145.01764439</c:v>
                </c:pt>
                <c:pt idx="65">
                  <c:v>6374255.8696834147</c:v>
                </c:pt>
                <c:pt idx="66">
                  <c:v>13674537.615156516</c:v>
                </c:pt>
                <c:pt idx="67">
                  <c:v>-18844014.988583431</c:v>
                </c:pt>
                <c:pt idx="68">
                  <c:v>8946300.159128502</c:v>
                </c:pt>
                <c:pt idx="69">
                  <c:v>-19464565.145826146</c:v>
                </c:pt>
                <c:pt idx="70">
                  <c:v>-26048167.087366611</c:v>
                </c:pt>
                <c:pt idx="71">
                  <c:v>60990170.254946321</c:v>
                </c:pt>
                <c:pt idx="72">
                  <c:v>25906889.037035197</c:v>
                </c:pt>
                <c:pt idx="73">
                  <c:v>32713589.814825147</c:v>
                </c:pt>
                <c:pt idx="74">
                  <c:v>68465615.961328745</c:v>
                </c:pt>
                <c:pt idx="75">
                  <c:v>88227578.174002737</c:v>
                </c:pt>
                <c:pt idx="76">
                  <c:v>131284290.05593283</c:v>
                </c:pt>
                <c:pt idx="77">
                  <c:v>54110147.476935372</c:v>
                </c:pt>
                <c:pt idx="78">
                  <c:v>39349236.520699844</c:v>
                </c:pt>
                <c:pt idx="79">
                  <c:v>66503891.075462013</c:v>
                </c:pt>
                <c:pt idx="80">
                  <c:v>144827200.36543894</c:v>
                </c:pt>
                <c:pt idx="81">
                  <c:v>102294800.76490092</c:v>
                </c:pt>
                <c:pt idx="82">
                  <c:v>117928605.45165731</c:v>
                </c:pt>
                <c:pt idx="83">
                  <c:v>82427251.327261701</c:v>
                </c:pt>
                <c:pt idx="84">
                  <c:v>98236588.833848268</c:v>
                </c:pt>
                <c:pt idx="85">
                  <c:v>94037061.344446719</c:v>
                </c:pt>
                <c:pt idx="86">
                  <c:v>79164422.290574431</c:v>
                </c:pt>
                <c:pt idx="87">
                  <c:v>71582962.449549556</c:v>
                </c:pt>
                <c:pt idx="88">
                  <c:v>148142734.75120959</c:v>
                </c:pt>
                <c:pt idx="89">
                  <c:v>-11645140.268472344</c:v>
                </c:pt>
                <c:pt idx="90">
                  <c:v>54026051.936369866</c:v>
                </c:pt>
                <c:pt idx="91">
                  <c:v>71738702.868937194</c:v>
                </c:pt>
                <c:pt idx="92">
                  <c:v>70780769.332527876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8-4FF8-ACA5-BEF73006973A}"/>
            </c:ext>
          </c:extLst>
        </c:ser>
        <c:ser>
          <c:idx val="3"/>
          <c:order val="3"/>
          <c:tx>
            <c:strRef>
              <c:f>'Trade balance'!$D$2</c:f>
              <c:strCache>
                <c:ptCount val="1"/>
                <c:pt idx="0">
                  <c:v>Estimate C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'Trade balance'!$D$4:$D$96</c:f>
              <c:numCache>
                <c:formatCode>0</c:formatCode>
                <c:ptCount val="93"/>
                <c:pt idx="0">
                  <c:v>-4999206.783988595</c:v>
                </c:pt>
                <c:pt idx="1">
                  <c:v>-125569.29155690968</c:v>
                </c:pt>
                <c:pt idx="2">
                  <c:v>7457776.2725298442</c:v>
                </c:pt>
                <c:pt idx="3">
                  <c:v>-4432850.2071828097</c:v>
                </c:pt>
                <c:pt idx="4">
                  <c:v>-7090755.6570471339</c:v>
                </c:pt>
                <c:pt idx="5">
                  <c:v>-13361071.804224156</c:v>
                </c:pt>
                <c:pt idx="6">
                  <c:v>-4743091.0337541178</c:v>
                </c:pt>
                <c:pt idx="7">
                  <c:v>-13671864.691243209</c:v>
                </c:pt>
                <c:pt idx="8">
                  <c:v>-7900605.9325095415</c:v>
                </c:pt>
                <c:pt idx="9">
                  <c:v>-4357296.4998887479</c:v>
                </c:pt>
                <c:pt idx="10">
                  <c:v>7995263.7694225088</c:v>
                </c:pt>
                <c:pt idx="11">
                  <c:v>4669703.3355970457</c:v>
                </c:pt>
                <c:pt idx="12">
                  <c:v>6286312.7544586994</c:v>
                </c:pt>
                <c:pt idx="13">
                  <c:v>6289096.8572685309</c:v>
                </c:pt>
                <c:pt idx="14">
                  <c:v>7653568.7862064764</c:v>
                </c:pt>
                <c:pt idx="15">
                  <c:v>3439990.9573639706</c:v>
                </c:pt>
                <c:pt idx="16">
                  <c:v>1948214.8173205405</c:v>
                </c:pt>
                <c:pt idx="17">
                  <c:v>5592808.0546488799</c:v>
                </c:pt>
                <c:pt idx="18">
                  <c:v>10792120.521679886</c:v>
                </c:pt>
                <c:pt idx="19">
                  <c:v>9867640.6484882161</c:v>
                </c:pt>
                <c:pt idx="20">
                  <c:v>12378729.452242486</c:v>
                </c:pt>
                <c:pt idx="21">
                  <c:v>13095950.122076564</c:v>
                </c:pt>
                <c:pt idx="22">
                  <c:v>13976515.351823989</c:v>
                </c:pt>
                <c:pt idx="23">
                  <c:v>10904239.198290765</c:v>
                </c:pt>
                <c:pt idx="24">
                  <c:v>13121928.077196341</c:v>
                </c:pt>
                <c:pt idx="25">
                  <c:v>-47412.972145184875</c:v>
                </c:pt>
                <c:pt idx="26">
                  <c:v>18124300.199246027</c:v>
                </c:pt>
                <c:pt idx="27">
                  <c:v>20441982.193970565</c:v>
                </c:pt>
                <c:pt idx="28">
                  <c:v>16868302.104190558</c:v>
                </c:pt>
                <c:pt idx="29">
                  <c:v>27973941.184124153</c:v>
                </c:pt>
                <c:pt idx="30">
                  <c:v>7831734.835814327</c:v>
                </c:pt>
                <c:pt idx="31">
                  <c:v>13107310.46311228</c:v>
                </c:pt>
                <c:pt idx="32">
                  <c:v>17398204.210615039</c:v>
                </c:pt>
                <c:pt idx="33">
                  <c:v>22701964.663818948</c:v>
                </c:pt>
                <c:pt idx="34">
                  <c:v>24795107.456176497</c:v>
                </c:pt>
                <c:pt idx="35">
                  <c:v>18567381.572753213</c:v>
                </c:pt>
                <c:pt idx="36">
                  <c:v>6002328.86082232</c:v>
                </c:pt>
                <c:pt idx="37">
                  <c:v>11306891.478822514</c:v>
                </c:pt>
                <c:pt idx="38">
                  <c:v>13844961.589274354</c:v>
                </c:pt>
                <c:pt idx="39">
                  <c:v>17725674.431455098</c:v>
                </c:pt>
                <c:pt idx="40">
                  <c:v>15561364.271011271</c:v>
                </c:pt>
                <c:pt idx="41">
                  <c:v>28226574.059041657</c:v>
                </c:pt>
                <c:pt idx="42">
                  <c:v>28034910.038027368</c:v>
                </c:pt>
                <c:pt idx="43">
                  <c:v>3561145.437267229</c:v>
                </c:pt>
                <c:pt idx="44">
                  <c:v>20011842.492704555</c:v>
                </c:pt>
                <c:pt idx="45">
                  <c:v>-14074672.00698784</c:v>
                </c:pt>
                <c:pt idx="46">
                  <c:v>9743514.8922158778</c:v>
                </c:pt>
                <c:pt idx="47">
                  <c:v>25328506.513964429</c:v>
                </c:pt>
                <c:pt idx="48">
                  <c:v>10720397.384350851</c:v>
                </c:pt>
                <c:pt idx="49">
                  <c:v>37802435.463489041</c:v>
                </c:pt>
                <c:pt idx="50">
                  <c:v>49078361.872738495</c:v>
                </c:pt>
                <c:pt idx="51">
                  <c:v>59441602.30596</c:v>
                </c:pt>
                <c:pt idx="52">
                  <c:v>41366393.234939113</c:v>
                </c:pt>
                <c:pt idx="53">
                  <c:v>46587477.142583832</c:v>
                </c:pt>
                <c:pt idx="54">
                  <c:v>47388123.644854039</c:v>
                </c:pt>
                <c:pt idx="55">
                  <c:v>37858043.601619467</c:v>
                </c:pt>
                <c:pt idx="56">
                  <c:v>52666203.265626907</c:v>
                </c:pt>
                <c:pt idx="57">
                  <c:v>59724267.751181722</c:v>
                </c:pt>
                <c:pt idx="58">
                  <c:v>31609636.050174117</c:v>
                </c:pt>
                <c:pt idx="59">
                  <c:v>31210104.18204616</c:v>
                </c:pt>
                <c:pt idx="60">
                  <c:v>36017205.03303577</c:v>
                </c:pt>
                <c:pt idx="61">
                  <c:v>43958916.058587164</c:v>
                </c:pt>
                <c:pt idx="62">
                  <c:v>49319951.569880337</c:v>
                </c:pt>
                <c:pt idx="63">
                  <c:v>40267979.002665594</c:v>
                </c:pt>
                <c:pt idx="64">
                  <c:v>43298421.672797099</c:v>
                </c:pt>
                <c:pt idx="65">
                  <c:v>37997822.42613098</c:v>
                </c:pt>
                <c:pt idx="66">
                  <c:v>53532165.807117045</c:v>
                </c:pt>
                <c:pt idx="67">
                  <c:v>15017623.061258897</c:v>
                </c:pt>
                <c:pt idx="68">
                  <c:v>51273094.248488188</c:v>
                </c:pt>
                <c:pt idx="69">
                  <c:v>18030445.106310964</c:v>
                </c:pt>
                <c:pt idx="70">
                  <c:v>11972913.823292285</c:v>
                </c:pt>
                <c:pt idx="71">
                  <c:v>64615648.313950628</c:v>
                </c:pt>
                <c:pt idx="72">
                  <c:v>28166919.839266956</c:v>
                </c:pt>
                <c:pt idx="73">
                  <c:v>35484047.395785242</c:v>
                </c:pt>
                <c:pt idx="74">
                  <c:v>71512116.84455514</c:v>
                </c:pt>
                <c:pt idx="75">
                  <c:v>90784275.456717521</c:v>
                </c:pt>
                <c:pt idx="76">
                  <c:v>136029896.07686526</c:v>
                </c:pt>
                <c:pt idx="77">
                  <c:v>58706833.061695561</c:v>
                </c:pt>
                <c:pt idx="78">
                  <c:v>45514556.852321342</c:v>
                </c:pt>
                <c:pt idx="79">
                  <c:v>69651665.574484974</c:v>
                </c:pt>
                <c:pt idx="80">
                  <c:v>152500791.61929911</c:v>
                </c:pt>
                <c:pt idx="81">
                  <c:v>109687910.24640757</c:v>
                </c:pt>
                <c:pt idx="82">
                  <c:v>125595048.71312208</c:v>
                </c:pt>
                <c:pt idx="83">
                  <c:v>89065945.25885053</c:v>
                </c:pt>
                <c:pt idx="84">
                  <c:v>108594298.01472813</c:v>
                </c:pt>
                <c:pt idx="85">
                  <c:v>104679453.03141785</c:v>
                </c:pt>
                <c:pt idx="86">
                  <c:v>83172410.505859733</c:v>
                </c:pt>
                <c:pt idx="87">
                  <c:v>88334407.949027747</c:v>
                </c:pt>
                <c:pt idx="88">
                  <c:v>167128552.9228839</c:v>
                </c:pt>
                <c:pt idx="89">
                  <c:v>-6042.7229822576046</c:v>
                </c:pt>
                <c:pt idx="90">
                  <c:v>64483971.806336075</c:v>
                </c:pt>
                <c:pt idx="91">
                  <c:v>82540352.812732041</c:v>
                </c:pt>
                <c:pt idx="92">
                  <c:v>82673719.348981738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58-4FF8-ACA5-BEF730069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885480"/>
        <c:axId val="556883520"/>
      </c:lineChart>
      <c:catAx>
        <c:axId val="55688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6883520"/>
        <c:crosses val="autoZero"/>
        <c:auto val="1"/>
        <c:lblAlgn val="ctr"/>
        <c:lblOffset val="100"/>
        <c:noMultiLvlLbl val="0"/>
      </c:catAx>
      <c:valAx>
        <c:axId val="5568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68854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05555555555556E-2"/>
                <c:y val="0.287037037037036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AU">
                      <a:latin typeface="Times New Roman" panose="02020603050405020304" pitchFamily="18" charset="0"/>
                      <a:cs typeface="Times New Roman" panose="02020603050405020304" pitchFamily="18" charset="0"/>
                    </a:rPr>
                    <a:t>US Dollars, 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Dollars!$B$1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'Trade balance'!$A$4:$A$96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Dollars!$B$4:$B$96</c:f>
              <c:numCache>
                <c:formatCode>0</c:formatCode>
                <c:ptCount val="93"/>
                <c:pt idx="0">
                  <c:v>19244822.723286197</c:v>
                </c:pt>
                <c:pt idx="1">
                  <c:v>21888195.813010186</c:v>
                </c:pt>
                <c:pt idx="2">
                  <c:v>25554646.553870283</c:v>
                </c:pt>
                <c:pt idx="3">
                  <c:v>23151114.96320729</c:v>
                </c:pt>
                <c:pt idx="4">
                  <c:v>24395220.108862225</c:v>
                </c:pt>
                <c:pt idx="5">
                  <c:v>18029160.813164443</c:v>
                </c:pt>
                <c:pt idx="6">
                  <c:v>22780474.315248564</c:v>
                </c:pt>
                <c:pt idx="7">
                  <c:v>25409773.452527791</c:v>
                </c:pt>
                <c:pt idx="8">
                  <c:v>21349143.167538192</c:v>
                </c:pt>
                <c:pt idx="9">
                  <c:v>22268081.369319148</c:v>
                </c:pt>
                <c:pt idx="10">
                  <c:v>23568060.971311565</c:v>
                </c:pt>
                <c:pt idx="11">
                  <c:v>29282125.853266146</c:v>
                </c:pt>
                <c:pt idx="12">
                  <c:v>38865820.939925671</c:v>
                </c:pt>
                <c:pt idx="13">
                  <c:v>35075759.844758041</c:v>
                </c:pt>
                <c:pt idx="14">
                  <c:v>43094279.02257511</c:v>
                </c:pt>
                <c:pt idx="15">
                  <c:v>44128363.509369887</c:v>
                </c:pt>
                <c:pt idx="16">
                  <c:v>36136154.233219363</c:v>
                </c:pt>
                <c:pt idx="17">
                  <c:v>36333426.556451969</c:v>
                </c:pt>
                <c:pt idx="18">
                  <c:v>40396898.827995695</c:v>
                </c:pt>
                <c:pt idx="19">
                  <c:v>43602859.272894815</c:v>
                </c:pt>
                <c:pt idx="20">
                  <c:v>41604383.330835767</c:v>
                </c:pt>
                <c:pt idx="21">
                  <c:v>36299815.603240773</c:v>
                </c:pt>
                <c:pt idx="22">
                  <c:v>37550532.067897774</c:v>
                </c:pt>
                <c:pt idx="23">
                  <c:v>40422031.086392611</c:v>
                </c:pt>
                <c:pt idx="24">
                  <c:v>43574047.871527523</c:v>
                </c:pt>
                <c:pt idx="25">
                  <c:v>44385554.983270861</c:v>
                </c:pt>
                <c:pt idx="26">
                  <c:v>46699765.574732006</c:v>
                </c:pt>
                <c:pt idx="27">
                  <c:v>40760823.841432042</c:v>
                </c:pt>
                <c:pt idx="28">
                  <c:v>41473164.372980788</c:v>
                </c:pt>
                <c:pt idx="29">
                  <c:v>52725280.497797877</c:v>
                </c:pt>
                <c:pt idx="30">
                  <c:v>49907272.122842431</c:v>
                </c:pt>
                <c:pt idx="31">
                  <c:v>52053145.228308663</c:v>
                </c:pt>
                <c:pt idx="32">
                  <c:v>58014362.154141948</c:v>
                </c:pt>
                <c:pt idx="33">
                  <c:v>60188857.34423431</c:v>
                </c:pt>
                <c:pt idx="34">
                  <c:v>65383662.20297841</c:v>
                </c:pt>
                <c:pt idx="35">
                  <c:v>69851078.206171826</c:v>
                </c:pt>
                <c:pt idx="36">
                  <c:v>73430638.018400118</c:v>
                </c:pt>
                <c:pt idx="37">
                  <c:v>59732118.11914964</c:v>
                </c:pt>
                <c:pt idx="38">
                  <c:v>68744936.683135957</c:v>
                </c:pt>
                <c:pt idx="39">
                  <c:v>75613165.698533356</c:v>
                </c:pt>
                <c:pt idx="40">
                  <c:v>74113334.409293994</c:v>
                </c:pt>
                <c:pt idx="41">
                  <c:v>81203290.304191485</c:v>
                </c:pt>
                <c:pt idx="42">
                  <c:v>80783002.905758068</c:v>
                </c:pt>
                <c:pt idx="43">
                  <c:v>94094966.421711698</c:v>
                </c:pt>
                <c:pt idx="44">
                  <c:v>95153219.640804246</c:v>
                </c:pt>
                <c:pt idx="45">
                  <c:v>96563110.946912125</c:v>
                </c:pt>
                <c:pt idx="46">
                  <c:v>94645239.296489045</c:v>
                </c:pt>
                <c:pt idx="47">
                  <c:v>99983735.404607639</c:v>
                </c:pt>
                <c:pt idx="48">
                  <c:v>97579685.655255109</c:v>
                </c:pt>
                <c:pt idx="49">
                  <c:v>96631850.220350429</c:v>
                </c:pt>
                <c:pt idx="50">
                  <c:v>111636989.41568923</c:v>
                </c:pt>
                <c:pt idx="51">
                  <c:v>134165422.2618888</c:v>
                </c:pt>
                <c:pt idx="52">
                  <c:v>122741048.02657917</c:v>
                </c:pt>
                <c:pt idx="53">
                  <c:v>129184326.18728504</c:v>
                </c:pt>
                <c:pt idx="54">
                  <c:v>127343949.73754287</c:v>
                </c:pt>
                <c:pt idx="55">
                  <c:v>114313724.00522608</c:v>
                </c:pt>
                <c:pt idx="56">
                  <c:v>133210068.25645557</c:v>
                </c:pt>
                <c:pt idx="57">
                  <c:v>138132262.61656502</c:v>
                </c:pt>
                <c:pt idx="58">
                  <c:v>111144192.67642106</c:v>
                </c:pt>
                <c:pt idx="59">
                  <c:v>115529813.79447903</c:v>
                </c:pt>
                <c:pt idx="60">
                  <c:v>119597055.38715914</c:v>
                </c:pt>
                <c:pt idx="61">
                  <c:v>129785119.02807565</c:v>
                </c:pt>
                <c:pt idx="62">
                  <c:v>133055081.99394238</c:v>
                </c:pt>
                <c:pt idx="63">
                  <c:v>122748131.6755456</c:v>
                </c:pt>
                <c:pt idx="64">
                  <c:v>113884179.77568619</c:v>
                </c:pt>
                <c:pt idx="65">
                  <c:v>115887972.23992456</c:v>
                </c:pt>
                <c:pt idx="66">
                  <c:v>132846022.23419331</c:v>
                </c:pt>
                <c:pt idx="67">
                  <c:v>108046149.97230811</c:v>
                </c:pt>
                <c:pt idx="68">
                  <c:v>161467663.48287573</c:v>
                </c:pt>
                <c:pt idx="69">
                  <c:v>145382015.07459083</c:v>
                </c:pt>
                <c:pt idx="70">
                  <c:v>159584757.68832287</c:v>
                </c:pt>
                <c:pt idx="71">
                  <c:v>188278774.73808926</c:v>
                </c:pt>
                <c:pt idx="72">
                  <c:v>157773686.45615235</c:v>
                </c:pt>
                <c:pt idx="73">
                  <c:v>161964924.02851507</c:v>
                </c:pt>
                <c:pt idx="74">
                  <c:v>199993908.58326548</c:v>
                </c:pt>
                <c:pt idx="75">
                  <c:v>209978936.78665078</c:v>
                </c:pt>
                <c:pt idx="76">
                  <c:v>226645721.03076661</c:v>
                </c:pt>
                <c:pt idx="77">
                  <c:v>160121057.82995453</c:v>
                </c:pt>
                <c:pt idx="78">
                  <c:v>140644236.59683442</c:v>
                </c:pt>
                <c:pt idx="79">
                  <c:v>157615458.52147034</c:v>
                </c:pt>
                <c:pt idx="80">
                  <c:v>238037077.28243282</c:v>
                </c:pt>
                <c:pt idx="81">
                  <c:v>208858780.79171082</c:v>
                </c:pt>
                <c:pt idx="82">
                  <c:v>229509766.33774015</c:v>
                </c:pt>
                <c:pt idx="83">
                  <c:v>202430268.80883858</c:v>
                </c:pt>
                <c:pt idx="84">
                  <c:v>238210721.85323519</c:v>
                </c:pt>
                <c:pt idx="85">
                  <c:v>256435010.87170479</c:v>
                </c:pt>
                <c:pt idx="86">
                  <c:v>265738070.84755108</c:v>
                </c:pt>
                <c:pt idx="87">
                  <c:v>234493746.5021573</c:v>
                </c:pt>
                <c:pt idx="88">
                  <c:v>313186941.05595118</c:v>
                </c:pt>
                <c:pt idx="89">
                  <c:v>248945835.21508411</c:v>
                </c:pt>
                <c:pt idx="90">
                  <c:v>294530968.26550025</c:v>
                </c:pt>
                <c:pt idx="91">
                  <c:v>362134799.19635904</c:v>
                </c:pt>
                <c:pt idx="92">
                  <c:v>362477061.38883948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4-406B-8C39-0258D6A53398}"/>
            </c:ext>
          </c:extLst>
        </c:ser>
        <c:ser>
          <c:idx val="1"/>
          <c:order val="1"/>
          <c:tx>
            <c:strRef>
              <c:f>Dollars!$F$1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'Trade balance'!$A$4:$A$96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Dollars!$F$4:$F$96</c:f>
              <c:numCache>
                <c:formatCode>0</c:formatCode>
                <c:ptCount val="93"/>
                <c:pt idx="0">
                  <c:v>24863475.552661937</c:v>
                </c:pt>
                <c:pt idx="1">
                  <c:v>22713280.128767394</c:v>
                </c:pt>
                <c:pt idx="2">
                  <c:v>18497946.098334461</c:v>
                </c:pt>
                <c:pt idx="3">
                  <c:v>28524294.270665985</c:v>
                </c:pt>
                <c:pt idx="4">
                  <c:v>32401892.096279223</c:v>
                </c:pt>
                <c:pt idx="5">
                  <c:v>32228485.943082262</c:v>
                </c:pt>
                <c:pt idx="6">
                  <c:v>28496209.260835115</c:v>
                </c:pt>
                <c:pt idx="7">
                  <c:v>39495794.207635827</c:v>
                </c:pt>
                <c:pt idx="8">
                  <c:v>30163286.760210402</c:v>
                </c:pt>
                <c:pt idx="9">
                  <c:v>27408875.857115474</c:v>
                </c:pt>
                <c:pt idx="10">
                  <c:v>15985624.836405966</c:v>
                </c:pt>
                <c:pt idx="11">
                  <c:v>25439200.932345301</c:v>
                </c:pt>
                <c:pt idx="12">
                  <c:v>33531760.797295097</c:v>
                </c:pt>
                <c:pt idx="13">
                  <c:v>29720562.943938624</c:v>
                </c:pt>
                <c:pt idx="14">
                  <c:v>36432384.644015439</c:v>
                </c:pt>
                <c:pt idx="15">
                  <c:v>43574456.353637114</c:v>
                </c:pt>
                <c:pt idx="16">
                  <c:v>36168301.600900225</c:v>
                </c:pt>
                <c:pt idx="17">
                  <c:v>32608832.086157616</c:v>
                </c:pt>
                <c:pt idx="18">
                  <c:v>32296452.301138878</c:v>
                </c:pt>
                <c:pt idx="19">
                  <c:v>36206708.099580936</c:v>
                </c:pt>
                <c:pt idx="20">
                  <c:v>31711676.909995593</c:v>
                </c:pt>
                <c:pt idx="21">
                  <c:v>25466820.280983537</c:v>
                </c:pt>
                <c:pt idx="22">
                  <c:v>26229815.097931709</c:v>
                </c:pt>
                <c:pt idx="23">
                  <c:v>31804661.97042831</c:v>
                </c:pt>
                <c:pt idx="24">
                  <c:v>33439479.774197336</c:v>
                </c:pt>
                <c:pt idx="25">
                  <c:v>49589234.213300459</c:v>
                </c:pt>
                <c:pt idx="26">
                  <c:v>32883459.238994241</c:v>
                </c:pt>
                <c:pt idx="27">
                  <c:v>25503323.806373689</c:v>
                </c:pt>
                <c:pt idx="28">
                  <c:v>28874464.389926344</c:v>
                </c:pt>
                <c:pt idx="29">
                  <c:v>31920604.624106053</c:v>
                </c:pt>
                <c:pt idx="30">
                  <c:v>45856291.040062033</c:v>
                </c:pt>
                <c:pt idx="31">
                  <c:v>43109878.663094454</c:v>
                </c:pt>
                <c:pt idx="32">
                  <c:v>44457373.204421565</c:v>
                </c:pt>
                <c:pt idx="33">
                  <c:v>42903604.283641547</c:v>
                </c:pt>
                <c:pt idx="34">
                  <c:v>48841080.478170238</c:v>
                </c:pt>
                <c:pt idx="35">
                  <c:v>58581601.751998611</c:v>
                </c:pt>
                <c:pt idx="36">
                  <c:v>75144900.538674176</c:v>
                </c:pt>
                <c:pt idx="37">
                  <c:v>56027236.620585203</c:v>
                </c:pt>
                <c:pt idx="38">
                  <c:v>61510407.976764224</c:v>
                </c:pt>
                <c:pt idx="39">
                  <c:v>64682544.462269537</c:v>
                </c:pt>
                <c:pt idx="40">
                  <c:v>66620423.3218446</c:v>
                </c:pt>
                <c:pt idx="41">
                  <c:v>59768527.835943528</c:v>
                </c:pt>
                <c:pt idx="42">
                  <c:v>59212180.312325619</c:v>
                </c:pt>
                <c:pt idx="43">
                  <c:v>98608451.375267282</c:v>
                </c:pt>
                <c:pt idx="44">
                  <c:v>83868380.644417956</c:v>
                </c:pt>
                <c:pt idx="45">
                  <c:v>119159488.77781518</c:v>
                </c:pt>
                <c:pt idx="46">
                  <c:v>94796434.33363919</c:v>
                </c:pt>
                <c:pt idx="47">
                  <c:v>86234852.876155511</c:v>
                </c:pt>
                <c:pt idx="48">
                  <c:v>98313822.268657774</c:v>
                </c:pt>
                <c:pt idx="49">
                  <c:v>69609464.126129106</c:v>
                </c:pt>
                <c:pt idx="50">
                  <c:v>75420712.663446918</c:v>
                </c:pt>
                <c:pt idx="51">
                  <c:v>91189438.374303937</c:v>
                </c:pt>
                <c:pt idx="52">
                  <c:v>95147571.092942134</c:v>
                </c:pt>
                <c:pt idx="53">
                  <c:v>96479558.879661903</c:v>
                </c:pt>
                <c:pt idx="54">
                  <c:v>93533975.91016379</c:v>
                </c:pt>
                <c:pt idx="55">
                  <c:v>87981772.612272948</c:v>
                </c:pt>
                <c:pt idx="56">
                  <c:v>92541844.969444662</c:v>
                </c:pt>
                <c:pt idx="57">
                  <c:v>91888833.452616066</c:v>
                </c:pt>
                <c:pt idx="58">
                  <c:v>90735361.89516142</c:v>
                </c:pt>
                <c:pt idx="59">
                  <c:v>96107310.866756991</c:v>
                </c:pt>
                <c:pt idx="60">
                  <c:v>97374981.873414889</c:v>
                </c:pt>
                <c:pt idx="61">
                  <c:v>99500059.007396549</c:v>
                </c:pt>
                <c:pt idx="62">
                  <c:v>95661426.354743958</c:v>
                </c:pt>
                <c:pt idx="63">
                  <c:v>92931604.46960102</c:v>
                </c:pt>
                <c:pt idx="64">
                  <c:v>81685093.163950086</c:v>
                </c:pt>
                <c:pt idx="65">
                  <c:v>89063235.75019829</c:v>
                </c:pt>
                <c:pt idx="66">
                  <c:v>91855184.250854939</c:v>
                </c:pt>
                <c:pt idx="67">
                  <c:v>102087167.93472527</c:v>
                </c:pt>
                <c:pt idx="68">
                  <c:v>122412407.64140567</c:v>
                </c:pt>
                <c:pt idx="69">
                  <c:v>139134684.89281473</c:v>
                </c:pt>
                <c:pt idx="70">
                  <c:v>159360006.02227375</c:v>
                </c:pt>
                <c:pt idx="71">
                  <c:v>148184721.49319714</c:v>
                </c:pt>
                <c:pt idx="72">
                  <c:v>149597358.79053953</c:v>
                </c:pt>
                <c:pt idx="73">
                  <c:v>147858259.20782548</c:v>
                </c:pt>
                <c:pt idx="74">
                  <c:v>154802517.31423986</c:v>
                </c:pt>
                <c:pt idx="75">
                  <c:v>145601117.69519347</c:v>
                </c:pt>
                <c:pt idx="76">
                  <c:v>121891334.28036572</c:v>
                </c:pt>
                <c:pt idx="77">
                  <c:v>122785595.11040919</c:v>
                </c:pt>
                <c:pt idx="78">
                  <c:v>117466182.72012047</c:v>
                </c:pt>
                <c:pt idx="79">
                  <c:v>109372195.58788571</c:v>
                </c:pt>
                <c:pt idx="80">
                  <c:v>92366299.24051927</c:v>
                </c:pt>
                <c:pt idx="81">
                  <c:v>105477271.51072821</c:v>
                </c:pt>
                <c:pt idx="82">
                  <c:v>110200787.24947177</c:v>
                </c:pt>
                <c:pt idx="83">
                  <c:v>118094971.41709213</c:v>
                </c:pt>
                <c:pt idx="84">
                  <c:v>138154643.58419025</c:v>
                </c:pt>
                <c:pt idx="85">
                  <c:v>160268267.66608062</c:v>
                </c:pt>
                <c:pt idx="86">
                  <c:v>184096083.42416194</c:v>
                </c:pt>
                <c:pt idx="87">
                  <c:v>160428014.86201549</c:v>
                </c:pt>
                <c:pt idx="88">
                  <c:v>162096849.23956278</c:v>
                </c:pt>
                <c:pt idx="89">
                  <c:v>257007945.4424209</c:v>
                </c:pt>
                <c:pt idx="90">
                  <c:v>238157844.63385752</c:v>
                </c:pt>
                <c:pt idx="91">
                  <c:v>287486637.80900866</c:v>
                </c:pt>
                <c:pt idx="92">
                  <c:v>286781369.77326685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4-406B-8C39-0258D6A53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884696"/>
        <c:axId val="556880776"/>
      </c:lineChart>
      <c:catAx>
        <c:axId val="55688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880776"/>
        <c:crosses val="autoZero"/>
        <c:auto val="1"/>
        <c:lblAlgn val="ctr"/>
        <c:lblOffset val="100"/>
        <c:noMultiLvlLbl val="0"/>
      </c:catAx>
      <c:valAx>
        <c:axId val="55688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88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'Price indices'!$B$4</c:f>
              <c:strCache>
                <c:ptCount val="1"/>
                <c:pt idx="0">
                  <c:v>New index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'Price indices'!$A$6:$A$98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'Price indices'!$B$6:$B$98</c:f>
              <c:numCache>
                <c:formatCode>General</c:formatCode>
                <c:ptCount val="93"/>
                <c:pt idx="0">
                  <c:v>155</c:v>
                </c:pt>
                <c:pt idx="1">
                  <c:v>149</c:v>
                </c:pt>
                <c:pt idx="2">
                  <c:v>159</c:v>
                </c:pt>
                <c:pt idx="3">
                  <c:v>127</c:v>
                </c:pt>
                <c:pt idx="4">
                  <c:v>140</c:v>
                </c:pt>
                <c:pt idx="5">
                  <c:v>112.00000000000001</c:v>
                </c:pt>
                <c:pt idx="6">
                  <c:v>113.99999999999999</c:v>
                </c:pt>
                <c:pt idx="7">
                  <c:v>112.00000000000001</c:v>
                </c:pt>
                <c:pt idx="8">
                  <c:v>99</c:v>
                </c:pt>
                <c:pt idx="9">
                  <c:v>96</c:v>
                </c:pt>
                <c:pt idx="10">
                  <c:v>93</c:v>
                </c:pt>
                <c:pt idx="11">
                  <c:v>103</c:v>
                </c:pt>
                <c:pt idx="12">
                  <c:v>108</c:v>
                </c:pt>
                <c:pt idx="13">
                  <c:v>106</c:v>
                </c:pt>
                <c:pt idx="14">
                  <c:v>112.00000000000001</c:v>
                </c:pt>
                <c:pt idx="15">
                  <c:v>114.99999999999999</c:v>
                </c:pt>
                <c:pt idx="16">
                  <c:v>95</c:v>
                </c:pt>
                <c:pt idx="17">
                  <c:v>96</c:v>
                </c:pt>
                <c:pt idx="18">
                  <c:v>98</c:v>
                </c:pt>
                <c:pt idx="19">
                  <c:v>102</c:v>
                </c:pt>
                <c:pt idx="20">
                  <c:v>97</c:v>
                </c:pt>
                <c:pt idx="21">
                  <c:v>85</c:v>
                </c:pt>
                <c:pt idx="22">
                  <c:v>80</c:v>
                </c:pt>
                <c:pt idx="23">
                  <c:v>78</c:v>
                </c:pt>
                <c:pt idx="24">
                  <c:v>79</c:v>
                </c:pt>
                <c:pt idx="25">
                  <c:v>74</c:v>
                </c:pt>
                <c:pt idx="26">
                  <c:v>69</c:v>
                </c:pt>
                <c:pt idx="27">
                  <c:v>57.999999999999993</c:v>
                </c:pt>
                <c:pt idx="28">
                  <c:v>69</c:v>
                </c:pt>
                <c:pt idx="29">
                  <c:v>81</c:v>
                </c:pt>
                <c:pt idx="30">
                  <c:v>67</c:v>
                </c:pt>
                <c:pt idx="31">
                  <c:v>68</c:v>
                </c:pt>
                <c:pt idx="32">
                  <c:v>76</c:v>
                </c:pt>
                <c:pt idx="33">
                  <c:v>76</c:v>
                </c:pt>
                <c:pt idx="34">
                  <c:v>76</c:v>
                </c:pt>
                <c:pt idx="35">
                  <c:v>81</c:v>
                </c:pt>
                <c:pt idx="36">
                  <c:v>91</c:v>
                </c:pt>
                <c:pt idx="37">
                  <c:v>76</c:v>
                </c:pt>
                <c:pt idx="38">
                  <c:v>87</c:v>
                </c:pt>
                <c:pt idx="39">
                  <c:v>95</c:v>
                </c:pt>
                <c:pt idx="40">
                  <c:v>87</c:v>
                </c:pt>
                <c:pt idx="41">
                  <c:v>103</c:v>
                </c:pt>
                <c:pt idx="42">
                  <c:v>110.00000000000001</c:v>
                </c:pt>
                <c:pt idx="43">
                  <c:v>118</c:v>
                </c:pt>
                <c:pt idx="44">
                  <c:v>105</c:v>
                </c:pt>
                <c:pt idx="45">
                  <c:v>97</c:v>
                </c:pt>
                <c:pt idx="46">
                  <c:v>86</c:v>
                </c:pt>
                <c:pt idx="47">
                  <c:v>84</c:v>
                </c:pt>
                <c:pt idx="48">
                  <c:v>86</c:v>
                </c:pt>
                <c:pt idx="49">
                  <c:v>87</c:v>
                </c:pt>
                <c:pt idx="50">
                  <c:v>88</c:v>
                </c:pt>
                <c:pt idx="51">
                  <c:v>106</c:v>
                </c:pt>
                <c:pt idx="52">
                  <c:v>113.99999999999999</c:v>
                </c:pt>
                <c:pt idx="53">
                  <c:v>118</c:v>
                </c:pt>
                <c:pt idx="54">
                  <c:v>114.99999999999999</c:v>
                </c:pt>
                <c:pt idx="55">
                  <c:v>108</c:v>
                </c:pt>
                <c:pt idx="56">
                  <c:v>114.99999999999999</c:v>
                </c:pt>
                <c:pt idx="57">
                  <c:v>109.00000000000001</c:v>
                </c:pt>
                <c:pt idx="58">
                  <c:v>97</c:v>
                </c:pt>
                <c:pt idx="59">
                  <c:v>107</c:v>
                </c:pt>
                <c:pt idx="60">
                  <c:v>94</c:v>
                </c:pt>
                <c:pt idx="61">
                  <c:v>88</c:v>
                </c:pt>
                <c:pt idx="62">
                  <c:v>87</c:v>
                </c:pt>
                <c:pt idx="63">
                  <c:v>79</c:v>
                </c:pt>
                <c:pt idx="64">
                  <c:v>75</c:v>
                </c:pt>
                <c:pt idx="65">
                  <c:v>79</c:v>
                </c:pt>
                <c:pt idx="66">
                  <c:v>95</c:v>
                </c:pt>
                <c:pt idx="67">
                  <c:v>88</c:v>
                </c:pt>
                <c:pt idx="68">
                  <c:v>105</c:v>
                </c:pt>
                <c:pt idx="69">
                  <c:v>103</c:v>
                </c:pt>
                <c:pt idx="70">
                  <c:v>103</c:v>
                </c:pt>
                <c:pt idx="71">
                  <c:v>100</c:v>
                </c:pt>
                <c:pt idx="72">
                  <c:v>104</c:v>
                </c:pt>
                <c:pt idx="73">
                  <c:v>100</c:v>
                </c:pt>
                <c:pt idx="74">
                  <c:v>101</c:v>
                </c:pt>
                <c:pt idx="75">
                  <c:v>108</c:v>
                </c:pt>
                <c:pt idx="76">
                  <c:v>86</c:v>
                </c:pt>
                <c:pt idx="77">
                  <c:v>60</c:v>
                </c:pt>
                <c:pt idx="78">
                  <c:v>56.000000000000007</c:v>
                </c:pt>
                <c:pt idx="79">
                  <c:v>65</c:v>
                </c:pt>
                <c:pt idx="80">
                  <c:v>64</c:v>
                </c:pt>
                <c:pt idx="81">
                  <c:v>59</c:v>
                </c:pt>
                <c:pt idx="82">
                  <c:v>66</c:v>
                </c:pt>
                <c:pt idx="83">
                  <c:v>74</c:v>
                </c:pt>
                <c:pt idx="84">
                  <c:v>78</c:v>
                </c:pt>
                <c:pt idx="85">
                  <c:v>71</c:v>
                </c:pt>
                <c:pt idx="86">
                  <c:v>72</c:v>
                </c:pt>
                <c:pt idx="87">
                  <c:v>69</c:v>
                </c:pt>
                <c:pt idx="88">
                  <c:v>77</c:v>
                </c:pt>
                <c:pt idx="89">
                  <c:v>90</c:v>
                </c:pt>
                <c:pt idx="90">
                  <c:v>100</c:v>
                </c:pt>
                <c:pt idx="91">
                  <c:v>111.00000000000001</c:v>
                </c:pt>
                <c:pt idx="9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D-40A6-BA09-E16947275B6F}"/>
            </c:ext>
          </c:extLst>
        </c:ser>
        <c:ser>
          <c:idx val="1"/>
          <c:order val="1"/>
          <c:tx>
            <c:strRef>
              <c:f>'Price indices'!$C$4</c:f>
              <c:strCache>
                <c:ptCount val="1"/>
                <c:pt idx="0">
                  <c:v>Gonçalves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'Price indices'!$A$6:$A$98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'Price indices'!$C$6:$C$98</c:f>
              <c:numCache>
                <c:formatCode>General</c:formatCode>
                <c:ptCount val="93"/>
                <c:pt idx="29">
                  <c:v>71</c:v>
                </c:pt>
                <c:pt idx="30">
                  <c:v>73</c:v>
                </c:pt>
                <c:pt idx="31">
                  <c:v>76</c:v>
                </c:pt>
                <c:pt idx="32">
                  <c:v>71</c:v>
                </c:pt>
                <c:pt idx="33">
                  <c:v>87</c:v>
                </c:pt>
                <c:pt idx="34">
                  <c:v>80</c:v>
                </c:pt>
                <c:pt idx="35">
                  <c:v>91</c:v>
                </c:pt>
                <c:pt idx="36">
                  <c:v>103</c:v>
                </c:pt>
                <c:pt idx="37">
                  <c:v>102</c:v>
                </c:pt>
                <c:pt idx="38">
                  <c:v>89</c:v>
                </c:pt>
                <c:pt idx="39">
                  <c:v>108</c:v>
                </c:pt>
                <c:pt idx="40">
                  <c:v>104</c:v>
                </c:pt>
                <c:pt idx="41">
                  <c:v>105</c:v>
                </c:pt>
                <c:pt idx="42">
                  <c:v>113.99999999999999</c:v>
                </c:pt>
                <c:pt idx="43">
                  <c:v>136</c:v>
                </c:pt>
                <c:pt idx="44">
                  <c:v>115.99999999999999</c:v>
                </c:pt>
                <c:pt idx="45">
                  <c:v>107</c:v>
                </c:pt>
                <c:pt idx="46">
                  <c:v>92</c:v>
                </c:pt>
                <c:pt idx="47">
                  <c:v>90</c:v>
                </c:pt>
                <c:pt idx="48">
                  <c:v>74</c:v>
                </c:pt>
                <c:pt idx="49">
                  <c:v>85</c:v>
                </c:pt>
                <c:pt idx="50">
                  <c:v>80</c:v>
                </c:pt>
                <c:pt idx="51">
                  <c:v>82</c:v>
                </c:pt>
                <c:pt idx="52">
                  <c:v>112.00000000000001</c:v>
                </c:pt>
                <c:pt idx="53">
                  <c:v>118</c:v>
                </c:pt>
                <c:pt idx="54">
                  <c:v>106</c:v>
                </c:pt>
                <c:pt idx="55">
                  <c:v>114.99999999999999</c:v>
                </c:pt>
                <c:pt idx="56">
                  <c:v>103</c:v>
                </c:pt>
                <c:pt idx="57">
                  <c:v>92</c:v>
                </c:pt>
                <c:pt idx="58">
                  <c:v>84</c:v>
                </c:pt>
                <c:pt idx="59">
                  <c:v>112.99999999999999</c:v>
                </c:pt>
                <c:pt idx="60">
                  <c:v>95</c:v>
                </c:pt>
                <c:pt idx="61">
                  <c:v>78</c:v>
                </c:pt>
                <c:pt idx="62">
                  <c:v>59</c:v>
                </c:pt>
                <c:pt idx="63">
                  <c:v>69</c:v>
                </c:pt>
                <c:pt idx="64">
                  <c:v>65</c:v>
                </c:pt>
                <c:pt idx="65">
                  <c:v>57.999999999999993</c:v>
                </c:pt>
                <c:pt idx="66">
                  <c:v>71</c:v>
                </c:pt>
                <c:pt idx="67">
                  <c:v>101</c:v>
                </c:pt>
                <c:pt idx="68">
                  <c:v>103</c:v>
                </c:pt>
                <c:pt idx="69">
                  <c:v>102</c:v>
                </c:pt>
                <c:pt idx="70">
                  <c:v>96</c:v>
                </c:pt>
                <c:pt idx="71">
                  <c:v>92</c:v>
                </c:pt>
                <c:pt idx="72">
                  <c:v>115.99999999999999</c:v>
                </c:pt>
                <c:pt idx="73">
                  <c:v>106</c:v>
                </c:pt>
                <c:pt idx="74">
                  <c:v>97</c:v>
                </c:pt>
                <c:pt idx="75">
                  <c:v>74</c:v>
                </c:pt>
                <c:pt idx="76">
                  <c:v>63</c:v>
                </c:pt>
                <c:pt idx="77">
                  <c:v>60</c:v>
                </c:pt>
                <c:pt idx="78">
                  <c:v>64</c:v>
                </c:pt>
                <c:pt idx="79">
                  <c:v>79</c:v>
                </c:pt>
                <c:pt idx="80">
                  <c:v>67</c:v>
                </c:pt>
                <c:pt idx="81">
                  <c:v>62</c:v>
                </c:pt>
                <c:pt idx="82">
                  <c:v>65</c:v>
                </c:pt>
                <c:pt idx="83">
                  <c:v>80</c:v>
                </c:pt>
                <c:pt idx="84">
                  <c:v>84</c:v>
                </c:pt>
                <c:pt idx="85">
                  <c:v>84</c:v>
                </c:pt>
                <c:pt idx="86">
                  <c:v>81</c:v>
                </c:pt>
                <c:pt idx="87">
                  <c:v>75</c:v>
                </c:pt>
                <c:pt idx="88">
                  <c:v>90</c:v>
                </c:pt>
                <c:pt idx="89">
                  <c:v>117</c:v>
                </c:pt>
                <c:pt idx="90">
                  <c:v>118</c:v>
                </c:pt>
                <c:pt idx="91">
                  <c:v>123</c:v>
                </c:pt>
                <c:pt idx="9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D-40A6-BA09-E16947275B6F}"/>
            </c:ext>
          </c:extLst>
        </c:ser>
        <c:ser>
          <c:idx val="2"/>
          <c:order val="2"/>
          <c:tx>
            <c:strRef>
              <c:f>'Price indices'!$D$4</c:f>
              <c:strCache>
                <c:ptCount val="1"/>
                <c:pt idx="0">
                  <c:v>Blattman, Hwang and Williamson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'Price indices'!$A$6:$A$98</c:f>
              <c:numCache>
                <c:formatCode>General</c:formatCode>
                <c:ptCount val="93"/>
                <c:pt idx="0">
                  <c:v>1821</c:v>
                </c:pt>
                <c:pt idx="1">
                  <c:v>1822</c:v>
                </c:pt>
                <c:pt idx="2">
                  <c:v>1823</c:v>
                </c:pt>
                <c:pt idx="3">
                  <c:v>1824</c:v>
                </c:pt>
                <c:pt idx="4">
                  <c:v>1825</c:v>
                </c:pt>
                <c:pt idx="5">
                  <c:v>1826</c:v>
                </c:pt>
                <c:pt idx="6">
                  <c:v>1827</c:v>
                </c:pt>
                <c:pt idx="7">
                  <c:v>1828</c:v>
                </c:pt>
                <c:pt idx="8">
                  <c:v>1829</c:v>
                </c:pt>
                <c:pt idx="9">
                  <c:v>1830</c:v>
                </c:pt>
                <c:pt idx="10">
                  <c:v>1831</c:v>
                </c:pt>
                <c:pt idx="11">
                  <c:v>1832</c:v>
                </c:pt>
                <c:pt idx="12">
                  <c:v>1833</c:v>
                </c:pt>
                <c:pt idx="13">
                  <c:v>1834</c:v>
                </c:pt>
                <c:pt idx="14">
                  <c:v>1835</c:v>
                </c:pt>
                <c:pt idx="15">
                  <c:v>1836</c:v>
                </c:pt>
                <c:pt idx="16">
                  <c:v>1837</c:v>
                </c:pt>
                <c:pt idx="17">
                  <c:v>1838</c:v>
                </c:pt>
                <c:pt idx="18">
                  <c:v>1839</c:v>
                </c:pt>
                <c:pt idx="19">
                  <c:v>1840</c:v>
                </c:pt>
                <c:pt idx="20">
                  <c:v>1841</c:v>
                </c:pt>
                <c:pt idx="21">
                  <c:v>1842</c:v>
                </c:pt>
                <c:pt idx="22">
                  <c:v>1843</c:v>
                </c:pt>
                <c:pt idx="23">
                  <c:v>1844</c:v>
                </c:pt>
                <c:pt idx="24">
                  <c:v>1845</c:v>
                </c:pt>
                <c:pt idx="25">
                  <c:v>1846</c:v>
                </c:pt>
                <c:pt idx="26">
                  <c:v>1847</c:v>
                </c:pt>
                <c:pt idx="27">
                  <c:v>1848</c:v>
                </c:pt>
                <c:pt idx="28">
                  <c:v>1849</c:v>
                </c:pt>
                <c:pt idx="29">
                  <c:v>1850</c:v>
                </c:pt>
                <c:pt idx="30">
                  <c:v>1851</c:v>
                </c:pt>
                <c:pt idx="31">
                  <c:v>1852</c:v>
                </c:pt>
                <c:pt idx="32">
                  <c:v>1853</c:v>
                </c:pt>
                <c:pt idx="33">
                  <c:v>1854</c:v>
                </c:pt>
                <c:pt idx="34">
                  <c:v>1855</c:v>
                </c:pt>
                <c:pt idx="35">
                  <c:v>1856</c:v>
                </c:pt>
                <c:pt idx="36">
                  <c:v>1857</c:v>
                </c:pt>
                <c:pt idx="37">
                  <c:v>1858</c:v>
                </c:pt>
                <c:pt idx="38">
                  <c:v>1859</c:v>
                </c:pt>
                <c:pt idx="39">
                  <c:v>1860</c:v>
                </c:pt>
                <c:pt idx="40">
                  <c:v>1861</c:v>
                </c:pt>
                <c:pt idx="41">
                  <c:v>1862</c:v>
                </c:pt>
                <c:pt idx="42">
                  <c:v>1863</c:v>
                </c:pt>
                <c:pt idx="43">
                  <c:v>1864</c:v>
                </c:pt>
                <c:pt idx="44">
                  <c:v>1865</c:v>
                </c:pt>
                <c:pt idx="45">
                  <c:v>1866</c:v>
                </c:pt>
                <c:pt idx="46">
                  <c:v>1867</c:v>
                </c:pt>
                <c:pt idx="47">
                  <c:v>1868</c:v>
                </c:pt>
                <c:pt idx="48">
                  <c:v>1869</c:v>
                </c:pt>
                <c:pt idx="49">
                  <c:v>1870</c:v>
                </c:pt>
                <c:pt idx="50">
                  <c:v>1871</c:v>
                </c:pt>
                <c:pt idx="51">
                  <c:v>1872</c:v>
                </c:pt>
                <c:pt idx="52">
                  <c:v>1873</c:v>
                </c:pt>
                <c:pt idx="53">
                  <c:v>1874</c:v>
                </c:pt>
                <c:pt idx="54">
                  <c:v>1875</c:v>
                </c:pt>
                <c:pt idx="55">
                  <c:v>1876</c:v>
                </c:pt>
                <c:pt idx="56">
                  <c:v>1877</c:v>
                </c:pt>
                <c:pt idx="57">
                  <c:v>1878</c:v>
                </c:pt>
                <c:pt idx="58">
                  <c:v>1879</c:v>
                </c:pt>
                <c:pt idx="59">
                  <c:v>1880</c:v>
                </c:pt>
                <c:pt idx="60">
                  <c:v>1881</c:v>
                </c:pt>
                <c:pt idx="61">
                  <c:v>1882</c:v>
                </c:pt>
                <c:pt idx="62">
                  <c:v>1883</c:v>
                </c:pt>
                <c:pt idx="63">
                  <c:v>1884</c:v>
                </c:pt>
                <c:pt idx="64">
                  <c:v>1885</c:v>
                </c:pt>
                <c:pt idx="65">
                  <c:v>1886</c:v>
                </c:pt>
                <c:pt idx="66">
                  <c:v>1887</c:v>
                </c:pt>
                <c:pt idx="67">
                  <c:v>1888</c:v>
                </c:pt>
                <c:pt idx="68">
                  <c:v>1889</c:v>
                </c:pt>
                <c:pt idx="69">
                  <c:v>1890</c:v>
                </c:pt>
                <c:pt idx="70">
                  <c:v>1891</c:v>
                </c:pt>
                <c:pt idx="71">
                  <c:v>1892</c:v>
                </c:pt>
                <c:pt idx="72">
                  <c:v>1893</c:v>
                </c:pt>
                <c:pt idx="73">
                  <c:v>1894</c:v>
                </c:pt>
                <c:pt idx="74">
                  <c:v>1895</c:v>
                </c:pt>
                <c:pt idx="75">
                  <c:v>1896</c:v>
                </c:pt>
                <c:pt idx="76">
                  <c:v>1897</c:v>
                </c:pt>
                <c:pt idx="77">
                  <c:v>1898</c:v>
                </c:pt>
                <c:pt idx="78">
                  <c:v>1899</c:v>
                </c:pt>
                <c:pt idx="79">
                  <c:v>1900</c:v>
                </c:pt>
                <c:pt idx="80">
                  <c:v>1901</c:v>
                </c:pt>
                <c:pt idx="81">
                  <c:v>1902</c:v>
                </c:pt>
                <c:pt idx="82">
                  <c:v>1903</c:v>
                </c:pt>
                <c:pt idx="83">
                  <c:v>1904</c:v>
                </c:pt>
                <c:pt idx="84">
                  <c:v>1905</c:v>
                </c:pt>
                <c:pt idx="85">
                  <c:v>1906</c:v>
                </c:pt>
                <c:pt idx="86">
                  <c:v>1907</c:v>
                </c:pt>
                <c:pt idx="87">
                  <c:v>1908</c:v>
                </c:pt>
                <c:pt idx="88">
                  <c:v>1909</c:v>
                </c:pt>
                <c:pt idx="89">
                  <c:v>1910</c:v>
                </c:pt>
                <c:pt idx="90">
                  <c:v>1911</c:v>
                </c:pt>
                <c:pt idx="91">
                  <c:v>1912</c:v>
                </c:pt>
                <c:pt idx="92">
                  <c:v>1913</c:v>
                </c:pt>
              </c:numCache>
            </c:numRef>
          </c:cat>
          <c:val>
            <c:numRef>
              <c:f>'Price indices'!$D$6:$D$98</c:f>
              <c:numCache>
                <c:formatCode>General</c:formatCode>
                <c:ptCount val="93"/>
                <c:pt idx="39">
                  <c:v>126</c:v>
                </c:pt>
                <c:pt idx="40">
                  <c:v>118</c:v>
                </c:pt>
                <c:pt idx="41">
                  <c:v>131</c:v>
                </c:pt>
                <c:pt idx="42">
                  <c:v>147</c:v>
                </c:pt>
                <c:pt idx="43">
                  <c:v>155</c:v>
                </c:pt>
                <c:pt idx="44">
                  <c:v>132</c:v>
                </c:pt>
                <c:pt idx="45">
                  <c:v>117</c:v>
                </c:pt>
                <c:pt idx="46">
                  <c:v>105</c:v>
                </c:pt>
                <c:pt idx="47">
                  <c:v>97</c:v>
                </c:pt>
                <c:pt idx="48">
                  <c:v>106</c:v>
                </c:pt>
                <c:pt idx="49">
                  <c:v>106</c:v>
                </c:pt>
                <c:pt idx="50">
                  <c:v>122</c:v>
                </c:pt>
                <c:pt idx="51">
                  <c:v>148</c:v>
                </c:pt>
                <c:pt idx="52">
                  <c:v>165</c:v>
                </c:pt>
                <c:pt idx="53">
                  <c:v>160</c:v>
                </c:pt>
                <c:pt idx="54">
                  <c:v>152</c:v>
                </c:pt>
                <c:pt idx="55">
                  <c:v>144</c:v>
                </c:pt>
                <c:pt idx="56">
                  <c:v>151</c:v>
                </c:pt>
                <c:pt idx="57">
                  <c:v>124</c:v>
                </c:pt>
                <c:pt idx="58">
                  <c:v>120</c:v>
                </c:pt>
                <c:pt idx="59">
                  <c:v>126</c:v>
                </c:pt>
                <c:pt idx="60">
                  <c:v>109.00000000000001</c:v>
                </c:pt>
                <c:pt idx="61">
                  <c:v>94</c:v>
                </c:pt>
                <c:pt idx="62">
                  <c:v>98</c:v>
                </c:pt>
                <c:pt idx="63">
                  <c:v>95</c:v>
                </c:pt>
                <c:pt idx="64">
                  <c:v>83</c:v>
                </c:pt>
                <c:pt idx="65">
                  <c:v>90</c:v>
                </c:pt>
                <c:pt idx="66">
                  <c:v>135</c:v>
                </c:pt>
                <c:pt idx="67">
                  <c:v>115.99999999999999</c:v>
                </c:pt>
                <c:pt idx="68">
                  <c:v>134</c:v>
                </c:pt>
                <c:pt idx="69">
                  <c:v>142</c:v>
                </c:pt>
                <c:pt idx="70">
                  <c:v>128</c:v>
                </c:pt>
                <c:pt idx="71">
                  <c:v>115.99999999999999</c:v>
                </c:pt>
                <c:pt idx="72">
                  <c:v>134</c:v>
                </c:pt>
                <c:pt idx="73">
                  <c:v>123</c:v>
                </c:pt>
                <c:pt idx="74">
                  <c:v>122</c:v>
                </c:pt>
                <c:pt idx="75">
                  <c:v>102</c:v>
                </c:pt>
                <c:pt idx="76">
                  <c:v>79</c:v>
                </c:pt>
                <c:pt idx="77">
                  <c:v>69</c:v>
                </c:pt>
                <c:pt idx="78">
                  <c:v>71</c:v>
                </c:pt>
                <c:pt idx="79">
                  <c:v>83</c:v>
                </c:pt>
                <c:pt idx="80">
                  <c:v>72</c:v>
                </c:pt>
                <c:pt idx="81">
                  <c:v>63</c:v>
                </c:pt>
                <c:pt idx="82">
                  <c:v>67</c:v>
                </c:pt>
                <c:pt idx="83">
                  <c:v>81</c:v>
                </c:pt>
                <c:pt idx="84">
                  <c:v>87</c:v>
                </c:pt>
                <c:pt idx="85">
                  <c:v>85</c:v>
                </c:pt>
                <c:pt idx="86">
                  <c:v>72</c:v>
                </c:pt>
                <c:pt idx="87">
                  <c:v>67</c:v>
                </c:pt>
                <c:pt idx="88">
                  <c:v>84</c:v>
                </c:pt>
                <c:pt idx="89">
                  <c:v>101</c:v>
                </c:pt>
                <c:pt idx="90">
                  <c:v>112.00000000000001</c:v>
                </c:pt>
                <c:pt idx="91">
                  <c:v>123</c:v>
                </c:pt>
                <c:pt idx="9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D-40A6-BA09-E16947275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937016"/>
        <c:axId val="557934664"/>
      </c:lineChart>
      <c:catAx>
        <c:axId val="55793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934664"/>
        <c:crosses val="autoZero"/>
        <c:auto val="1"/>
        <c:lblAlgn val="ctr"/>
        <c:lblOffset val="100"/>
        <c:tickMarkSkip val="7"/>
        <c:noMultiLvlLbl val="0"/>
      </c:catAx>
      <c:valAx>
        <c:axId val="55793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9370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'Price indices'!$F$4</c:f>
              <c:strCache>
                <c:ptCount val="1"/>
                <c:pt idx="0">
                  <c:v>New series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'Price indices'!$A$12:$A$98</c:f>
              <c:numCache>
                <c:formatCode>General</c:formatCode>
                <c:ptCount val="87"/>
                <c:pt idx="0">
                  <c:v>1827</c:v>
                </c:pt>
                <c:pt idx="1">
                  <c:v>1828</c:v>
                </c:pt>
                <c:pt idx="2">
                  <c:v>1829</c:v>
                </c:pt>
                <c:pt idx="3">
                  <c:v>1830</c:v>
                </c:pt>
                <c:pt idx="4">
                  <c:v>1831</c:v>
                </c:pt>
                <c:pt idx="5">
                  <c:v>1832</c:v>
                </c:pt>
                <c:pt idx="6">
                  <c:v>1833</c:v>
                </c:pt>
                <c:pt idx="7">
                  <c:v>1834</c:v>
                </c:pt>
                <c:pt idx="8">
                  <c:v>1835</c:v>
                </c:pt>
                <c:pt idx="9">
                  <c:v>1836</c:v>
                </c:pt>
                <c:pt idx="10">
                  <c:v>1837</c:v>
                </c:pt>
                <c:pt idx="11">
                  <c:v>1838</c:v>
                </c:pt>
                <c:pt idx="12">
                  <c:v>1839</c:v>
                </c:pt>
                <c:pt idx="13">
                  <c:v>1840</c:v>
                </c:pt>
                <c:pt idx="14">
                  <c:v>1841</c:v>
                </c:pt>
                <c:pt idx="15">
                  <c:v>1842</c:v>
                </c:pt>
                <c:pt idx="16">
                  <c:v>1843</c:v>
                </c:pt>
                <c:pt idx="17">
                  <c:v>1844</c:v>
                </c:pt>
                <c:pt idx="18">
                  <c:v>1845</c:v>
                </c:pt>
                <c:pt idx="19">
                  <c:v>1846</c:v>
                </c:pt>
                <c:pt idx="20">
                  <c:v>1847</c:v>
                </c:pt>
                <c:pt idx="21">
                  <c:v>1848</c:v>
                </c:pt>
                <c:pt idx="22">
                  <c:v>1849</c:v>
                </c:pt>
                <c:pt idx="23">
                  <c:v>1850</c:v>
                </c:pt>
                <c:pt idx="24">
                  <c:v>1851</c:v>
                </c:pt>
                <c:pt idx="25">
                  <c:v>1852</c:v>
                </c:pt>
                <c:pt idx="26">
                  <c:v>1853</c:v>
                </c:pt>
                <c:pt idx="27">
                  <c:v>1854</c:v>
                </c:pt>
                <c:pt idx="28">
                  <c:v>1855</c:v>
                </c:pt>
                <c:pt idx="29">
                  <c:v>1856</c:v>
                </c:pt>
                <c:pt idx="30">
                  <c:v>1857</c:v>
                </c:pt>
                <c:pt idx="31">
                  <c:v>1858</c:v>
                </c:pt>
                <c:pt idx="32">
                  <c:v>1859</c:v>
                </c:pt>
                <c:pt idx="33">
                  <c:v>1860</c:v>
                </c:pt>
                <c:pt idx="34">
                  <c:v>1861</c:v>
                </c:pt>
                <c:pt idx="35">
                  <c:v>1862</c:v>
                </c:pt>
                <c:pt idx="36">
                  <c:v>1863</c:v>
                </c:pt>
                <c:pt idx="37">
                  <c:v>1864</c:v>
                </c:pt>
                <c:pt idx="38">
                  <c:v>1865</c:v>
                </c:pt>
                <c:pt idx="39">
                  <c:v>1866</c:v>
                </c:pt>
                <c:pt idx="40">
                  <c:v>1867</c:v>
                </c:pt>
                <c:pt idx="41">
                  <c:v>1868</c:v>
                </c:pt>
                <c:pt idx="42">
                  <c:v>1869</c:v>
                </c:pt>
                <c:pt idx="43">
                  <c:v>1870</c:v>
                </c:pt>
                <c:pt idx="44">
                  <c:v>1871</c:v>
                </c:pt>
                <c:pt idx="45">
                  <c:v>1872</c:v>
                </c:pt>
                <c:pt idx="46">
                  <c:v>1873</c:v>
                </c:pt>
                <c:pt idx="47">
                  <c:v>1874</c:v>
                </c:pt>
                <c:pt idx="48">
                  <c:v>1875</c:v>
                </c:pt>
                <c:pt idx="49">
                  <c:v>1876</c:v>
                </c:pt>
                <c:pt idx="50">
                  <c:v>1877</c:v>
                </c:pt>
                <c:pt idx="51">
                  <c:v>1878</c:v>
                </c:pt>
                <c:pt idx="52">
                  <c:v>1879</c:v>
                </c:pt>
                <c:pt idx="53">
                  <c:v>1880</c:v>
                </c:pt>
                <c:pt idx="54">
                  <c:v>1881</c:v>
                </c:pt>
                <c:pt idx="55">
                  <c:v>1882</c:v>
                </c:pt>
                <c:pt idx="56">
                  <c:v>1883</c:v>
                </c:pt>
                <c:pt idx="57">
                  <c:v>1884</c:v>
                </c:pt>
                <c:pt idx="58">
                  <c:v>1885</c:v>
                </c:pt>
                <c:pt idx="59">
                  <c:v>1886</c:v>
                </c:pt>
                <c:pt idx="60">
                  <c:v>1887</c:v>
                </c:pt>
                <c:pt idx="61">
                  <c:v>1888</c:v>
                </c:pt>
                <c:pt idx="62">
                  <c:v>1889</c:v>
                </c:pt>
                <c:pt idx="63">
                  <c:v>1890</c:v>
                </c:pt>
                <c:pt idx="64">
                  <c:v>1891</c:v>
                </c:pt>
                <c:pt idx="65">
                  <c:v>1892</c:v>
                </c:pt>
                <c:pt idx="66">
                  <c:v>1893</c:v>
                </c:pt>
                <c:pt idx="67">
                  <c:v>1894</c:v>
                </c:pt>
                <c:pt idx="68">
                  <c:v>1895</c:v>
                </c:pt>
                <c:pt idx="69">
                  <c:v>1896</c:v>
                </c:pt>
                <c:pt idx="70">
                  <c:v>1897</c:v>
                </c:pt>
                <c:pt idx="71">
                  <c:v>1898</c:v>
                </c:pt>
                <c:pt idx="72">
                  <c:v>1899</c:v>
                </c:pt>
                <c:pt idx="73">
                  <c:v>1900</c:v>
                </c:pt>
                <c:pt idx="74">
                  <c:v>1901</c:v>
                </c:pt>
                <c:pt idx="75">
                  <c:v>1902</c:v>
                </c:pt>
                <c:pt idx="76">
                  <c:v>1903</c:v>
                </c:pt>
                <c:pt idx="77">
                  <c:v>1904</c:v>
                </c:pt>
                <c:pt idx="78">
                  <c:v>1905</c:v>
                </c:pt>
                <c:pt idx="79">
                  <c:v>1906</c:v>
                </c:pt>
                <c:pt idx="80">
                  <c:v>1907</c:v>
                </c:pt>
                <c:pt idx="81">
                  <c:v>1908</c:v>
                </c:pt>
                <c:pt idx="82">
                  <c:v>1909</c:v>
                </c:pt>
                <c:pt idx="83">
                  <c:v>1910</c:v>
                </c:pt>
                <c:pt idx="84">
                  <c:v>1911</c:v>
                </c:pt>
                <c:pt idx="85">
                  <c:v>1912</c:v>
                </c:pt>
                <c:pt idx="86">
                  <c:v>1913</c:v>
                </c:pt>
              </c:numCache>
            </c:numRef>
          </c:cat>
          <c:val>
            <c:numRef>
              <c:f>'Price indices'!$F$12:$F$98</c:f>
              <c:numCache>
                <c:formatCode>0</c:formatCode>
                <c:ptCount val="87"/>
                <c:pt idx="0">
                  <c:v>163.80450079173528</c:v>
                </c:pt>
                <c:pt idx="1">
                  <c:v>165.0163701778626</c:v>
                </c:pt>
                <c:pt idx="2">
                  <c:v>161.47470995327328</c:v>
                </c:pt>
                <c:pt idx="3">
                  <c:v>161.79117330521652</c:v>
                </c:pt>
                <c:pt idx="4">
                  <c:v>149.58070437063327</c:v>
                </c:pt>
                <c:pt idx="5">
                  <c:v>124.72324404996075</c:v>
                </c:pt>
                <c:pt idx="6">
                  <c:v>132.02014912248367</c:v>
                </c:pt>
                <c:pt idx="7">
                  <c:v>126.33856853115037</c:v>
                </c:pt>
                <c:pt idx="8">
                  <c:v>135.49512098924868</c:v>
                </c:pt>
                <c:pt idx="9">
                  <c:v>136.06519192458373</c:v>
                </c:pt>
                <c:pt idx="10">
                  <c:v>126.51586473824523</c:v>
                </c:pt>
                <c:pt idx="11">
                  <c:v>124.17915150643171</c:v>
                </c:pt>
                <c:pt idx="12">
                  <c:v>123.58600427575882</c:v>
                </c:pt>
                <c:pt idx="13">
                  <c:v>115.0769234062129</c:v>
                </c:pt>
                <c:pt idx="14">
                  <c:v>110.65721082299771</c:v>
                </c:pt>
                <c:pt idx="15">
                  <c:v>104.3236117970588</c:v>
                </c:pt>
                <c:pt idx="16">
                  <c:v>94.412364048004449</c:v>
                </c:pt>
                <c:pt idx="17">
                  <c:v>93.976438349083296</c:v>
                </c:pt>
                <c:pt idx="18">
                  <c:v>97.197004548715967</c:v>
                </c:pt>
                <c:pt idx="19">
                  <c:v>95.868127008963555</c:v>
                </c:pt>
                <c:pt idx="20">
                  <c:v>104.6032248811706</c:v>
                </c:pt>
                <c:pt idx="21">
                  <c:v>94.227387069384392</c:v>
                </c:pt>
                <c:pt idx="22">
                  <c:v>89.657249478740709</c:v>
                </c:pt>
                <c:pt idx="23">
                  <c:v>92.93519707419928</c:v>
                </c:pt>
                <c:pt idx="24">
                  <c:v>90.643198794027555</c:v>
                </c:pt>
                <c:pt idx="25">
                  <c:v>89.471339178117347</c:v>
                </c:pt>
                <c:pt idx="26">
                  <c:v>94.976679495659923</c:v>
                </c:pt>
                <c:pt idx="27">
                  <c:v>95.782114074947117</c:v>
                </c:pt>
                <c:pt idx="28">
                  <c:v>99.600763188363786</c:v>
                </c:pt>
                <c:pt idx="29">
                  <c:v>100.03144678763624</c:v>
                </c:pt>
                <c:pt idx="30">
                  <c:v>102.46712793422805</c:v>
                </c:pt>
                <c:pt idx="31">
                  <c:v>96.678404170355307</c:v>
                </c:pt>
                <c:pt idx="32">
                  <c:v>98.622416612096558</c:v>
                </c:pt>
                <c:pt idx="33">
                  <c:v>98.356743694576068</c:v>
                </c:pt>
                <c:pt idx="34">
                  <c:v>97.081375448504019</c:v>
                </c:pt>
                <c:pt idx="35">
                  <c:v>104.39497683362215</c:v>
                </c:pt>
                <c:pt idx="36">
                  <c:v>129.55826548423056</c:v>
                </c:pt>
                <c:pt idx="37">
                  <c:v>144.25331519607838</c:v>
                </c:pt>
                <c:pt idx="38">
                  <c:v>147.21634870460713</c:v>
                </c:pt>
                <c:pt idx="39">
                  <c:v>144.35127935545785</c:v>
                </c:pt>
                <c:pt idx="40">
                  <c:v>128.57858030865</c:v>
                </c:pt>
                <c:pt idx="41">
                  <c:v>117.65253889233867</c:v>
                </c:pt>
                <c:pt idx="42">
                  <c:v>112.95548451920784</c:v>
                </c:pt>
                <c:pt idx="43">
                  <c:v>108.69610703207368</c:v>
                </c:pt>
                <c:pt idx="44">
                  <c:v>115.32453033489038</c:v>
                </c:pt>
                <c:pt idx="45">
                  <c:v>122.81794563772172</c:v>
                </c:pt>
                <c:pt idx="46">
                  <c:v>132.11746774688783</c:v>
                </c:pt>
                <c:pt idx="47">
                  <c:v>122.82093578559888</c:v>
                </c:pt>
                <c:pt idx="48">
                  <c:v>115.9253434853086</c:v>
                </c:pt>
                <c:pt idx="49">
                  <c:v>109.44456985260047</c:v>
                </c:pt>
                <c:pt idx="50">
                  <c:v>105.48292442286305</c:v>
                </c:pt>
                <c:pt idx="51">
                  <c:v>97.874537756970454</c:v>
                </c:pt>
                <c:pt idx="52">
                  <c:v>93.81645094091617</c:v>
                </c:pt>
                <c:pt idx="53">
                  <c:v>97.085355122836702</c:v>
                </c:pt>
                <c:pt idx="54">
                  <c:v>95.792738613025691</c:v>
                </c:pt>
                <c:pt idx="55">
                  <c:v>97.205925000384525</c:v>
                </c:pt>
                <c:pt idx="56">
                  <c:v>94.35102127781893</c:v>
                </c:pt>
                <c:pt idx="57">
                  <c:v>86.161392629750466</c:v>
                </c:pt>
                <c:pt idx="58">
                  <c:v>79.769193964619163</c:v>
                </c:pt>
                <c:pt idx="59">
                  <c:v>77.485670336994801</c:v>
                </c:pt>
                <c:pt idx="60">
                  <c:v>79.97965075359626</c:v>
                </c:pt>
                <c:pt idx="61">
                  <c:v>83.422470595427427</c:v>
                </c:pt>
                <c:pt idx="62">
                  <c:v>90.389392696468178</c:v>
                </c:pt>
                <c:pt idx="63">
                  <c:v>85.953549361489252</c:v>
                </c:pt>
                <c:pt idx="64">
                  <c:v>79.3895546630214</c:v>
                </c:pt>
                <c:pt idx="65">
                  <c:v>73.945939329291278</c:v>
                </c:pt>
                <c:pt idx="66">
                  <c:v>77.450125273738379</c:v>
                </c:pt>
                <c:pt idx="67">
                  <c:v>70.366235000681513</c:v>
                </c:pt>
                <c:pt idx="68">
                  <c:v>64.221377423747782</c:v>
                </c:pt>
                <c:pt idx="69">
                  <c:v>69.053359738748881</c:v>
                </c:pt>
                <c:pt idx="70">
                  <c:v>66.883818019476664</c:v>
                </c:pt>
                <c:pt idx="71">
                  <c:v>70.69299998999881</c:v>
                </c:pt>
                <c:pt idx="72">
                  <c:v>69.150409611117411</c:v>
                </c:pt>
                <c:pt idx="73">
                  <c:v>80.33618331187121</c:v>
                </c:pt>
                <c:pt idx="74">
                  <c:v>78.321828416695382</c:v>
                </c:pt>
                <c:pt idx="75">
                  <c:v>72.070472840658653</c:v>
                </c:pt>
                <c:pt idx="76">
                  <c:v>71.207100334852967</c:v>
                </c:pt>
                <c:pt idx="77">
                  <c:v>74.104239092913517</c:v>
                </c:pt>
                <c:pt idx="78">
                  <c:v>82.442426754002796</c:v>
                </c:pt>
                <c:pt idx="79">
                  <c:v>80.475398463075081</c:v>
                </c:pt>
                <c:pt idx="80">
                  <c:v>82.026489845998626</c:v>
                </c:pt>
                <c:pt idx="81">
                  <c:v>82.545616261546229</c:v>
                </c:pt>
                <c:pt idx="82">
                  <c:v>81.543526101304323</c:v>
                </c:pt>
                <c:pt idx="83">
                  <c:v>90.910388210918398</c:v>
                </c:pt>
                <c:pt idx="84">
                  <c:v>90.20495393918317</c:v>
                </c:pt>
                <c:pt idx="85">
                  <c:v>99.663242075321051</c:v>
                </c:pt>
                <c:pt idx="8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4-4BE4-A9FC-2618007449D6}"/>
            </c:ext>
          </c:extLst>
        </c:ser>
        <c:ser>
          <c:idx val="1"/>
          <c:order val="1"/>
          <c:tx>
            <c:strRef>
              <c:f>'Price indices'!$G$4</c:f>
              <c:strCache>
                <c:ptCount val="1"/>
                <c:pt idx="0">
                  <c:v>Imlah</c:v>
                </c:pt>
              </c:strCache>
            </c:strRef>
          </c:tx>
          <c:spPr>
            <a:ln w="28575" cap="rnd" cmpd="dbl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'Price indices'!$A$12:$A$98</c:f>
              <c:numCache>
                <c:formatCode>General</c:formatCode>
                <c:ptCount val="87"/>
                <c:pt idx="0">
                  <c:v>1827</c:v>
                </c:pt>
                <c:pt idx="1">
                  <c:v>1828</c:v>
                </c:pt>
                <c:pt idx="2">
                  <c:v>1829</c:v>
                </c:pt>
                <c:pt idx="3">
                  <c:v>1830</c:v>
                </c:pt>
                <c:pt idx="4">
                  <c:v>1831</c:v>
                </c:pt>
                <c:pt idx="5">
                  <c:v>1832</c:v>
                </c:pt>
                <c:pt idx="6">
                  <c:v>1833</c:v>
                </c:pt>
                <c:pt idx="7">
                  <c:v>1834</c:v>
                </c:pt>
                <c:pt idx="8">
                  <c:v>1835</c:v>
                </c:pt>
                <c:pt idx="9">
                  <c:v>1836</c:v>
                </c:pt>
                <c:pt idx="10">
                  <c:v>1837</c:v>
                </c:pt>
                <c:pt idx="11">
                  <c:v>1838</c:v>
                </c:pt>
                <c:pt idx="12">
                  <c:v>1839</c:v>
                </c:pt>
                <c:pt idx="13">
                  <c:v>1840</c:v>
                </c:pt>
                <c:pt idx="14">
                  <c:v>1841</c:v>
                </c:pt>
                <c:pt idx="15">
                  <c:v>1842</c:v>
                </c:pt>
                <c:pt idx="16">
                  <c:v>1843</c:v>
                </c:pt>
                <c:pt idx="17">
                  <c:v>1844</c:v>
                </c:pt>
                <c:pt idx="18">
                  <c:v>1845</c:v>
                </c:pt>
                <c:pt idx="19">
                  <c:v>1846</c:v>
                </c:pt>
                <c:pt idx="20">
                  <c:v>1847</c:v>
                </c:pt>
                <c:pt idx="21">
                  <c:v>1848</c:v>
                </c:pt>
                <c:pt idx="22">
                  <c:v>1849</c:v>
                </c:pt>
                <c:pt idx="23">
                  <c:v>1850</c:v>
                </c:pt>
                <c:pt idx="24">
                  <c:v>1851</c:v>
                </c:pt>
                <c:pt idx="25">
                  <c:v>1852</c:v>
                </c:pt>
                <c:pt idx="26">
                  <c:v>1853</c:v>
                </c:pt>
                <c:pt idx="27">
                  <c:v>1854</c:v>
                </c:pt>
                <c:pt idx="28">
                  <c:v>1855</c:v>
                </c:pt>
                <c:pt idx="29">
                  <c:v>1856</c:v>
                </c:pt>
                <c:pt idx="30">
                  <c:v>1857</c:v>
                </c:pt>
                <c:pt idx="31">
                  <c:v>1858</c:v>
                </c:pt>
                <c:pt idx="32">
                  <c:v>1859</c:v>
                </c:pt>
                <c:pt idx="33">
                  <c:v>1860</c:v>
                </c:pt>
                <c:pt idx="34">
                  <c:v>1861</c:v>
                </c:pt>
                <c:pt idx="35">
                  <c:v>1862</c:v>
                </c:pt>
                <c:pt idx="36">
                  <c:v>1863</c:v>
                </c:pt>
                <c:pt idx="37">
                  <c:v>1864</c:v>
                </c:pt>
                <c:pt idx="38">
                  <c:v>1865</c:v>
                </c:pt>
                <c:pt idx="39">
                  <c:v>1866</c:v>
                </c:pt>
                <c:pt idx="40">
                  <c:v>1867</c:v>
                </c:pt>
                <c:pt idx="41">
                  <c:v>1868</c:v>
                </c:pt>
                <c:pt idx="42">
                  <c:v>1869</c:v>
                </c:pt>
                <c:pt idx="43">
                  <c:v>1870</c:v>
                </c:pt>
                <c:pt idx="44">
                  <c:v>1871</c:v>
                </c:pt>
                <c:pt idx="45">
                  <c:v>1872</c:v>
                </c:pt>
                <c:pt idx="46">
                  <c:v>1873</c:v>
                </c:pt>
                <c:pt idx="47">
                  <c:v>1874</c:v>
                </c:pt>
                <c:pt idx="48">
                  <c:v>1875</c:v>
                </c:pt>
                <c:pt idx="49">
                  <c:v>1876</c:v>
                </c:pt>
                <c:pt idx="50">
                  <c:v>1877</c:v>
                </c:pt>
                <c:pt idx="51">
                  <c:v>1878</c:v>
                </c:pt>
                <c:pt idx="52">
                  <c:v>1879</c:v>
                </c:pt>
                <c:pt idx="53">
                  <c:v>1880</c:v>
                </c:pt>
                <c:pt idx="54">
                  <c:v>1881</c:v>
                </c:pt>
                <c:pt idx="55">
                  <c:v>1882</c:v>
                </c:pt>
                <c:pt idx="56">
                  <c:v>1883</c:v>
                </c:pt>
                <c:pt idx="57">
                  <c:v>1884</c:v>
                </c:pt>
                <c:pt idx="58">
                  <c:v>1885</c:v>
                </c:pt>
                <c:pt idx="59">
                  <c:v>1886</c:v>
                </c:pt>
                <c:pt idx="60">
                  <c:v>1887</c:v>
                </c:pt>
                <c:pt idx="61">
                  <c:v>1888</c:v>
                </c:pt>
                <c:pt idx="62">
                  <c:v>1889</c:v>
                </c:pt>
                <c:pt idx="63">
                  <c:v>1890</c:v>
                </c:pt>
                <c:pt idx="64">
                  <c:v>1891</c:v>
                </c:pt>
                <c:pt idx="65">
                  <c:v>1892</c:v>
                </c:pt>
                <c:pt idx="66">
                  <c:v>1893</c:v>
                </c:pt>
                <c:pt idx="67">
                  <c:v>1894</c:v>
                </c:pt>
                <c:pt idx="68">
                  <c:v>1895</c:v>
                </c:pt>
                <c:pt idx="69">
                  <c:v>1896</c:v>
                </c:pt>
                <c:pt idx="70">
                  <c:v>1897</c:v>
                </c:pt>
                <c:pt idx="71">
                  <c:v>1898</c:v>
                </c:pt>
                <c:pt idx="72">
                  <c:v>1899</c:v>
                </c:pt>
                <c:pt idx="73">
                  <c:v>1900</c:v>
                </c:pt>
                <c:pt idx="74">
                  <c:v>1901</c:v>
                </c:pt>
                <c:pt idx="75">
                  <c:v>1902</c:v>
                </c:pt>
                <c:pt idx="76">
                  <c:v>1903</c:v>
                </c:pt>
                <c:pt idx="77">
                  <c:v>1904</c:v>
                </c:pt>
                <c:pt idx="78">
                  <c:v>1905</c:v>
                </c:pt>
                <c:pt idx="79">
                  <c:v>1906</c:v>
                </c:pt>
                <c:pt idx="80">
                  <c:v>1907</c:v>
                </c:pt>
                <c:pt idx="81">
                  <c:v>1908</c:v>
                </c:pt>
                <c:pt idx="82">
                  <c:v>1909</c:v>
                </c:pt>
                <c:pt idx="83">
                  <c:v>1910</c:v>
                </c:pt>
                <c:pt idx="84">
                  <c:v>1911</c:v>
                </c:pt>
                <c:pt idx="85">
                  <c:v>1912</c:v>
                </c:pt>
                <c:pt idx="86">
                  <c:v>1913</c:v>
                </c:pt>
              </c:numCache>
            </c:numRef>
          </c:cat>
          <c:val>
            <c:numRef>
              <c:f>'Price indices'!$G$12:$G$98</c:f>
              <c:numCache>
                <c:formatCode>0</c:formatCode>
                <c:ptCount val="87"/>
                <c:pt idx="0">
                  <c:v>180.18575851393189</c:v>
                </c:pt>
                <c:pt idx="1">
                  <c:v>175.85139318885447</c:v>
                </c:pt>
                <c:pt idx="2">
                  <c:v>159.23632610939114</c:v>
                </c:pt>
                <c:pt idx="3">
                  <c:v>163.26109391124868</c:v>
                </c:pt>
                <c:pt idx="4">
                  <c:v>156.656346749226</c:v>
                </c:pt>
                <c:pt idx="5">
                  <c:v>143.75644994840042</c:v>
                </c:pt>
                <c:pt idx="6">
                  <c:v>146.33642930856553</c:v>
                </c:pt>
                <c:pt idx="7">
                  <c:v>150.67079463364291</c:v>
                </c:pt>
                <c:pt idx="8">
                  <c:v>157.79153766769863</c:v>
                </c:pt>
                <c:pt idx="9">
                  <c:v>165.22187822497418</c:v>
                </c:pt>
                <c:pt idx="10">
                  <c:v>151.90918472652217</c:v>
                </c:pt>
                <c:pt idx="11">
                  <c:v>143.65325077399379</c:v>
                </c:pt>
                <c:pt idx="12">
                  <c:v>142.10526315789471</c:v>
                </c:pt>
                <c:pt idx="13">
                  <c:v>132.6109391124871</c:v>
                </c:pt>
                <c:pt idx="14">
                  <c:v>128.27657378740969</c:v>
                </c:pt>
                <c:pt idx="15">
                  <c:v>117.85345717234262</c:v>
                </c:pt>
                <c:pt idx="16">
                  <c:v>115.58307533539731</c:v>
                </c:pt>
                <c:pt idx="17">
                  <c:v>118.57585139318884</c:v>
                </c:pt>
                <c:pt idx="18">
                  <c:v>122.0846233230134</c:v>
                </c:pt>
                <c:pt idx="19">
                  <c:v>120.02063983488131</c:v>
                </c:pt>
                <c:pt idx="20">
                  <c:v>121.87822497420019</c:v>
                </c:pt>
                <c:pt idx="21">
                  <c:v>109.1847265221878</c:v>
                </c:pt>
                <c:pt idx="22">
                  <c:v>104.02476780185759</c:v>
                </c:pt>
                <c:pt idx="23">
                  <c:v>104.02476780185759</c:v>
                </c:pt>
                <c:pt idx="24">
                  <c:v>102.2703818369453</c:v>
                </c:pt>
                <c:pt idx="25">
                  <c:v>101.23839009287924</c:v>
                </c:pt>
                <c:pt idx="26">
                  <c:v>111.55830753353972</c:v>
                </c:pt>
                <c:pt idx="27">
                  <c:v>112.17750257997936</c:v>
                </c:pt>
                <c:pt idx="28">
                  <c:v>109.49432404540762</c:v>
                </c:pt>
                <c:pt idx="29">
                  <c:v>111.86790505675954</c:v>
                </c:pt>
                <c:pt idx="30">
                  <c:v>115.27347781217749</c:v>
                </c:pt>
                <c:pt idx="31">
                  <c:v>112.59029927760578</c:v>
                </c:pt>
                <c:pt idx="32">
                  <c:v>115.06707946336429</c:v>
                </c:pt>
                <c:pt idx="33">
                  <c:v>114.13828689370484</c:v>
                </c:pt>
                <c:pt idx="34">
                  <c:v>114.65428276573786</c:v>
                </c:pt>
                <c:pt idx="35">
                  <c:v>120.63983488132095</c:v>
                </c:pt>
                <c:pt idx="36">
                  <c:v>132.92053663570692</c:v>
                </c:pt>
                <c:pt idx="37">
                  <c:v>145.82043343653251</c:v>
                </c:pt>
                <c:pt idx="38">
                  <c:v>138.90608875128999</c:v>
                </c:pt>
                <c:pt idx="39">
                  <c:v>143.55005159958719</c:v>
                </c:pt>
                <c:pt idx="40">
                  <c:v>135.08771929824562</c:v>
                </c:pt>
                <c:pt idx="41">
                  <c:v>126.10939112487101</c:v>
                </c:pt>
                <c:pt idx="42">
                  <c:v>125.28379772961816</c:v>
                </c:pt>
                <c:pt idx="43">
                  <c:v>122.29102167182661</c:v>
                </c:pt>
                <c:pt idx="44">
                  <c:v>121.7750257997936</c:v>
                </c:pt>
                <c:pt idx="45">
                  <c:v>134.7781217750258</c:v>
                </c:pt>
                <c:pt idx="46">
                  <c:v>139.5252837977296</c:v>
                </c:pt>
                <c:pt idx="47">
                  <c:v>131.78534571723426</c:v>
                </c:pt>
                <c:pt idx="48">
                  <c:v>123.83900928792568</c:v>
                </c:pt>
                <c:pt idx="49">
                  <c:v>114.03508771929825</c:v>
                </c:pt>
                <c:pt idx="50">
                  <c:v>109.59752321981424</c:v>
                </c:pt>
                <c:pt idx="51">
                  <c:v>105.57275541795666</c:v>
                </c:pt>
                <c:pt idx="52">
                  <c:v>99.484004127966969</c:v>
                </c:pt>
                <c:pt idx="53">
                  <c:v>103.19917440660473</c:v>
                </c:pt>
                <c:pt idx="54">
                  <c:v>98.864809081527341</c:v>
                </c:pt>
                <c:pt idx="55">
                  <c:v>100.82559339525284</c:v>
                </c:pt>
                <c:pt idx="56">
                  <c:v>97.420020639834888</c:v>
                </c:pt>
                <c:pt idx="57">
                  <c:v>93.808049535603715</c:v>
                </c:pt>
                <c:pt idx="58">
                  <c:v>90.196078431372555</c:v>
                </c:pt>
                <c:pt idx="59">
                  <c:v>86.274509803921561</c:v>
                </c:pt>
                <c:pt idx="60">
                  <c:v>86.068111455108365</c:v>
                </c:pt>
                <c:pt idx="61">
                  <c:v>85.552115583075334</c:v>
                </c:pt>
                <c:pt idx="62">
                  <c:v>87.306501547987608</c:v>
                </c:pt>
                <c:pt idx="63">
                  <c:v>91.124871001031977</c:v>
                </c:pt>
                <c:pt idx="64">
                  <c:v>90.299277605779153</c:v>
                </c:pt>
                <c:pt idx="65">
                  <c:v>86.274509803921561</c:v>
                </c:pt>
                <c:pt idx="66">
                  <c:v>86.068111455108365</c:v>
                </c:pt>
                <c:pt idx="67">
                  <c:v>81.733746130030966</c:v>
                </c:pt>
                <c:pt idx="68">
                  <c:v>78.637770897832809</c:v>
                </c:pt>
                <c:pt idx="69">
                  <c:v>79.360165118679049</c:v>
                </c:pt>
                <c:pt idx="70">
                  <c:v>78.431372549019613</c:v>
                </c:pt>
                <c:pt idx="71">
                  <c:v>78.637770897832809</c:v>
                </c:pt>
                <c:pt idx="72">
                  <c:v>82.35294117647058</c:v>
                </c:pt>
                <c:pt idx="73">
                  <c:v>94.633642930856553</c:v>
                </c:pt>
                <c:pt idx="74">
                  <c:v>90.092879256965944</c:v>
                </c:pt>
                <c:pt idx="75">
                  <c:v>85.964912280701739</c:v>
                </c:pt>
                <c:pt idx="76">
                  <c:v>85.861713106295142</c:v>
                </c:pt>
                <c:pt idx="77">
                  <c:v>86.893704850361203</c:v>
                </c:pt>
                <c:pt idx="78">
                  <c:v>86.68730650154798</c:v>
                </c:pt>
                <c:pt idx="79">
                  <c:v>91.847265221878217</c:v>
                </c:pt>
                <c:pt idx="80">
                  <c:v>96.388028895768826</c:v>
                </c:pt>
                <c:pt idx="81">
                  <c:v>92.672858617131055</c:v>
                </c:pt>
                <c:pt idx="82">
                  <c:v>89.267285861713091</c:v>
                </c:pt>
                <c:pt idx="83">
                  <c:v>93.085655314757474</c:v>
                </c:pt>
                <c:pt idx="84">
                  <c:v>94.73684210526315</c:v>
                </c:pt>
                <c:pt idx="85">
                  <c:v>96.388028895768826</c:v>
                </c:pt>
                <c:pt idx="8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4-4BE4-A9FC-2618007449D6}"/>
            </c:ext>
          </c:extLst>
        </c:ser>
        <c:ser>
          <c:idx val="2"/>
          <c:order val="2"/>
          <c:tx>
            <c:strRef>
              <c:f>'Price indices'!$H$4</c:f>
              <c:strCache>
                <c:ptCount val="1"/>
                <c:pt idx="0">
                  <c:v>Gonçalves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'Price indices'!$A$12:$A$98</c:f>
              <c:numCache>
                <c:formatCode>General</c:formatCode>
                <c:ptCount val="87"/>
                <c:pt idx="0">
                  <c:v>1827</c:v>
                </c:pt>
                <c:pt idx="1">
                  <c:v>1828</c:v>
                </c:pt>
                <c:pt idx="2">
                  <c:v>1829</c:v>
                </c:pt>
                <c:pt idx="3">
                  <c:v>1830</c:v>
                </c:pt>
                <c:pt idx="4">
                  <c:v>1831</c:v>
                </c:pt>
                <c:pt idx="5">
                  <c:v>1832</c:v>
                </c:pt>
                <c:pt idx="6">
                  <c:v>1833</c:v>
                </c:pt>
                <c:pt idx="7">
                  <c:v>1834</c:v>
                </c:pt>
                <c:pt idx="8">
                  <c:v>1835</c:v>
                </c:pt>
                <c:pt idx="9">
                  <c:v>1836</c:v>
                </c:pt>
                <c:pt idx="10">
                  <c:v>1837</c:v>
                </c:pt>
                <c:pt idx="11">
                  <c:v>1838</c:v>
                </c:pt>
                <c:pt idx="12">
                  <c:v>1839</c:v>
                </c:pt>
                <c:pt idx="13">
                  <c:v>1840</c:v>
                </c:pt>
                <c:pt idx="14">
                  <c:v>1841</c:v>
                </c:pt>
                <c:pt idx="15">
                  <c:v>1842</c:v>
                </c:pt>
                <c:pt idx="16">
                  <c:v>1843</c:v>
                </c:pt>
                <c:pt idx="17">
                  <c:v>1844</c:v>
                </c:pt>
                <c:pt idx="18">
                  <c:v>1845</c:v>
                </c:pt>
                <c:pt idx="19">
                  <c:v>1846</c:v>
                </c:pt>
                <c:pt idx="20">
                  <c:v>1847</c:v>
                </c:pt>
                <c:pt idx="21">
                  <c:v>1848</c:v>
                </c:pt>
                <c:pt idx="22">
                  <c:v>1849</c:v>
                </c:pt>
                <c:pt idx="23">
                  <c:v>1850</c:v>
                </c:pt>
                <c:pt idx="24">
                  <c:v>1851</c:v>
                </c:pt>
                <c:pt idx="25">
                  <c:v>1852</c:v>
                </c:pt>
                <c:pt idx="26">
                  <c:v>1853</c:v>
                </c:pt>
                <c:pt idx="27">
                  <c:v>1854</c:v>
                </c:pt>
                <c:pt idx="28">
                  <c:v>1855</c:v>
                </c:pt>
                <c:pt idx="29">
                  <c:v>1856</c:v>
                </c:pt>
                <c:pt idx="30">
                  <c:v>1857</c:v>
                </c:pt>
                <c:pt idx="31">
                  <c:v>1858</c:v>
                </c:pt>
                <c:pt idx="32">
                  <c:v>1859</c:v>
                </c:pt>
                <c:pt idx="33">
                  <c:v>1860</c:v>
                </c:pt>
                <c:pt idx="34">
                  <c:v>1861</c:v>
                </c:pt>
                <c:pt idx="35">
                  <c:v>1862</c:v>
                </c:pt>
                <c:pt idx="36">
                  <c:v>1863</c:v>
                </c:pt>
                <c:pt idx="37">
                  <c:v>1864</c:v>
                </c:pt>
                <c:pt idx="38">
                  <c:v>1865</c:v>
                </c:pt>
                <c:pt idx="39">
                  <c:v>1866</c:v>
                </c:pt>
                <c:pt idx="40">
                  <c:v>1867</c:v>
                </c:pt>
                <c:pt idx="41">
                  <c:v>1868</c:v>
                </c:pt>
                <c:pt idx="42">
                  <c:v>1869</c:v>
                </c:pt>
                <c:pt idx="43">
                  <c:v>1870</c:v>
                </c:pt>
                <c:pt idx="44">
                  <c:v>1871</c:v>
                </c:pt>
                <c:pt idx="45">
                  <c:v>1872</c:v>
                </c:pt>
                <c:pt idx="46">
                  <c:v>1873</c:v>
                </c:pt>
                <c:pt idx="47">
                  <c:v>1874</c:v>
                </c:pt>
                <c:pt idx="48">
                  <c:v>1875</c:v>
                </c:pt>
                <c:pt idx="49">
                  <c:v>1876</c:v>
                </c:pt>
                <c:pt idx="50">
                  <c:v>1877</c:v>
                </c:pt>
                <c:pt idx="51">
                  <c:v>1878</c:v>
                </c:pt>
                <c:pt idx="52">
                  <c:v>1879</c:v>
                </c:pt>
                <c:pt idx="53">
                  <c:v>1880</c:v>
                </c:pt>
                <c:pt idx="54">
                  <c:v>1881</c:v>
                </c:pt>
                <c:pt idx="55">
                  <c:v>1882</c:v>
                </c:pt>
                <c:pt idx="56">
                  <c:v>1883</c:v>
                </c:pt>
                <c:pt idx="57">
                  <c:v>1884</c:v>
                </c:pt>
                <c:pt idx="58">
                  <c:v>1885</c:v>
                </c:pt>
                <c:pt idx="59">
                  <c:v>1886</c:v>
                </c:pt>
                <c:pt idx="60">
                  <c:v>1887</c:v>
                </c:pt>
                <c:pt idx="61">
                  <c:v>1888</c:v>
                </c:pt>
                <c:pt idx="62">
                  <c:v>1889</c:v>
                </c:pt>
                <c:pt idx="63">
                  <c:v>1890</c:v>
                </c:pt>
                <c:pt idx="64">
                  <c:v>1891</c:v>
                </c:pt>
                <c:pt idx="65">
                  <c:v>1892</c:v>
                </c:pt>
                <c:pt idx="66">
                  <c:v>1893</c:v>
                </c:pt>
                <c:pt idx="67">
                  <c:v>1894</c:v>
                </c:pt>
                <c:pt idx="68">
                  <c:v>1895</c:v>
                </c:pt>
                <c:pt idx="69">
                  <c:v>1896</c:v>
                </c:pt>
                <c:pt idx="70">
                  <c:v>1897</c:v>
                </c:pt>
                <c:pt idx="71">
                  <c:v>1898</c:v>
                </c:pt>
                <c:pt idx="72">
                  <c:v>1899</c:v>
                </c:pt>
                <c:pt idx="73">
                  <c:v>1900</c:v>
                </c:pt>
                <c:pt idx="74">
                  <c:v>1901</c:v>
                </c:pt>
                <c:pt idx="75">
                  <c:v>1902</c:v>
                </c:pt>
                <c:pt idx="76">
                  <c:v>1903</c:v>
                </c:pt>
                <c:pt idx="77">
                  <c:v>1904</c:v>
                </c:pt>
                <c:pt idx="78">
                  <c:v>1905</c:v>
                </c:pt>
                <c:pt idx="79">
                  <c:v>1906</c:v>
                </c:pt>
                <c:pt idx="80">
                  <c:v>1907</c:v>
                </c:pt>
                <c:pt idx="81">
                  <c:v>1908</c:v>
                </c:pt>
                <c:pt idx="82">
                  <c:v>1909</c:v>
                </c:pt>
                <c:pt idx="83">
                  <c:v>1910</c:v>
                </c:pt>
                <c:pt idx="84">
                  <c:v>1911</c:v>
                </c:pt>
                <c:pt idx="85">
                  <c:v>1912</c:v>
                </c:pt>
                <c:pt idx="86">
                  <c:v>1913</c:v>
                </c:pt>
              </c:numCache>
            </c:numRef>
          </c:cat>
          <c:val>
            <c:numRef>
              <c:f>'Price indices'!$H$12:$H$98</c:f>
              <c:numCache>
                <c:formatCode>0</c:formatCode>
                <c:ptCount val="87"/>
                <c:pt idx="23">
                  <c:v>79.591836734693871</c:v>
                </c:pt>
                <c:pt idx="24">
                  <c:v>77.928949357520764</c:v>
                </c:pt>
                <c:pt idx="25">
                  <c:v>77.32426303854875</c:v>
                </c:pt>
                <c:pt idx="26">
                  <c:v>79.894179894179885</c:v>
                </c:pt>
                <c:pt idx="27">
                  <c:v>75.736961451247168</c:v>
                </c:pt>
                <c:pt idx="28">
                  <c:v>72.864701436130005</c:v>
                </c:pt>
                <c:pt idx="29">
                  <c:v>73.998488284202566</c:v>
                </c:pt>
                <c:pt idx="30">
                  <c:v>81.40589569160997</c:v>
                </c:pt>
                <c:pt idx="31">
                  <c:v>80.347694633408906</c:v>
                </c:pt>
                <c:pt idx="32">
                  <c:v>80.498866213151928</c:v>
                </c:pt>
                <c:pt idx="33">
                  <c:v>78.080120937263786</c:v>
                </c:pt>
                <c:pt idx="34">
                  <c:v>78.835978835978821</c:v>
                </c:pt>
                <c:pt idx="35">
                  <c:v>90.173847316704453</c:v>
                </c:pt>
                <c:pt idx="36">
                  <c:v>106.65154950869236</c:v>
                </c:pt>
                <c:pt idx="37">
                  <c:v>120.48374905517763</c:v>
                </c:pt>
                <c:pt idx="38">
                  <c:v>113.30309901738474</c:v>
                </c:pt>
                <c:pt idx="39">
                  <c:v>114.89040060468632</c:v>
                </c:pt>
                <c:pt idx="40">
                  <c:v>98.639455782312908</c:v>
                </c:pt>
                <c:pt idx="41">
                  <c:v>88.888888888888872</c:v>
                </c:pt>
                <c:pt idx="42">
                  <c:v>89.720332577475432</c:v>
                </c:pt>
                <c:pt idx="43">
                  <c:v>95.918367346938766</c:v>
                </c:pt>
                <c:pt idx="44">
                  <c:v>88.586545729402872</c:v>
                </c:pt>
                <c:pt idx="45">
                  <c:v>97.505668934240347</c:v>
                </c:pt>
                <c:pt idx="46">
                  <c:v>101.05820105820105</c:v>
                </c:pt>
                <c:pt idx="47">
                  <c:v>95.993953136810276</c:v>
                </c:pt>
                <c:pt idx="48">
                  <c:v>91.534391534391517</c:v>
                </c:pt>
                <c:pt idx="49">
                  <c:v>83.446712018140587</c:v>
                </c:pt>
                <c:pt idx="50">
                  <c:v>79.289493575207857</c:v>
                </c:pt>
                <c:pt idx="51">
                  <c:v>74.829931972789112</c:v>
                </c:pt>
                <c:pt idx="52">
                  <c:v>69.160997732426296</c:v>
                </c:pt>
                <c:pt idx="53">
                  <c:v>75.585789871504147</c:v>
                </c:pt>
                <c:pt idx="54">
                  <c:v>71.201814058956913</c:v>
                </c:pt>
                <c:pt idx="55">
                  <c:v>72.184429327286466</c:v>
                </c:pt>
                <c:pt idx="56">
                  <c:v>69.463340891912324</c:v>
                </c:pt>
                <c:pt idx="57">
                  <c:v>67.724867724867707</c:v>
                </c:pt>
                <c:pt idx="58">
                  <c:v>63.416477702191983</c:v>
                </c:pt>
                <c:pt idx="59">
                  <c:v>60.997732426303855</c:v>
                </c:pt>
                <c:pt idx="60">
                  <c:v>63.945578231292508</c:v>
                </c:pt>
                <c:pt idx="61">
                  <c:v>65.003779289493565</c:v>
                </c:pt>
                <c:pt idx="62">
                  <c:v>68.027210884353735</c:v>
                </c:pt>
                <c:pt idx="63">
                  <c:v>68.858654572940281</c:v>
                </c:pt>
                <c:pt idx="64">
                  <c:v>68.783068783068785</c:v>
                </c:pt>
                <c:pt idx="65">
                  <c:v>65.079365079365076</c:v>
                </c:pt>
                <c:pt idx="66">
                  <c:v>68.556311413454267</c:v>
                </c:pt>
                <c:pt idx="67">
                  <c:v>68.783068783068785</c:v>
                </c:pt>
                <c:pt idx="68">
                  <c:v>65.003779289493565</c:v>
                </c:pt>
                <c:pt idx="69">
                  <c:v>65.230536659108083</c:v>
                </c:pt>
                <c:pt idx="70">
                  <c:v>61.375661375661373</c:v>
                </c:pt>
                <c:pt idx="71">
                  <c:v>61.375661375661373</c:v>
                </c:pt>
                <c:pt idx="72">
                  <c:v>67.649281934996225</c:v>
                </c:pt>
                <c:pt idx="73">
                  <c:v>82.46409674981102</c:v>
                </c:pt>
                <c:pt idx="74">
                  <c:v>77.928949357520764</c:v>
                </c:pt>
                <c:pt idx="75">
                  <c:v>72.10884353741497</c:v>
                </c:pt>
                <c:pt idx="76">
                  <c:v>73.015873015872998</c:v>
                </c:pt>
                <c:pt idx="77">
                  <c:v>74.30083144368858</c:v>
                </c:pt>
                <c:pt idx="78">
                  <c:v>75.132275132275126</c:v>
                </c:pt>
                <c:pt idx="79">
                  <c:v>82.539682539682531</c:v>
                </c:pt>
                <c:pt idx="80">
                  <c:v>87.755102040816311</c:v>
                </c:pt>
                <c:pt idx="81">
                  <c:v>84.958427815570673</c:v>
                </c:pt>
                <c:pt idx="82">
                  <c:v>79.969765684051382</c:v>
                </c:pt>
                <c:pt idx="83">
                  <c:v>87.150415721844283</c:v>
                </c:pt>
                <c:pt idx="84">
                  <c:v>88.586545729402872</c:v>
                </c:pt>
                <c:pt idx="85">
                  <c:v>91.836734693877546</c:v>
                </c:pt>
                <c:pt idx="8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E4-4BE4-A9FC-26180074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936232"/>
        <c:axId val="557932312"/>
      </c:lineChart>
      <c:catAx>
        <c:axId val="55793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932312"/>
        <c:crosses val="autoZero"/>
        <c:auto val="1"/>
        <c:lblAlgn val="ctr"/>
        <c:lblOffset val="100"/>
        <c:tickMarkSkip val="4"/>
        <c:noMultiLvlLbl val="0"/>
      </c:catAx>
      <c:valAx>
        <c:axId val="55793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936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7</xdr:row>
      <xdr:rowOff>52387</xdr:rowOff>
    </xdr:from>
    <xdr:to>
      <xdr:col>24</xdr:col>
      <xdr:colOff>76200</xdr:colOff>
      <xdr:row>21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22</xdr:row>
      <xdr:rowOff>71437</xdr:rowOff>
    </xdr:from>
    <xdr:to>
      <xdr:col>24</xdr:col>
      <xdr:colOff>314325</xdr:colOff>
      <xdr:row>36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39</xdr:row>
      <xdr:rowOff>0</xdr:rowOff>
    </xdr:from>
    <xdr:to>
      <xdr:col>24</xdr:col>
      <xdr:colOff>304800</xdr:colOff>
      <xdr:row>53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14</xdr:row>
      <xdr:rowOff>157162</xdr:rowOff>
    </xdr:from>
    <xdr:to>
      <xdr:col>19</xdr:col>
      <xdr:colOff>47625</xdr:colOff>
      <xdr:row>29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428625</xdr:colOff>
      <xdr:row>32</xdr:row>
      <xdr:rowOff>80961</xdr:rowOff>
    </xdr:from>
    <xdr:to>
      <xdr:col>19</xdr:col>
      <xdr:colOff>409575</xdr:colOff>
      <xdr:row>47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</xdr:row>
      <xdr:rowOff>180975</xdr:rowOff>
    </xdr:from>
    <xdr:to>
      <xdr:col>22</xdr:col>
      <xdr:colOff>223837</xdr:colOff>
      <xdr:row>22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523875</xdr:colOff>
      <xdr:row>24</xdr:row>
      <xdr:rowOff>33337</xdr:rowOff>
    </xdr:from>
    <xdr:to>
      <xdr:col>20</xdr:col>
      <xdr:colOff>371475</xdr:colOff>
      <xdr:row>38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238125</xdr:colOff>
      <xdr:row>9</xdr:row>
      <xdr:rowOff>4762</xdr:rowOff>
    </xdr:from>
    <xdr:to>
      <xdr:col>21</xdr:col>
      <xdr:colOff>542925</xdr:colOff>
      <xdr:row>23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238125</xdr:colOff>
      <xdr:row>23</xdr:row>
      <xdr:rowOff>166687</xdr:rowOff>
    </xdr:from>
    <xdr:to>
      <xdr:col>21</xdr:col>
      <xdr:colOff>542925</xdr:colOff>
      <xdr:row>38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152400</xdr:colOff>
      <xdr:row>39</xdr:row>
      <xdr:rowOff>14287</xdr:rowOff>
    </xdr:from>
    <xdr:to>
      <xdr:col>21</xdr:col>
      <xdr:colOff>457200</xdr:colOff>
      <xdr:row>53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95</xdr:row>
      <xdr:rowOff>9525</xdr:rowOff>
    </xdr:from>
    <xdr:to>
      <xdr:col>5</xdr:col>
      <xdr:colOff>628650</xdr:colOff>
      <xdr:row>117</xdr:row>
      <xdr:rowOff>9525</xdr:rowOff>
    </xdr:to>
    <xdr:graphicFrame macro="">
      <xdr:nvGraphicFramePr>
        <xdr:cNvPr id="2" name="8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95</xdr:row>
      <xdr:rowOff>19050</xdr:rowOff>
    </xdr:from>
    <xdr:to>
      <xdr:col>11</xdr:col>
      <xdr:colOff>619125</xdr:colOff>
      <xdr:row>117</xdr:row>
      <xdr:rowOff>19050</xdr:rowOff>
    </xdr:to>
    <xdr:graphicFrame macro="">
      <xdr:nvGraphicFramePr>
        <xdr:cNvPr id="3" name="9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95</xdr:row>
      <xdr:rowOff>47625</xdr:rowOff>
    </xdr:from>
    <xdr:to>
      <xdr:col>17</xdr:col>
      <xdr:colOff>19050</xdr:colOff>
      <xdr:row>117</xdr:row>
      <xdr:rowOff>28575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19050</xdr:colOff>
      <xdr:row>95</xdr:row>
      <xdr:rowOff>9525</xdr:rowOff>
    </xdr:from>
    <xdr:to>
      <xdr:col>27</xdr:col>
      <xdr:colOff>657225</xdr:colOff>
      <xdr:row>117</xdr:row>
      <xdr:rowOff>47625</xdr:rowOff>
    </xdr:to>
    <xdr:graphicFrame macro="">
      <xdr:nvGraphicFramePr>
        <xdr:cNvPr id="5" name="11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19050</xdr:colOff>
      <xdr:row>95</xdr:row>
      <xdr:rowOff>47625</xdr:rowOff>
    </xdr:from>
    <xdr:to>
      <xdr:col>22</xdr:col>
      <xdr:colOff>9525</xdr:colOff>
      <xdr:row>117</xdr:row>
      <xdr:rowOff>38100</xdr:rowOff>
    </xdr:to>
    <xdr:graphicFrame macro="">
      <xdr:nvGraphicFramePr>
        <xdr:cNvPr id="6" name="13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628651</xdr:colOff>
      <xdr:row>70</xdr:row>
      <xdr:rowOff>95250</xdr:rowOff>
    </xdr:from>
    <xdr:to>
      <xdr:col>7</xdr:col>
      <xdr:colOff>200025</xdr:colOff>
      <xdr:row>80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285749</xdr:colOff>
      <xdr:row>70</xdr:row>
      <xdr:rowOff>180975</xdr:rowOff>
    </xdr:from>
    <xdr:to>
      <xdr:col>14</xdr:col>
      <xdr:colOff>400050</xdr:colOff>
      <xdr:row>81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257176</xdr:colOff>
      <xdr:row>81</xdr:row>
      <xdr:rowOff>47625</xdr:rowOff>
    </xdr:from>
    <xdr:to>
      <xdr:col>14</xdr:col>
      <xdr:colOff>361950</xdr:colOff>
      <xdr:row>92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93</xdr:row>
      <xdr:rowOff>66674</xdr:rowOff>
    </xdr:from>
    <xdr:to>
      <xdr:col>14</xdr:col>
      <xdr:colOff>57150</xdr:colOff>
      <xdr:row>104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93</xdr:row>
      <xdr:rowOff>28574</xdr:rowOff>
    </xdr:from>
    <xdr:to>
      <xdr:col>8</xdr:col>
      <xdr:colOff>666750</xdr:colOff>
      <xdr:row>104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509587</xdr:colOff>
      <xdr:row>81</xdr:row>
      <xdr:rowOff>123825</xdr:rowOff>
    </xdr:from>
    <xdr:to>
      <xdr:col>7</xdr:col>
      <xdr:colOff>200025</xdr:colOff>
      <xdr:row>91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bsell/Dropbox/Chrish%20Absell/Paper%20Brazil%20export%20growth/International%20prices/Brazil_Weighted%20average%20pri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bsell/Dropbox/Chrish%20Absell/Paper%20Brazil%20export%20growth/International%20prices/Brazil_%20Export%20prices%201800-18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gar"/>
      <sheetName val="Coffee"/>
      <sheetName val="Cacao"/>
      <sheetName val="Cotton"/>
    </sheetNames>
    <sheetDataSet>
      <sheetData sheetId="0">
        <row r="5">
          <cell r="M5">
            <v>29.239047790517986</v>
          </cell>
        </row>
        <row r="6">
          <cell r="M6">
            <v>27.251749862207337</v>
          </cell>
        </row>
        <row r="7">
          <cell r="M7">
            <v>29.278081934877449</v>
          </cell>
        </row>
        <row r="8">
          <cell r="M8">
            <v>28.815987739617302</v>
          </cell>
        </row>
        <row r="9">
          <cell r="M9">
            <v>36.578734706975297</v>
          </cell>
        </row>
        <row r="10">
          <cell r="M10">
            <v>28.768415744653346</v>
          </cell>
        </row>
        <row r="11">
          <cell r="M11">
            <v>33.644282578651037</v>
          </cell>
        </row>
        <row r="12">
          <cell r="M12">
            <v>32.52337236519169</v>
          </cell>
        </row>
        <row r="13">
          <cell r="M13">
            <v>28.44688459365593</v>
          </cell>
        </row>
        <row r="14">
          <cell r="M14">
            <v>25.756916761997985</v>
          </cell>
        </row>
        <row r="15">
          <cell r="M15">
            <v>24.835755679076833</v>
          </cell>
        </row>
        <row r="16">
          <cell r="M16">
            <v>26.66222999423945</v>
          </cell>
        </row>
        <row r="17">
          <cell r="M17">
            <v>29.71268029307069</v>
          </cell>
        </row>
        <row r="18">
          <cell r="M18">
            <v>30.564444727851384</v>
          </cell>
        </row>
        <row r="19">
          <cell r="M19">
            <v>34.363703924627032</v>
          </cell>
        </row>
        <row r="20">
          <cell r="M20">
            <v>38.773059465734178</v>
          </cell>
        </row>
        <row r="21">
          <cell r="M21">
            <v>29.999447805005794</v>
          </cell>
        </row>
        <row r="22">
          <cell r="M22">
            <v>31.923917612093575</v>
          </cell>
        </row>
        <row r="23">
          <cell r="M23">
            <v>31.97708440787887</v>
          </cell>
        </row>
        <row r="24">
          <cell r="M24">
            <v>36.023067915428165</v>
          </cell>
        </row>
        <row r="25">
          <cell r="M25">
            <v>31.859081638755868</v>
          </cell>
        </row>
        <row r="26">
          <cell r="M26">
            <v>28.393506316868212</v>
          </cell>
        </row>
        <row r="27">
          <cell r="M27">
            <v>29.94530812042133</v>
          </cell>
        </row>
        <row r="28">
          <cell r="M28">
            <v>29.216203767095827</v>
          </cell>
        </row>
        <row r="29">
          <cell r="M29">
            <v>32.587638299037849</v>
          </cell>
        </row>
        <row r="30">
          <cell r="M30">
            <v>31.455004299861272</v>
          </cell>
        </row>
        <row r="31">
          <cell r="M31">
            <v>27.475384493140368</v>
          </cell>
        </row>
        <row r="32">
          <cell r="M32">
            <v>21.051611061760681</v>
          </cell>
        </row>
        <row r="33">
          <cell r="M33">
            <v>24.018145470422279</v>
          </cell>
        </row>
        <row r="34">
          <cell r="M34">
            <v>26.826908092204501</v>
          </cell>
        </row>
      </sheetData>
      <sheetData sheetId="1">
        <row r="5">
          <cell r="W5">
            <v>107.24395127170122</v>
          </cell>
        </row>
        <row r="6">
          <cell r="W6">
            <v>102.50178942270273</v>
          </cell>
        </row>
        <row r="7">
          <cell r="W7">
            <v>108.2371416329397</v>
          </cell>
        </row>
        <row r="8">
          <cell r="W8">
            <v>69.54066772752121</v>
          </cell>
        </row>
        <row r="9">
          <cell r="W9">
            <v>67.29319107363375</v>
          </cell>
        </row>
        <row r="10">
          <cell r="W10">
            <v>57.327197765407767</v>
          </cell>
        </row>
        <row r="11">
          <cell r="W11">
            <v>53.184541599161818</v>
          </cell>
        </row>
        <row r="12">
          <cell r="W12">
            <v>49.62947719210824</v>
          </cell>
        </row>
        <row r="13">
          <cell r="W13">
            <v>46.737553442585906</v>
          </cell>
        </row>
        <row r="14">
          <cell r="W14">
            <v>44.83341572152456</v>
          </cell>
        </row>
        <row r="15">
          <cell r="W15">
            <v>45.275208183153389</v>
          </cell>
        </row>
        <row r="16">
          <cell r="W16">
            <v>51.688554405384451</v>
          </cell>
        </row>
        <row r="17">
          <cell r="W17">
            <v>52.904536053700795</v>
          </cell>
        </row>
        <row r="18">
          <cell r="W18">
            <v>50.386684762151958</v>
          </cell>
        </row>
        <row r="19">
          <cell r="W19">
            <v>50.637213077098167</v>
          </cell>
        </row>
        <row r="20">
          <cell r="W20">
            <v>49.468143513012464</v>
          </cell>
        </row>
        <row r="21">
          <cell r="W21">
            <v>43.527981793492529</v>
          </cell>
        </row>
        <row r="22">
          <cell r="W22">
            <v>43.789963459725357</v>
          </cell>
        </row>
        <row r="23">
          <cell r="W23">
            <v>45.057982542018749</v>
          </cell>
        </row>
        <row r="24">
          <cell r="W24">
            <v>43.856610716214369</v>
          </cell>
        </row>
        <row r="25">
          <cell r="W25">
            <v>43.629910815266939</v>
          </cell>
        </row>
        <row r="26">
          <cell r="W26">
            <v>38.211980835921622</v>
          </cell>
        </row>
        <row r="27">
          <cell r="W27">
            <v>33.83210701422805</v>
          </cell>
        </row>
        <row r="28">
          <cell r="W28">
            <v>31.305886028825853</v>
          </cell>
        </row>
        <row r="29">
          <cell r="W29">
            <v>29.646063821488816</v>
          </cell>
        </row>
        <row r="30">
          <cell r="W30">
            <v>30.190084101706432</v>
          </cell>
        </row>
        <row r="31">
          <cell r="W31">
            <v>30.579255637988719</v>
          </cell>
        </row>
        <row r="32">
          <cell r="W32">
            <v>27.05398978154566</v>
          </cell>
        </row>
        <row r="33">
          <cell r="W33">
            <v>32.030216394135543</v>
          </cell>
        </row>
        <row r="34">
          <cell r="W34">
            <v>41.857456002341628</v>
          </cell>
        </row>
      </sheetData>
      <sheetData sheetId="2">
        <row r="4">
          <cell r="U4">
            <v>63.791653472735263</v>
          </cell>
        </row>
        <row r="5">
          <cell r="U5">
            <v>54.423461861650949</v>
          </cell>
        </row>
        <row r="6">
          <cell r="U6">
            <v>55.355274433127526</v>
          </cell>
        </row>
        <row r="7">
          <cell r="U7">
            <v>61.377174474862294</v>
          </cell>
        </row>
        <row r="8">
          <cell r="U8">
            <v>62.538411348532179</v>
          </cell>
        </row>
        <row r="9">
          <cell r="U9">
            <v>54.110016241999745</v>
          </cell>
        </row>
        <row r="10">
          <cell r="U10">
            <v>44.081830222991286</v>
          </cell>
        </row>
        <row r="11">
          <cell r="U11">
            <v>46.914251099379868</v>
          </cell>
        </row>
        <row r="12">
          <cell r="U12">
            <v>44.956222030621916</v>
          </cell>
        </row>
        <row r="13">
          <cell r="U13">
            <v>43.247749626759699</v>
          </cell>
        </row>
        <row r="14">
          <cell r="U14">
            <v>29.992302200928897</v>
          </cell>
        </row>
        <row r="15">
          <cell r="U15">
            <v>35.54617712538662</v>
          </cell>
        </row>
        <row r="16">
          <cell r="U16">
            <v>37.092277859669359</v>
          </cell>
        </row>
        <row r="17">
          <cell r="U17">
            <v>34.029624178681949</v>
          </cell>
        </row>
        <row r="18">
          <cell r="U18">
            <v>41.596277153348225</v>
          </cell>
        </row>
        <row r="19">
          <cell r="U19">
            <v>35.855765920703597</v>
          </cell>
        </row>
        <row r="20">
          <cell r="U20">
            <v>36.516541872936443</v>
          </cell>
        </row>
        <row r="21">
          <cell r="U21">
            <v>36.550268622820226</v>
          </cell>
        </row>
        <row r="22">
          <cell r="U22">
            <v>33.944401799644282</v>
          </cell>
        </row>
        <row r="23">
          <cell r="U23">
            <v>39.186498520949684</v>
          </cell>
        </row>
        <row r="24">
          <cell r="U24">
            <v>44.701254727354083</v>
          </cell>
        </row>
        <row r="25">
          <cell r="U25">
            <v>52.866586500138681</v>
          </cell>
        </row>
        <row r="26">
          <cell r="U26">
            <v>42.366451622876838</v>
          </cell>
        </row>
        <row r="27">
          <cell r="U27">
            <v>42.666638886948974</v>
          </cell>
        </row>
        <row r="28">
          <cell r="U28">
            <v>40.961808785112339</v>
          </cell>
        </row>
        <row r="29">
          <cell r="U29">
            <v>42.434057368688968</v>
          </cell>
        </row>
        <row r="30">
          <cell r="U30">
            <v>42.374922588553069</v>
          </cell>
        </row>
        <row r="31">
          <cell r="U31">
            <v>40.89254063083861</v>
          </cell>
        </row>
        <row r="32">
          <cell r="U32">
            <v>42.722501942285227</v>
          </cell>
        </row>
        <row r="33">
          <cell r="U33">
            <v>42.271588972955868</v>
          </cell>
        </row>
        <row r="34">
          <cell r="U34">
            <v>40.504861984522961</v>
          </cell>
        </row>
        <row r="35">
          <cell r="U35">
            <v>30.658616214386434</v>
          </cell>
        </row>
        <row r="36">
          <cell r="U36">
            <v>34.351912026169799</v>
          </cell>
        </row>
        <row r="37">
          <cell r="U37">
            <v>40.224495817789553</v>
          </cell>
        </row>
        <row r="38">
          <cell r="U38">
            <v>34.933260690444236</v>
          </cell>
        </row>
        <row r="39">
          <cell r="U39">
            <v>37.69277181819362</v>
          </cell>
        </row>
        <row r="40">
          <cell r="U40">
            <v>41.331603210181697</v>
          </cell>
        </row>
        <row r="41">
          <cell r="U41">
            <v>37.677599287906517</v>
          </cell>
        </row>
        <row r="42">
          <cell r="U42">
            <v>37.770192753440512</v>
          </cell>
        </row>
        <row r="43">
          <cell r="U43">
            <v>37.159346930155223</v>
          </cell>
        </row>
        <row r="44">
          <cell r="U44">
            <v>34.268926373542172</v>
          </cell>
        </row>
      </sheetData>
      <sheetData sheetId="3">
        <row r="4">
          <cell r="L4">
            <v>61.520885923248294</v>
          </cell>
        </row>
        <row r="5">
          <cell r="L5">
            <v>50.644827136698382</v>
          </cell>
        </row>
        <row r="6">
          <cell r="L6">
            <v>51.453297594405157</v>
          </cell>
        </row>
        <row r="7">
          <cell r="L7">
            <v>57.177235890632211</v>
          </cell>
        </row>
        <row r="8">
          <cell r="L8">
            <v>79.015814988872734</v>
          </cell>
        </row>
        <row r="9">
          <cell r="L9">
            <v>40.86727700392639</v>
          </cell>
        </row>
        <row r="10">
          <cell r="L10">
            <v>42.409420529179094</v>
          </cell>
        </row>
        <row r="11">
          <cell r="L11">
            <v>46.256542553902925</v>
          </cell>
        </row>
        <row r="12">
          <cell r="L12">
            <v>40.10360676579468</v>
          </cell>
        </row>
        <row r="13">
          <cell r="L13">
            <v>49.746606849430208</v>
          </cell>
        </row>
        <row r="14">
          <cell r="L14">
            <v>39.217006074260915</v>
          </cell>
        </row>
        <row r="15">
          <cell r="L15">
            <v>48.290781624800331</v>
          </cell>
        </row>
        <row r="16">
          <cell r="L16">
            <v>63.226155595390743</v>
          </cell>
        </row>
        <row r="17">
          <cell r="L17">
            <v>65.483041383346389</v>
          </cell>
        </row>
        <row r="18">
          <cell r="L18">
            <v>75.117688351722308</v>
          </cell>
        </row>
        <row r="19">
          <cell r="L19">
            <v>68.765917993886077</v>
          </cell>
        </row>
        <row r="20">
          <cell r="L20">
            <v>43.893517925379797</v>
          </cell>
        </row>
        <row r="21">
          <cell r="L21">
            <v>44.108126971775889</v>
          </cell>
        </row>
        <row r="22">
          <cell r="L22">
            <v>54.508765309040051</v>
          </cell>
        </row>
        <row r="23">
          <cell r="L23">
            <v>38.568448573276598</v>
          </cell>
        </row>
        <row r="24">
          <cell r="L24">
            <v>43.003649604109079</v>
          </cell>
        </row>
        <row r="25">
          <cell r="L25">
            <v>36.045284437884689</v>
          </cell>
        </row>
        <row r="26">
          <cell r="L26">
            <v>31.950939850162296</v>
          </cell>
        </row>
        <row r="27">
          <cell r="L27">
            <v>34.863399966092011</v>
          </cell>
        </row>
        <row r="28">
          <cell r="L28">
            <v>27.737169411589871</v>
          </cell>
        </row>
        <row r="29">
          <cell r="L29">
            <v>35.413184449367158</v>
          </cell>
        </row>
        <row r="30">
          <cell r="L30">
            <v>45.383172312612203</v>
          </cell>
        </row>
        <row r="31">
          <cell r="L31">
            <v>28.595567718793596</v>
          </cell>
        </row>
        <row r="32">
          <cell r="L32">
            <v>29.897852388753694</v>
          </cell>
        </row>
        <row r="33">
          <cell r="L33">
            <v>56.3900053163511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riginal"/>
      <sheetName val="Prices converted to tonnes"/>
      <sheetName val="Trade costs"/>
      <sheetName val="Adjusted prices"/>
      <sheetName val="exchange rate"/>
    </sheetNames>
    <sheetDataSet>
      <sheetData sheetId="0"/>
      <sheetData sheetId="1"/>
      <sheetData sheetId="2"/>
      <sheetData sheetId="3">
        <row r="5">
          <cell r="U5">
            <v>60.196897749095449</v>
          </cell>
        </row>
        <row r="6">
          <cell r="U6">
            <v>68.394520980798816</v>
          </cell>
        </row>
        <row r="7">
          <cell r="U7">
            <v>70.646885069446881</v>
          </cell>
        </row>
        <row r="8">
          <cell r="U8">
            <v>67.745864585367514</v>
          </cell>
        </row>
        <row r="9">
          <cell r="U9">
            <v>71.566792243622729</v>
          </cell>
        </row>
        <row r="10">
          <cell r="U10">
            <v>65.595604129042243</v>
          </cell>
        </row>
        <row r="11">
          <cell r="U11">
            <v>72.470230496724</v>
          </cell>
        </row>
        <row r="12">
          <cell r="U12">
            <v>78.323510599750961</v>
          </cell>
        </row>
        <row r="13">
          <cell r="U13">
            <v>60.601106643533079</v>
          </cell>
        </row>
        <row r="14">
          <cell r="U14">
            <v>59.420663154716067</v>
          </cell>
        </row>
        <row r="15">
          <cell r="U15">
            <v>63.790823084762408</v>
          </cell>
        </row>
        <row r="16">
          <cell r="U16">
            <v>60.944848606633215</v>
          </cell>
        </row>
        <row r="17">
          <cell r="U17">
            <v>61.251475358246182</v>
          </cell>
        </row>
        <row r="18">
          <cell r="U18">
            <v>58.793689903840907</v>
          </cell>
        </row>
        <row r="19">
          <cell r="U19">
            <v>51.957439655416849</v>
          </cell>
        </row>
        <row r="20">
          <cell r="U20">
            <v>51.503049257152099</v>
          </cell>
        </row>
        <row r="21">
          <cell r="U21">
            <v>49.463973581866583</v>
          </cell>
        </row>
        <row r="22">
          <cell r="U22">
            <v>52.074092391974332</v>
          </cell>
        </row>
        <row r="23">
          <cell r="U23">
            <v>55.744619743361675</v>
          </cell>
        </row>
        <row r="24">
          <cell r="U24">
            <v>61.387108854806058</v>
          </cell>
        </row>
        <row r="25">
          <cell r="U25">
            <v>57.067407573838551</v>
          </cell>
        </row>
        <row r="26">
          <cell r="U26">
            <v>51.233844129630072</v>
          </cell>
        </row>
        <row r="27">
          <cell r="U27">
            <v>49.297605259209973</v>
          </cell>
        </row>
        <row r="28">
          <cell r="U28">
            <v>49.315523138801851</v>
          </cell>
        </row>
        <row r="29">
          <cell r="U29">
            <v>48.206508977125296</v>
          </cell>
        </row>
        <row r="30">
          <cell r="U30">
            <v>45.608823570299975</v>
          </cell>
          <cell r="AA30">
            <v>28.734154393599724</v>
          </cell>
          <cell r="AB30">
            <v>25.647604260460341</v>
          </cell>
          <cell r="AC30">
            <v>36.039941926954391</v>
          </cell>
          <cell r="AD30">
            <v>51.174622569272529</v>
          </cell>
        </row>
        <row r="31">
          <cell r="U31">
            <v>42.068681820263755</v>
          </cell>
          <cell r="AA31">
            <v>23.481855714691147</v>
          </cell>
          <cell r="AB31">
            <v>26.686879206844729</v>
          </cell>
          <cell r="AC31">
            <v>46.180870637652681</v>
          </cell>
          <cell r="AD31">
            <v>46.193150917748504</v>
          </cell>
        </row>
        <row r="32">
          <cell r="U32">
            <v>41.315520204669895</v>
          </cell>
          <cell r="AA32">
            <v>17.243745742696177</v>
          </cell>
          <cell r="AB32">
            <v>23.17305632690946</v>
          </cell>
          <cell r="AC32">
            <v>30.237910016473776</v>
          </cell>
          <cell r="AD32">
            <v>36.877448402808177</v>
          </cell>
        </row>
        <row r="33">
          <cell r="U33">
            <v>38.616905598159072</v>
          </cell>
          <cell r="AA33">
            <v>19.022333423815958</v>
          </cell>
          <cell r="AB33">
            <v>30.556136511698842</v>
          </cell>
          <cell r="AC33">
            <v>38.602867672740423</v>
          </cell>
          <cell r="AD33">
            <v>36.20366493231046</v>
          </cell>
        </row>
        <row r="34">
          <cell r="U34">
            <v>42.867200824182646</v>
          </cell>
          <cell r="AA34">
            <v>19.919886786427639</v>
          </cell>
          <cell r="AB34">
            <v>40.647502858631597</v>
          </cell>
          <cell r="AC34">
            <v>55.549497318435442</v>
          </cell>
          <cell r="AD34">
            <v>38.671276703910387</v>
          </cell>
        </row>
        <row r="35">
          <cell r="U35">
            <v>52.943737706108529</v>
          </cell>
          <cell r="AA35">
            <v>19.951045524339026</v>
          </cell>
          <cell r="AB35">
            <v>32.658794584748776</v>
          </cell>
          <cell r="AC35">
            <v>43.01253446102838</v>
          </cell>
          <cell r="AD35">
            <v>46.159363300166035</v>
          </cell>
        </row>
        <row r="36">
          <cell r="U36">
            <v>60.489558257497649</v>
          </cell>
          <cell r="AA36">
            <v>17.386850725655801</v>
          </cell>
          <cell r="AB36">
            <v>35.484168987594387</v>
          </cell>
          <cell r="AC36">
            <v>41.787460995409035</v>
          </cell>
          <cell r="AD36">
            <v>44.576926677599936</v>
          </cell>
        </row>
        <row r="37">
          <cell r="U37">
            <v>71.518397724004757</v>
          </cell>
          <cell r="AA37">
            <v>19.436735216022065</v>
          </cell>
          <cell r="AB37">
            <v>39.237900906227949</v>
          </cell>
          <cell r="AC37">
            <v>46.064489976773082</v>
          </cell>
          <cell r="AD37">
            <v>52.203345409031023</v>
          </cell>
        </row>
        <row r="38">
          <cell r="U38">
            <v>89.900324160327202</v>
          </cell>
          <cell r="AA38">
            <v>17.63905352735101</v>
          </cell>
          <cell r="AB38">
            <v>42.855133818377517</v>
          </cell>
          <cell r="AC38">
            <v>43.031107960737408</v>
          </cell>
          <cell r="AD38">
            <v>61.049057434500178</v>
          </cell>
        </row>
        <row r="39">
          <cell r="U39">
            <v>93.794551277488281</v>
          </cell>
          <cell r="AA39">
            <v>21.232414529993505</v>
          </cell>
          <cell r="AB39">
            <v>37.631330804988082</v>
          </cell>
          <cell r="AC39">
            <v>45.017282248782315</v>
          </cell>
          <cell r="AD39">
            <v>72.967450164772544</v>
          </cell>
        </row>
        <row r="40">
          <cell r="U40">
            <v>105.71975605933083</v>
          </cell>
          <cell r="AA40">
            <v>24.617127843802447</v>
          </cell>
          <cell r="AB40">
            <v>39.195104671961083</v>
          </cell>
          <cell r="AC40">
            <v>50.298350736106592</v>
          </cell>
          <cell r="AD40">
            <v>88.716649768419217</v>
          </cell>
        </row>
        <row r="41">
          <cell r="U41">
            <v>132.174995868439</v>
          </cell>
          <cell r="AA41">
            <v>29.993899262211976</v>
          </cell>
          <cell r="AB41">
            <v>44.093673893317963</v>
          </cell>
          <cell r="AC41">
            <v>62.244972163945761</v>
          </cell>
          <cell r="AD41">
            <v>111.75113215655068</v>
          </cell>
        </row>
        <row r="42">
          <cell r="U42">
            <v>101.56132464612537</v>
          </cell>
          <cell r="AA42">
            <v>20.910110038092473</v>
          </cell>
          <cell r="AB42">
            <v>36.507978401582307</v>
          </cell>
          <cell r="AC42">
            <v>54.860217079998144</v>
          </cell>
          <cell r="AD42">
            <v>90.186283327997089</v>
          </cell>
        </row>
        <row r="43">
          <cell r="U43">
            <v>119.71806295758064</v>
          </cell>
          <cell r="AA43">
            <v>20.318321318423777</v>
          </cell>
          <cell r="AB43">
            <v>46.181569937306008</v>
          </cell>
          <cell r="AC43">
            <v>54.523131275032213</v>
          </cell>
          <cell r="AD43">
            <v>94.757075458387064</v>
          </cell>
        </row>
        <row r="44">
          <cell r="U44">
            <v>102.74620486786519</v>
          </cell>
          <cell r="AA44">
            <v>21.016887293996774</v>
          </cell>
          <cell r="AB44">
            <v>53.003843234991891</v>
          </cell>
          <cell r="AC44">
            <v>49.644866558465587</v>
          </cell>
          <cell r="AD44">
            <v>95.803332227576675</v>
          </cell>
        </row>
        <row r="45">
          <cell r="U45">
            <v>99.206148717073503</v>
          </cell>
          <cell r="AA45">
            <v>18.927362147320792</v>
          </cell>
          <cell r="AB45">
            <v>47.54059286830212</v>
          </cell>
          <cell r="AC45">
            <v>68.602062693033986</v>
          </cell>
          <cell r="AD45">
            <v>82.087994677995923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B1" workbookViewId="0">
      <selection activeCell="C39" sqref="C39"/>
    </sheetView>
  </sheetViews>
  <sheetFormatPr defaultColWidth="8.85546875" defaultRowHeight="15" x14ac:dyDescent="0.25"/>
  <cols>
    <col min="1" max="1" width="11.42578125" style="1" customWidth="1"/>
    <col min="2" max="2" width="13.7109375" style="1" customWidth="1"/>
    <col min="3" max="3" width="14.7109375" style="1" customWidth="1"/>
    <col min="4" max="4" width="16.140625" style="1" customWidth="1"/>
    <col min="5" max="5" width="8.85546875" style="1"/>
    <col min="6" max="6" width="14.42578125" style="1" customWidth="1"/>
    <col min="7" max="7" width="14.7109375" style="1" customWidth="1"/>
    <col min="8" max="8" width="12.7109375" style="1" customWidth="1"/>
  </cols>
  <sheetData>
    <row r="1" spans="1:13" x14ac:dyDescent="0.25">
      <c r="A1" s="3"/>
      <c r="B1" s="72" t="s">
        <v>5</v>
      </c>
      <c r="C1" s="72"/>
      <c r="D1" s="72"/>
      <c r="F1" s="72" t="s">
        <v>6</v>
      </c>
      <c r="G1" s="72"/>
      <c r="H1" s="72"/>
      <c r="L1" s="72" t="s">
        <v>15</v>
      </c>
      <c r="M1" s="72"/>
    </row>
    <row r="2" spans="1:13" x14ac:dyDescent="0.25">
      <c r="A2" s="3" t="s">
        <v>0</v>
      </c>
      <c r="B2" s="3" t="s">
        <v>1</v>
      </c>
      <c r="C2" s="3" t="s">
        <v>2</v>
      </c>
      <c r="D2" s="3" t="s">
        <v>3</v>
      </c>
      <c r="F2" s="3" t="s">
        <v>7</v>
      </c>
      <c r="G2" s="3" t="s">
        <v>7</v>
      </c>
      <c r="H2" s="3" t="s">
        <v>10</v>
      </c>
      <c r="L2" t="s">
        <v>5</v>
      </c>
      <c r="M2" t="s">
        <v>6</v>
      </c>
    </row>
    <row r="3" spans="1:13" x14ac:dyDescent="0.25">
      <c r="A3" s="3"/>
      <c r="B3" s="3" t="s">
        <v>11</v>
      </c>
      <c r="C3" s="3" t="s">
        <v>9</v>
      </c>
      <c r="D3" s="3" t="s">
        <v>4</v>
      </c>
      <c r="F3" s="3" t="s">
        <v>11</v>
      </c>
      <c r="G3" s="3" t="s">
        <v>9</v>
      </c>
      <c r="H3" s="3" t="s">
        <v>4</v>
      </c>
      <c r="L3" t="s">
        <v>11</v>
      </c>
      <c r="M3" t="s">
        <v>11</v>
      </c>
    </row>
    <row r="4" spans="1:13" x14ac:dyDescent="0.25">
      <c r="A4" s="3">
        <v>1821</v>
      </c>
      <c r="B4" s="4">
        <v>3992039.2306849891</v>
      </c>
      <c r="C4" s="4">
        <v>2572004.2026062426</v>
      </c>
      <c r="D4" s="5">
        <v>1.552112250298739</v>
      </c>
      <c r="F4" s="10">
        <v>5157541.3940968169</v>
      </c>
      <c r="L4">
        <v>4324000</v>
      </c>
      <c r="M4">
        <v>4571000</v>
      </c>
    </row>
    <row r="5" spans="1:13" x14ac:dyDescent="0.25">
      <c r="A5" s="3">
        <f t="shared" ref="A5:A32" si="0">A4+1</f>
        <v>1822</v>
      </c>
      <c r="B5" s="4">
        <v>4397250.901623277</v>
      </c>
      <c r="C5" s="4">
        <v>2960670.8696862319</v>
      </c>
      <c r="D5" s="5">
        <v>1.4852211188504354</v>
      </c>
      <c r="F5" s="10">
        <v>4563007.0371391196</v>
      </c>
      <c r="L5">
        <v>4030000</v>
      </c>
      <c r="M5">
        <v>4590000</v>
      </c>
    </row>
    <row r="6" spans="1:13" x14ac:dyDescent="0.25">
      <c r="A6" s="3">
        <f t="shared" si="0"/>
        <v>1823</v>
      </c>
      <c r="B6" s="4">
        <v>5324439.3278196231</v>
      </c>
      <c r="C6" s="4">
        <v>3356142.5248618266</v>
      </c>
      <c r="D6" s="5">
        <v>1.5864759283543335</v>
      </c>
      <c r="F6" s="10">
        <v>3854140.24342837</v>
      </c>
      <c r="L6">
        <v>4358000</v>
      </c>
      <c r="M6">
        <v>4097000</v>
      </c>
    </row>
    <row r="7" spans="1:13" x14ac:dyDescent="0.25">
      <c r="A7" s="3">
        <f t="shared" si="0"/>
        <v>1824</v>
      </c>
      <c r="B7" s="4">
        <v>4756459.4258022495</v>
      </c>
      <c r="C7" s="4">
        <v>3758207.9539202326</v>
      </c>
      <c r="D7" s="5">
        <v>1.2656190088791464</v>
      </c>
      <c r="F7" s="10">
        <v>5860393.7030111123</v>
      </c>
      <c r="L7">
        <v>3851000</v>
      </c>
      <c r="M7">
        <v>4837000</v>
      </c>
    </row>
    <row r="8" spans="1:13" x14ac:dyDescent="0.25">
      <c r="A8" s="3">
        <f t="shared" si="0"/>
        <v>1825</v>
      </c>
      <c r="B8" s="4">
        <v>5051293.1170643382</v>
      </c>
      <c r="C8" s="4">
        <v>3612560.413461023</v>
      </c>
      <c r="D8" s="5">
        <v>1.3982584480088829</v>
      </c>
      <c r="F8" s="10">
        <v>6709160.8026253693</v>
      </c>
      <c r="L8">
        <v>4622000</v>
      </c>
      <c r="M8">
        <v>4933000</v>
      </c>
    </row>
    <row r="9" spans="1:13" x14ac:dyDescent="0.25">
      <c r="A9" s="3">
        <f t="shared" si="0"/>
        <v>1826</v>
      </c>
      <c r="B9" s="4">
        <v>3664165.6802626704</v>
      </c>
      <c r="C9" s="4">
        <v>3270944.1424275106</v>
      </c>
      <c r="D9" s="5">
        <v>1.1202165248665277</v>
      </c>
      <c r="F9" s="10">
        <v>6549972.7548740469</v>
      </c>
      <c r="L9">
        <v>3319000</v>
      </c>
      <c r="M9">
        <v>3735000</v>
      </c>
    </row>
    <row r="10" spans="1:13" x14ac:dyDescent="0.25">
      <c r="A10" s="3">
        <f t="shared" si="0"/>
        <v>1827</v>
      </c>
      <c r="B10" s="4">
        <v>4615356.0345331179</v>
      </c>
      <c r="C10" s="4">
        <v>4058387.4415717185</v>
      </c>
      <c r="D10" s="5">
        <v>1.1372388913035121</v>
      </c>
      <c r="F10" s="10">
        <v>5773371.947979074</v>
      </c>
      <c r="G10" s="1">
        <f>F10/H10</f>
        <v>3524550.2535485695</v>
      </c>
      <c r="H10" s="6">
        <v>1.6380450079173527</v>
      </c>
      <c r="L10">
        <v>3662000</v>
      </c>
      <c r="M10">
        <v>3954000</v>
      </c>
    </row>
    <row r="11" spans="1:13" x14ac:dyDescent="0.25">
      <c r="A11" s="3">
        <f t="shared" si="0"/>
        <v>1828</v>
      </c>
      <c r="B11" s="4">
        <v>5155785.5394301992</v>
      </c>
      <c r="C11" s="4">
        <v>4617020.8772644289</v>
      </c>
      <c r="D11" s="5">
        <v>1.1166909737876227</v>
      </c>
      <c r="F11" s="10">
        <v>8013918.1494269595</v>
      </c>
      <c r="G11" s="1">
        <f t="shared" ref="G11:G74" si="1">F11/H11</f>
        <v>4856438.2677846886</v>
      </c>
      <c r="H11" s="6">
        <v>1.6501637017786259</v>
      </c>
      <c r="L11">
        <v>4142000</v>
      </c>
      <c r="M11">
        <v>4120000</v>
      </c>
    </row>
    <row r="12" spans="1:13" x14ac:dyDescent="0.25">
      <c r="A12" s="3">
        <f t="shared" si="0"/>
        <v>1829</v>
      </c>
      <c r="B12" s="4">
        <v>4391020.8078030013</v>
      </c>
      <c r="C12" s="4">
        <v>4442287.4655162012</v>
      </c>
      <c r="D12" s="5">
        <v>0.98845940112809816</v>
      </c>
      <c r="F12" s="10">
        <v>6203884.5660654884</v>
      </c>
      <c r="G12" s="1">
        <f t="shared" si="1"/>
        <v>3842016.2314338493</v>
      </c>
      <c r="H12" s="6">
        <v>1.6147470995327327</v>
      </c>
      <c r="L12">
        <v>3441000</v>
      </c>
      <c r="M12">
        <v>3660000</v>
      </c>
    </row>
    <row r="13" spans="1:13" x14ac:dyDescent="0.25">
      <c r="A13" s="3">
        <f t="shared" si="0"/>
        <v>1830</v>
      </c>
      <c r="B13" s="4">
        <v>4676596.3897259636</v>
      </c>
      <c r="C13" s="4">
        <v>4868314.7698438084</v>
      </c>
      <c r="D13" s="5">
        <v>0.96061914868253351</v>
      </c>
      <c r="F13" s="10">
        <v>5756232.3288632967</v>
      </c>
      <c r="G13" s="1">
        <f t="shared" si="1"/>
        <v>3557816.0484714792</v>
      </c>
      <c r="H13" s="6">
        <v>1.6179117330521651</v>
      </c>
      <c r="L13">
        <v>3348000</v>
      </c>
      <c r="M13">
        <v>4007000</v>
      </c>
    </row>
    <row r="14" spans="1:13" x14ac:dyDescent="0.25">
      <c r="A14" s="3">
        <f t="shared" si="0"/>
        <v>1831</v>
      </c>
      <c r="B14" s="4">
        <v>4849295.4818443172</v>
      </c>
      <c r="C14" s="4">
        <v>5218698.0938679893</v>
      </c>
      <c r="D14" s="5">
        <v>0.92921556193148569</v>
      </c>
      <c r="F14" s="10">
        <v>3289155.539269967</v>
      </c>
      <c r="G14" s="1">
        <f t="shared" si="1"/>
        <v>2198917.0014335867</v>
      </c>
      <c r="H14" s="6">
        <v>1.4958070437063327</v>
      </c>
      <c r="L14">
        <v>3373000</v>
      </c>
      <c r="M14">
        <v>3483000</v>
      </c>
    </row>
    <row r="15" spans="1:13" x14ac:dyDescent="0.25">
      <c r="A15" s="3">
        <f t="shared" si="0"/>
        <v>1832</v>
      </c>
      <c r="B15" s="4">
        <v>6027981.5248504728</v>
      </c>
      <c r="C15" s="4">
        <v>5842151.3074373845</v>
      </c>
      <c r="D15" s="5">
        <v>1.031808525256187</v>
      </c>
      <c r="F15" s="10">
        <v>5236881.8437419562</v>
      </c>
      <c r="G15" s="1">
        <f t="shared" si="1"/>
        <v>4198801.8220919613</v>
      </c>
      <c r="H15" s="6">
        <v>1.2472324404996076</v>
      </c>
      <c r="L15">
        <v>4677000</v>
      </c>
      <c r="M15">
        <v>4725000</v>
      </c>
    </row>
    <row r="16" spans="1:13" x14ac:dyDescent="0.25">
      <c r="A16" s="3">
        <f t="shared" si="0"/>
        <v>1833</v>
      </c>
      <c r="B16" s="4">
        <v>8118695.8848440982</v>
      </c>
      <c r="C16" s="4">
        <v>7505342.6247807229</v>
      </c>
      <c r="D16" s="5">
        <v>1.0817222198541929</v>
      </c>
      <c r="F16" s="10">
        <v>7004462.0649429923</v>
      </c>
      <c r="G16" s="1">
        <f t="shared" si="1"/>
        <v>5305600.7825324433</v>
      </c>
      <c r="H16" s="6">
        <v>1.3202014912248368</v>
      </c>
      <c r="L16">
        <v>6079000</v>
      </c>
      <c r="M16">
        <v>5659000</v>
      </c>
    </row>
    <row r="17" spans="1:13" x14ac:dyDescent="0.25">
      <c r="A17" s="3">
        <f t="shared" si="0"/>
        <v>1834</v>
      </c>
      <c r="B17" s="4">
        <v>7562364.6769777155</v>
      </c>
      <c r="C17" s="4">
        <v>7143574.7500948291</v>
      </c>
      <c r="D17" s="5">
        <v>1.058624700032337</v>
      </c>
      <c r="F17" s="10">
        <v>6407779.5144535862</v>
      </c>
      <c r="G17" s="1">
        <f t="shared" si="1"/>
        <v>5071910.8099389831</v>
      </c>
      <c r="H17" s="6">
        <v>1.2633856853115037</v>
      </c>
      <c r="L17">
        <v>5480000</v>
      </c>
      <c r="M17">
        <v>5778500</v>
      </c>
    </row>
    <row r="18" spans="1:13" x14ac:dyDescent="0.25">
      <c r="A18" s="3">
        <f t="shared" si="0"/>
        <v>1835</v>
      </c>
      <c r="B18" s="4">
        <v>8885784.7792847361</v>
      </c>
      <c r="C18" s="4">
        <v>7927859.2450581482</v>
      </c>
      <c r="D18" s="5">
        <v>1.1208302903237988</v>
      </c>
      <c r="F18" s="10">
        <v>7512141.6644017156</v>
      </c>
      <c r="G18" s="1">
        <f t="shared" si="1"/>
        <v>5544215.6216073586</v>
      </c>
      <c r="H18" s="6">
        <v>1.3549512098924867</v>
      </c>
      <c r="L18">
        <v>6052000</v>
      </c>
      <c r="M18">
        <v>6321000</v>
      </c>
    </row>
    <row r="19" spans="1:13" x14ac:dyDescent="0.25">
      <c r="A19" s="3">
        <f t="shared" si="0"/>
        <v>1836</v>
      </c>
      <c r="B19" s="4">
        <v>9160393.4796192646</v>
      </c>
      <c r="C19" s="4">
        <v>7980147.7169256015</v>
      </c>
      <c r="D19" s="5">
        <v>1.1478977337963814</v>
      </c>
      <c r="F19" s="10">
        <v>9045410.5730673019</v>
      </c>
      <c r="G19" s="1">
        <f t="shared" si="1"/>
        <v>6647850.5230646078</v>
      </c>
      <c r="H19" s="6">
        <v>1.3606519192458373</v>
      </c>
      <c r="L19">
        <v>6126000</v>
      </c>
      <c r="M19">
        <v>6997500</v>
      </c>
    </row>
    <row r="20" spans="1:13" x14ac:dyDescent="0.25">
      <c r="A20" s="3">
        <f t="shared" si="0"/>
        <v>1837</v>
      </c>
      <c r="B20" s="4">
        <v>7087605.0276001496</v>
      </c>
      <c r="C20" s="4">
        <v>7470553.0607311921</v>
      </c>
      <c r="D20" s="5">
        <v>0.94873899830201314</v>
      </c>
      <c r="F20" s="10">
        <v>7093910.2875159802</v>
      </c>
      <c r="G20" s="1">
        <f t="shared" si="1"/>
        <v>5607131.01253579</v>
      </c>
      <c r="H20" s="6">
        <v>1.2651586473824523</v>
      </c>
      <c r="L20">
        <v>4802500</v>
      </c>
      <c r="M20">
        <v>6140500</v>
      </c>
    </row>
    <row r="21" spans="1:13" x14ac:dyDescent="0.25">
      <c r="A21" s="3">
        <f t="shared" si="0"/>
        <v>1838</v>
      </c>
      <c r="B21" s="4">
        <v>7435774.8309461074</v>
      </c>
      <c r="C21" s="4">
        <v>7728149.5342814475</v>
      </c>
      <c r="D21" s="5">
        <v>0.9621675664997954</v>
      </c>
      <c r="F21" s="10">
        <v>6673522.3146670517</v>
      </c>
      <c r="G21" s="1">
        <f t="shared" si="1"/>
        <v>5374108.4825510383</v>
      </c>
      <c r="H21" s="6">
        <v>1.2417915150643171</v>
      </c>
      <c r="L21">
        <v>4496000</v>
      </c>
      <c r="M21">
        <v>5400500</v>
      </c>
    </row>
    <row r="22" spans="1:13" x14ac:dyDescent="0.25">
      <c r="A22" s="3">
        <f t="shared" si="0"/>
        <v>1839</v>
      </c>
      <c r="B22" s="4">
        <v>8104503.7271533143</v>
      </c>
      <c r="C22" s="4">
        <v>8243917.1065153349</v>
      </c>
      <c r="D22" s="5">
        <v>0.98308893969205013</v>
      </c>
      <c r="F22" s="10">
        <v>6479376.5274629109</v>
      </c>
      <c r="G22" s="1">
        <f t="shared" si="1"/>
        <v>5242807.683146229</v>
      </c>
      <c r="H22" s="6">
        <v>1.2358600427575883</v>
      </c>
      <c r="L22">
        <v>5275500</v>
      </c>
      <c r="M22">
        <v>6338000</v>
      </c>
    </row>
    <row r="23" spans="1:13" x14ac:dyDescent="0.25">
      <c r="A23" s="3">
        <f t="shared" si="0"/>
        <v>1840</v>
      </c>
      <c r="B23" s="4">
        <v>8720048.6516598631</v>
      </c>
      <c r="C23" s="4">
        <v>8561917.4155503456</v>
      </c>
      <c r="D23" s="5">
        <v>1.0184691382122322</v>
      </c>
      <c r="F23" s="10">
        <v>7240907.1654862575</v>
      </c>
      <c r="G23" s="1">
        <f t="shared" si="1"/>
        <v>6292232.1445164112</v>
      </c>
      <c r="H23" s="6">
        <v>1.1507692340621289</v>
      </c>
      <c r="L23">
        <v>5536000</v>
      </c>
      <c r="M23">
        <v>7177000</v>
      </c>
    </row>
    <row r="24" spans="1:13" x14ac:dyDescent="0.25">
      <c r="A24" s="3">
        <f t="shared" si="0"/>
        <v>1841</v>
      </c>
      <c r="B24" s="4">
        <v>8338721.5302418713</v>
      </c>
      <c r="C24" s="4">
        <v>8596811.7085116673</v>
      </c>
      <c r="D24" s="5">
        <v>0.96997838419396087</v>
      </c>
      <c r="F24" s="10">
        <v>6355937.0873660818</v>
      </c>
      <c r="G24" s="1">
        <f t="shared" si="1"/>
        <v>5743807.4212197093</v>
      </c>
      <c r="H24" s="6">
        <v>1.1065721082299771</v>
      </c>
      <c r="L24">
        <v>5160000</v>
      </c>
      <c r="M24">
        <v>7268000</v>
      </c>
    </row>
    <row r="25" spans="1:13" x14ac:dyDescent="0.25">
      <c r="A25" s="3">
        <f t="shared" si="0"/>
        <v>1842</v>
      </c>
      <c r="B25" s="4">
        <v>7566875.5947721116</v>
      </c>
      <c r="C25" s="4">
        <v>8933528.0563258007</v>
      </c>
      <c r="D25" s="5">
        <v>0.84701985005957781</v>
      </c>
      <c r="F25" s="10">
        <v>5308684.2910413444</v>
      </c>
      <c r="G25" s="1">
        <f t="shared" si="1"/>
        <v>5088669.9564891905</v>
      </c>
      <c r="H25" s="6">
        <v>1.043236117970588</v>
      </c>
      <c r="L25">
        <v>4760000</v>
      </c>
      <c r="M25">
        <v>6367000</v>
      </c>
    </row>
    <row r="26" spans="1:13" x14ac:dyDescent="0.25">
      <c r="A26" s="3">
        <f t="shared" si="0"/>
        <v>1843</v>
      </c>
      <c r="B26" s="4">
        <v>7842961.7084877761</v>
      </c>
      <c r="C26" s="4">
        <v>9773961.757646054</v>
      </c>
      <c r="D26" s="5">
        <v>0.80243425367940702</v>
      </c>
      <c r="F26" s="10">
        <v>5478469.2547582835</v>
      </c>
      <c r="G26" s="1">
        <f t="shared" si="1"/>
        <v>5802703.184058317</v>
      </c>
      <c r="H26" s="6">
        <v>0.94412364048004449</v>
      </c>
      <c r="L26">
        <v>4646000</v>
      </c>
      <c r="M26">
        <v>5800000</v>
      </c>
    </row>
    <row r="27" spans="1:13" x14ac:dyDescent="0.25">
      <c r="A27" s="3">
        <f t="shared" si="0"/>
        <v>1844</v>
      </c>
      <c r="B27" s="4">
        <v>8318146.1233445024</v>
      </c>
      <c r="C27" s="4">
        <v>10639722.677697334</v>
      </c>
      <c r="D27" s="5">
        <v>0.78180102765091319</v>
      </c>
      <c r="F27" s="10">
        <v>6544842.4674201692</v>
      </c>
      <c r="G27" s="1">
        <f t="shared" si="1"/>
        <v>6964344.0232420899</v>
      </c>
      <c r="H27" s="6">
        <v>0.93976438349083291</v>
      </c>
      <c r="L27">
        <v>4824500</v>
      </c>
      <c r="M27">
        <v>5871500</v>
      </c>
    </row>
    <row r="28" spans="1:13" x14ac:dyDescent="0.25">
      <c r="A28" s="3">
        <f t="shared" si="0"/>
        <v>1845</v>
      </c>
      <c r="B28" s="4">
        <v>8945055.2976674661</v>
      </c>
      <c r="C28" s="4">
        <v>11271167.898204593</v>
      </c>
      <c r="D28" s="5">
        <v>0.79362275306823726</v>
      </c>
      <c r="F28" s="10">
        <v>6864590.5146875251</v>
      </c>
      <c r="G28" s="1">
        <f t="shared" si="1"/>
        <v>7062553.5699990978</v>
      </c>
      <c r="H28" s="6">
        <v>0.97197004548715971</v>
      </c>
      <c r="L28">
        <v>5313000</v>
      </c>
      <c r="M28">
        <v>5665500</v>
      </c>
    </row>
    <row r="29" spans="1:13" x14ac:dyDescent="0.25">
      <c r="A29" s="3">
        <f t="shared" si="0"/>
        <v>1846</v>
      </c>
      <c r="B29" s="4">
        <v>9216461.0941404235</v>
      </c>
      <c r="C29" s="4">
        <v>12525413.36767886</v>
      </c>
      <c r="D29" s="5">
        <v>0.73582091253954096</v>
      </c>
      <c r="F29" s="10">
        <v>10296981.709192563</v>
      </c>
      <c r="G29" s="1">
        <f t="shared" si="1"/>
        <v>10740776.971922908</v>
      </c>
      <c r="H29" s="6">
        <v>0.95868127008963555</v>
      </c>
      <c r="L29">
        <v>5785000</v>
      </c>
      <c r="M29">
        <v>5893000</v>
      </c>
    </row>
    <row r="30" spans="1:13" x14ac:dyDescent="0.25">
      <c r="A30" s="3">
        <f t="shared" si="0"/>
        <v>1847</v>
      </c>
      <c r="B30" s="4">
        <v>9742513.7845228873</v>
      </c>
      <c r="C30" s="4">
        <v>14018468.823940024</v>
      </c>
      <c r="D30" s="5">
        <v>0.69497702686937679</v>
      </c>
      <c r="F30" s="10">
        <v>6860153.3856957983</v>
      </c>
      <c r="G30" s="1">
        <f t="shared" si="1"/>
        <v>6558261.8446887676</v>
      </c>
      <c r="H30" s="6">
        <v>1.046032248811706</v>
      </c>
      <c r="L30">
        <v>6322500</v>
      </c>
      <c r="M30">
        <v>5890000</v>
      </c>
    </row>
    <row r="31" spans="1:13" x14ac:dyDescent="0.25">
      <c r="A31" s="3">
        <f t="shared" si="0"/>
        <v>1848</v>
      </c>
      <c r="B31" s="4">
        <v>8372357.777843697</v>
      </c>
      <c r="C31" s="4">
        <v>14502508.776844334</v>
      </c>
      <c r="D31" s="5">
        <v>0.57730410004726618</v>
      </c>
      <c r="F31" s="10">
        <v>5238435.6180288978</v>
      </c>
      <c r="G31" s="1">
        <f t="shared" si="1"/>
        <v>5559355.7042726576</v>
      </c>
      <c r="H31" s="6">
        <v>0.94227387069384394</v>
      </c>
      <c r="L31">
        <v>6312500</v>
      </c>
      <c r="M31">
        <v>5450000</v>
      </c>
    </row>
    <row r="32" spans="1:13" x14ac:dyDescent="0.25">
      <c r="A32" s="3">
        <f t="shared" si="0"/>
        <v>1849</v>
      </c>
      <c r="B32" s="4">
        <v>8615294.1218099222</v>
      </c>
      <c r="C32" s="4">
        <v>12551217.895831035</v>
      </c>
      <c r="D32" s="5">
        <v>0.68641100754625139</v>
      </c>
      <c r="F32" s="10">
        <v>5998143.7898432333</v>
      </c>
      <c r="G32" s="1">
        <f t="shared" si="1"/>
        <v>6690082.3131602956</v>
      </c>
      <c r="H32" s="6">
        <v>0.89657249478740708</v>
      </c>
      <c r="L32">
        <v>5898500</v>
      </c>
      <c r="M32">
        <v>5876000</v>
      </c>
    </row>
    <row r="33" spans="1:13" x14ac:dyDescent="0.25">
      <c r="A33" s="3">
        <v>1850</v>
      </c>
      <c r="B33" s="4">
        <v>10826101.699683357</v>
      </c>
      <c r="C33" s="4">
        <v>13383020.912328191</v>
      </c>
      <c r="D33" s="5">
        <v>0.80894304586422283</v>
      </c>
      <c r="F33" s="10">
        <v>6554269.7679984514</v>
      </c>
      <c r="G33" s="1">
        <f t="shared" si="1"/>
        <v>7052516.1341892192</v>
      </c>
      <c r="H33" s="6">
        <v>0.92935197074199283</v>
      </c>
      <c r="L33">
        <v>7026500</v>
      </c>
      <c r="M33">
        <v>7796500</v>
      </c>
    </row>
    <row r="34" spans="1:13" x14ac:dyDescent="0.25">
      <c r="A34" s="3">
        <v>1851</v>
      </c>
      <c r="B34" s="4">
        <v>10158827.553655308</v>
      </c>
      <c r="C34" s="4">
        <v>15155464.513354171</v>
      </c>
      <c r="D34" s="5">
        <v>0.67030789750481756</v>
      </c>
      <c r="F34" s="10">
        <v>9334233.9324733913</v>
      </c>
      <c r="G34" s="1">
        <f t="shared" si="1"/>
        <v>10297776.398738943</v>
      </c>
      <c r="H34" s="6">
        <v>0.90643198794027557</v>
      </c>
      <c r="L34">
        <v>8102000</v>
      </c>
      <c r="M34">
        <v>10239500</v>
      </c>
    </row>
    <row r="35" spans="1:13" x14ac:dyDescent="0.25">
      <c r="A35" s="3">
        <v>1852</v>
      </c>
      <c r="B35" s="4">
        <v>10619189.93600487</v>
      </c>
      <c r="C35" s="4">
        <v>15600982.30978396</v>
      </c>
      <c r="D35" s="5">
        <v>0.68067444248976416</v>
      </c>
      <c r="F35" s="10">
        <v>8794703.7135530747</v>
      </c>
      <c r="G35" s="1">
        <f t="shared" si="1"/>
        <v>9829632.3653374556</v>
      </c>
      <c r="H35" s="6">
        <v>0.89471339178117348</v>
      </c>
      <c r="L35">
        <v>8250500</v>
      </c>
      <c r="M35">
        <v>10623000</v>
      </c>
    </row>
    <row r="36" spans="1:13" x14ac:dyDescent="0.25">
      <c r="A36" s="3">
        <v>1853</v>
      </c>
      <c r="B36" s="4">
        <v>11869460.513972206</v>
      </c>
      <c r="C36" s="4">
        <v>15703699.835500531</v>
      </c>
      <c r="D36" s="5">
        <v>0.75583847362769496</v>
      </c>
      <c r="F36" s="10">
        <v>9095765.5347958282</v>
      </c>
      <c r="G36" s="1">
        <f t="shared" si="1"/>
        <v>9576840.9499002025</v>
      </c>
      <c r="H36" s="6">
        <v>0.94976679495659921</v>
      </c>
      <c r="L36">
        <v>8769500</v>
      </c>
      <c r="M36">
        <v>10085500</v>
      </c>
    </row>
    <row r="37" spans="1:13" x14ac:dyDescent="0.25">
      <c r="A37" s="3">
        <v>1854</v>
      </c>
      <c r="B37" s="4">
        <v>12327214.464472679</v>
      </c>
      <c r="C37" s="4">
        <v>16231558.180967305</v>
      </c>
      <c r="D37" s="5">
        <v>0.75945970972320109</v>
      </c>
      <c r="F37" s="10">
        <v>8787040.5692953635</v>
      </c>
      <c r="G37" s="1">
        <f t="shared" si="1"/>
        <v>9173988.9583348762</v>
      </c>
      <c r="H37" s="6">
        <v>0.95782114074947122</v>
      </c>
      <c r="L37">
        <v>9780000</v>
      </c>
      <c r="M37">
        <v>9996000</v>
      </c>
    </row>
    <row r="38" spans="1:13" x14ac:dyDescent="0.25">
      <c r="A38" s="7">
        <v>1855</v>
      </c>
      <c r="B38" s="4">
        <v>13381290.614992922</v>
      </c>
      <c r="C38" s="4">
        <v>17551015.377200093</v>
      </c>
      <c r="D38" s="5">
        <v>0.76242259079643249</v>
      </c>
      <c r="F38" s="10">
        <v>9995718.6521571446</v>
      </c>
      <c r="G38" s="1">
        <f t="shared" si="1"/>
        <v>10035785.201016342</v>
      </c>
      <c r="H38" s="6">
        <v>0.99600763188363783</v>
      </c>
      <c r="L38">
        <v>10640000</v>
      </c>
      <c r="M38">
        <v>10227000</v>
      </c>
    </row>
    <row r="39" spans="1:13" x14ac:dyDescent="0.25">
      <c r="A39" s="3">
        <f t="shared" ref="A39:A70" si="2">A38+1</f>
        <v>1856</v>
      </c>
      <c r="B39" s="4">
        <v>14229476.70683286</v>
      </c>
      <c r="C39" s="4">
        <v>17527328.305827774</v>
      </c>
      <c r="D39" s="5">
        <v>0.81184516308179211</v>
      </c>
      <c r="F39" s="10">
        <v>11933753.336185014</v>
      </c>
      <c r="G39" s="1">
        <f t="shared" si="1"/>
        <v>11930001.733874762</v>
      </c>
      <c r="H39" s="6">
        <v>1.0003144678763625</v>
      </c>
      <c r="L39">
        <v>11995500</v>
      </c>
      <c r="M39">
        <v>12513500</v>
      </c>
    </row>
    <row r="40" spans="1:13" x14ac:dyDescent="0.25">
      <c r="A40" s="3">
        <f t="shared" si="2"/>
        <v>1857</v>
      </c>
      <c r="B40" s="4">
        <v>15020790.823221395</v>
      </c>
      <c r="C40" s="4">
        <v>16503190.739326838</v>
      </c>
      <c r="D40" s="5">
        <v>0.91017495104307866</v>
      </c>
      <c r="F40" s="10">
        <v>15371456.150774078</v>
      </c>
      <c r="G40" s="1">
        <f t="shared" si="1"/>
        <v>15001353.566424504</v>
      </c>
      <c r="H40" s="6">
        <v>1.0246712793422805</v>
      </c>
      <c r="L40">
        <v>11909500</v>
      </c>
      <c r="M40">
        <v>14411000</v>
      </c>
    </row>
    <row r="41" spans="1:13" x14ac:dyDescent="0.25">
      <c r="A41" s="3">
        <f t="shared" si="2"/>
        <v>1858</v>
      </c>
      <c r="B41" s="4">
        <v>12296884.841821851</v>
      </c>
      <c r="C41" s="4">
        <v>16280135.155734114</v>
      </c>
      <c r="D41" s="5">
        <v>0.75533063602919159</v>
      </c>
      <c r="F41" s="10">
        <v>11534171.203414351</v>
      </c>
      <c r="G41" s="1">
        <f t="shared" si="1"/>
        <v>11930452.620101374</v>
      </c>
      <c r="H41" s="6">
        <v>0.96678404170355303</v>
      </c>
      <c r="L41">
        <v>11020500</v>
      </c>
      <c r="M41">
        <v>14000000</v>
      </c>
    </row>
    <row r="42" spans="1:13" x14ac:dyDescent="0.25">
      <c r="A42" s="3">
        <f t="shared" si="2"/>
        <v>1859</v>
      </c>
      <c r="B42" s="4">
        <v>14060569.558033207</v>
      </c>
      <c r="C42" s="4">
        <v>16177915.317706725</v>
      </c>
      <c r="D42" s="5">
        <v>0.86912122371192768</v>
      </c>
      <c r="F42" s="10">
        <v>12580873.757826276</v>
      </c>
      <c r="G42" s="1">
        <f t="shared" si="1"/>
        <v>12756606.651923358</v>
      </c>
      <c r="H42" s="6">
        <v>0.98622416612096553</v>
      </c>
      <c r="L42">
        <v>11582500</v>
      </c>
      <c r="M42">
        <v>12677000</v>
      </c>
    </row>
    <row r="43" spans="1:13" x14ac:dyDescent="0.25">
      <c r="A43" s="3">
        <f t="shared" si="2"/>
        <v>1860</v>
      </c>
      <c r="B43" s="4">
        <v>15592593.920469625</v>
      </c>
      <c r="C43" s="4">
        <v>16390670.126189627</v>
      </c>
      <c r="D43" s="5">
        <v>0.95130911673679497</v>
      </c>
      <c r="F43" s="10">
        <v>13338532.254607785</v>
      </c>
      <c r="G43" s="1">
        <f t="shared" si="1"/>
        <v>13561380.494689299</v>
      </c>
      <c r="H43" s="6">
        <v>0.98356743694576065</v>
      </c>
      <c r="L43">
        <v>12517000</v>
      </c>
      <c r="M43">
        <v>12550000</v>
      </c>
    </row>
    <row r="44" spans="1:13" x14ac:dyDescent="0.25">
      <c r="A44" s="3">
        <f t="shared" si="2"/>
        <v>1861</v>
      </c>
      <c r="B44" s="4">
        <v>15283305.71614336</v>
      </c>
      <c r="C44" s="4">
        <v>17492169.446006045</v>
      </c>
      <c r="D44" s="5">
        <v>0.87372271137202873</v>
      </c>
      <c r="F44" s="10">
        <v>13738152.583227392</v>
      </c>
      <c r="G44" s="1">
        <f t="shared" si="1"/>
        <v>14151172.168460548</v>
      </c>
      <c r="H44" s="6">
        <v>0.97081375448504015</v>
      </c>
      <c r="L44">
        <v>13049000</v>
      </c>
      <c r="M44">
        <v>12535500</v>
      </c>
    </row>
    <row r="45" spans="1:13" x14ac:dyDescent="0.25">
      <c r="A45" s="3">
        <f t="shared" si="2"/>
        <v>1862</v>
      </c>
      <c r="B45" s="4">
        <v>16745363.311032824</v>
      </c>
      <c r="C45" s="4">
        <v>16301388.931172574</v>
      </c>
      <c r="D45" s="5">
        <v>1.0272353712763245</v>
      </c>
      <c r="F45" s="10">
        <v>12325186.694150398</v>
      </c>
      <c r="G45" s="1">
        <f t="shared" si="1"/>
        <v>11806302.437131116</v>
      </c>
      <c r="H45" s="6">
        <v>1.0439497683362216</v>
      </c>
      <c r="L45">
        <v>13140500</v>
      </c>
      <c r="M45">
        <v>11319500</v>
      </c>
    </row>
    <row r="46" spans="1:13" x14ac:dyDescent="0.25">
      <c r="A46" s="3">
        <f t="shared" si="2"/>
        <v>1863</v>
      </c>
      <c r="B46" s="4">
        <v>16658693.606450016</v>
      </c>
      <c r="C46" s="4">
        <v>15113493.114173025</v>
      </c>
      <c r="D46" s="5">
        <v>1.1022397986093595</v>
      </c>
      <c r="F46" s="10">
        <v>12210459.305946346</v>
      </c>
      <c r="G46" s="1">
        <f t="shared" si="1"/>
        <v>9424685.6889517158</v>
      </c>
      <c r="H46" s="6">
        <v>1.2955826548423055</v>
      </c>
      <c r="L46">
        <v>14158000</v>
      </c>
      <c r="M46">
        <v>12567500</v>
      </c>
    </row>
    <row r="47" spans="1:13" x14ac:dyDescent="0.25">
      <c r="A47" s="3">
        <f t="shared" si="2"/>
        <v>1864</v>
      </c>
      <c r="B47" s="4">
        <v>19403824.556474481</v>
      </c>
      <c r="C47" s="4">
        <v>16446661.003350496</v>
      </c>
      <c r="D47" s="5">
        <v>1.1798032775480418</v>
      </c>
      <c r="F47" s="10">
        <v>20334574.345836982</v>
      </c>
      <c r="G47" s="1">
        <f t="shared" si="1"/>
        <v>14096434.676871669</v>
      </c>
      <c r="H47" s="6">
        <v>1.4425331519607838</v>
      </c>
      <c r="L47">
        <v>15312500</v>
      </c>
      <c r="M47">
        <v>14481000</v>
      </c>
    </row>
    <row r="48" spans="1:13" x14ac:dyDescent="0.25">
      <c r="A48" s="3">
        <f t="shared" si="2"/>
        <v>1865</v>
      </c>
      <c r="B48" s="4">
        <v>19622052.593323622</v>
      </c>
      <c r="C48" s="4">
        <v>18643245.714065183</v>
      </c>
      <c r="D48" s="5">
        <v>1.0525019567016696</v>
      </c>
      <c r="F48" s="10">
        <v>17294945.795149393</v>
      </c>
      <c r="G48" s="1">
        <f t="shared" si="1"/>
        <v>11747979.043993331</v>
      </c>
      <c r="H48" s="6">
        <v>1.4721634870460714</v>
      </c>
      <c r="L48">
        <v>16051500</v>
      </c>
      <c r="M48">
        <v>14527000</v>
      </c>
    </row>
    <row r="49" spans="1:13" x14ac:dyDescent="0.25">
      <c r="A49" s="3">
        <f t="shared" si="2"/>
        <v>1866</v>
      </c>
      <c r="B49" s="4">
        <v>19912793.794343952</v>
      </c>
      <c r="C49" s="4">
        <v>20498054.41409795</v>
      </c>
      <c r="D49" s="5">
        <v>0.9714479917005453</v>
      </c>
      <c r="F49" s="10">
        <v>24572513.306624703</v>
      </c>
      <c r="G49" s="1">
        <f t="shared" si="1"/>
        <v>17022719.449625459</v>
      </c>
      <c r="H49" s="6">
        <v>1.4435127935545784</v>
      </c>
      <c r="L49">
        <v>16078000</v>
      </c>
      <c r="M49">
        <v>14411000</v>
      </c>
    </row>
    <row r="50" spans="1:13" x14ac:dyDescent="0.25">
      <c r="A50" s="3">
        <f t="shared" si="2"/>
        <v>1867</v>
      </c>
      <c r="B50" s="4">
        <v>19517299.258962952</v>
      </c>
      <c r="C50" s="4">
        <v>22731914.362538222</v>
      </c>
      <c r="D50" s="5">
        <v>0.85858581673733125</v>
      </c>
      <c r="F50" s="10">
        <v>19548477.993450433</v>
      </c>
      <c r="G50" s="1">
        <f t="shared" si="1"/>
        <v>15203526.082279604</v>
      </c>
      <c r="H50" s="6">
        <v>1.2857858030865001</v>
      </c>
      <c r="L50">
        <v>16556000</v>
      </c>
      <c r="M50">
        <v>13804500</v>
      </c>
    </row>
    <row r="51" spans="1:13" x14ac:dyDescent="0.25">
      <c r="A51" s="3">
        <f t="shared" si="2"/>
        <v>1868</v>
      </c>
      <c r="B51" s="4">
        <v>20618178.995856646</v>
      </c>
      <c r="C51" s="4">
        <v>24407851.070674341</v>
      </c>
      <c r="D51" s="5">
        <v>0.84473552940631769</v>
      </c>
      <c r="F51" s="10">
        <v>17782948.647465717</v>
      </c>
      <c r="G51" s="1">
        <f t="shared" si="1"/>
        <v>15114802.294014679</v>
      </c>
      <c r="H51" s="6">
        <v>1.1765253889233867</v>
      </c>
      <c r="L51">
        <v>15838500</v>
      </c>
      <c r="M51">
        <v>12474000</v>
      </c>
    </row>
    <row r="52" spans="1:13" x14ac:dyDescent="0.25">
      <c r="A52" s="3">
        <f t="shared" si="2"/>
        <v>1869</v>
      </c>
      <c r="B52" s="4">
        <v>20122427.083342977</v>
      </c>
      <c r="C52" s="4">
        <v>23397839.264681179</v>
      </c>
      <c r="D52" s="5">
        <v>0.86001219410535878</v>
      </c>
      <c r="F52" s="10">
        <v>20273817.307375863</v>
      </c>
      <c r="G52" s="1">
        <f t="shared" si="1"/>
        <v>17948501.919734888</v>
      </c>
      <c r="H52" s="6">
        <v>1.1295548451920785</v>
      </c>
      <c r="L52">
        <v>14902000</v>
      </c>
      <c r="M52">
        <v>12498500</v>
      </c>
    </row>
    <row r="53" spans="1:13" x14ac:dyDescent="0.25">
      <c r="A53" s="3">
        <f t="shared" si="2"/>
        <v>1870</v>
      </c>
      <c r="B53" s="4">
        <v>19926968.886303265</v>
      </c>
      <c r="C53" s="4">
        <v>22863724.018913493</v>
      </c>
      <c r="D53" s="5">
        <v>0.87155394588471835</v>
      </c>
      <c r="F53" s="10">
        <v>14354538.619208772</v>
      </c>
      <c r="G53" s="1">
        <f t="shared" si="1"/>
        <v>13206120.266085595</v>
      </c>
      <c r="H53" s="6">
        <v>1.0869610703207369</v>
      </c>
      <c r="L53">
        <v>15446000</v>
      </c>
      <c r="M53">
        <v>14060000</v>
      </c>
    </row>
    <row r="54" spans="1:13" x14ac:dyDescent="0.25">
      <c r="A54" s="3">
        <f t="shared" si="2"/>
        <v>1871</v>
      </c>
      <c r="B54" s="4">
        <v>23021258.617880773</v>
      </c>
      <c r="C54" s="4">
        <v>26067327.56372023</v>
      </c>
      <c r="D54" s="5">
        <v>0.88314609779642739</v>
      </c>
      <c r="F54" s="10">
        <v>15552907.154320605</v>
      </c>
      <c r="G54" s="1">
        <f t="shared" si="1"/>
        <v>13486208.969727939</v>
      </c>
      <c r="H54" s="6">
        <v>1.1532453033489038</v>
      </c>
      <c r="L54">
        <v>17264000</v>
      </c>
      <c r="M54">
        <v>14985000</v>
      </c>
    </row>
    <row r="55" spans="1:13" x14ac:dyDescent="0.25">
      <c r="A55" s="3">
        <f t="shared" si="2"/>
        <v>1872</v>
      </c>
      <c r="B55" s="4">
        <v>27666966.832715813</v>
      </c>
      <c r="C55" s="4">
        <v>26169761.668066926</v>
      </c>
      <c r="D55" s="5">
        <v>1.0572112648039824</v>
      </c>
      <c r="F55" s="10">
        <v>18804660.131215625</v>
      </c>
      <c r="G55" s="1">
        <f t="shared" si="1"/>
        <v>15311003.643298239</v>
      </c>
      <c r="H55" s="6">
        <v>1.2281794563772173</v>
      </c>
      <c r="L55">
        <v>20740500</v>
      </c>
      <c r="M55">
        <v>15780500</v>
      </c>
    </row>
    <row r="56" spans="1:13" x14ac:dyDescent="0.25">
      <c r="A56" s="3">
        <f t="shared" si="2"/>
        <v>1873</v>
      </c>
      <c r="B56" s="4">
        <v>25311085.729193732</v>
      </c>
      <c r="C56" s="4">
        <v>22154798.308253027</v>
      </c>
      <c r="D56" s="5">
        <v>1.1424651841567401</v>
      </c>
      <c r="F56" s="10">
        <v>19620887.776161946</v>
      </c>
      <c r="G56" s="1">
        <f t="shared" si="1"/>
        <v>14851092.82729508</v>
      </c>
      <c r="H56" s="6">
        <v>1.3211746774688782</v>
      </c>
      <c r="L56">
        <v>21506000</v>
      </c>
      <c r="M56">
        <v>16562500</v>
      </c>
    </row>
    <row r="57" spans="1:13" x14ac:dyDescent="0.25">
      <c r="A57" s="3">
        <f t="shared" si="2"/>
        <v>1874</v>
      </c>
      <c r="B57" s="4">
        <v>26639788.461692415</v>
      </c>
      <c r="C57" s="4">
        <v>22631652.110462487</v>
      </c>
      <c r="D57" s="5">
        <v>1.1771031267035512</v>
      </c>
      <c r="F57" s="10">
        <v>19895564.077219784</v>
      </c>
      <c r="G57" s="1">
        <f t="shared" si="1"/>
        <v>16198837.72254453</v>
      </c>
      <c r="H57" s="6">
        <v>1.2282093578559887</v>
      </c>
      <c r="L57">
        <v>21506000</v>
      </c>
      <c r="M57">
        <v>17302000</v>
      </c>
    </row>
    <row r="58" spans="1:13" x14ac:dyDescent="0.25">
      <c r="A58" s="3">
        <f t="shared" si="2"/>
        <v>1875</v>
      </c>
      <c r="B58" s="4">
        <v>26260274.624696936</v>
      </c>
      <c r="C58" s="4">
        <v>22820214.396471154</v>
      </c>
      <c r="D58" s="5">
        <v>1.1507461835572299</v>
      </c>
      <c r="F58" s="10">
        <v>19288139.712982036</v>
      </c>
      <c r="G58" s="1">
        <f t="shared" si="1"/>
        <v>16638414.977331037</v>
      </c>
      <c r="H58" s="6">
        <v>1.1592534348530861</v>
      </c>
      <c r="L58">
        <v>21606000</v>
      </c>
      <c r="M58">
        <v>18758500</v>
      </c>
    </row>
    <row r="59" spans="1:13" x14ac:dyDescent="0.25">
      <c r="A59" s="3">
        <f t="shared" si="2"/>
        <v>1876</v>
      </c>
      <c r="B59" s="4">
        <v>23573242.324712034</v>
      </c>
      <c r="C59" s="4">
        <v>21801217.390691508</v>
      </c>
      <c r="D59" s="5">
        <v>1.0812810084072246</v>
      </c>
      <c r="F59" s="10">
        <v>18143190.277415905</v>
      </c>
      <c r="G59" s="1">
        <f t="shared" si="1"/>
        <v>16577515.268095151</v>
      </c>
      <c r="H59" s="6">
        <v>1.0944456985260047</v>
      </c>
      <c r="L59">
        <v>20696500</v>
      </c>
      <c r="M59">
        <v>18013000</v>
      </c>
    </row>
    <row r="60" spans="1:13" x14ac:dyDescent="0.25">
      <c r="A60" s="3">
        <f t="shared" si="2"/>
        <v>1877</v>
      </c>
      <c r="B60" s="4">
        <v>27469958.191173069</v>
      </c>
      <c r="C60" s="4">
        <v>23784464.605862606</v>
      </c>
      <c r="D60" s="5">
        <v>1.1549538173923002</v>
      </c>
      <c r="F60" s="10">
        <v>19083547.10359117</v>
      </c>
      <c r="G60" s="1">
        <f t="shared" si="1"/>
        <v>18091598.434537601</v>
      </c>
      <c r="H60" s="6">
        <v>1.0548292442286304</v>
      </c>
      <c r="L60">
        <v>19818000</v>
      </c>
      <c r="M60">
        <v>16616000</v>
      </c>
    </row>
    <row r="61" spans="1:13" x14ac:dyDescent="0.25">
      <c r="A61" s="3">
        <f t="shared" si="2"/>
        <v>1878</v>
      </c>
      <c r="B61" s="4">
        <v>28484990.125701651</v>
      </c>
      <c r="C61" s="4">
        <v>26126630.504965026</v>
      </c>
      <c r="D61" s="5">
        <v>1.0902665049091749</v>
      </c>
      <c r="F61" s="10">
        <v>18948886.118123453</v>
      </c>
      <c r="G61" s="1">
        <f t="shared" si="1"/>
        <v>19360383.765157498</v>
      </c>
      <c r="H61" s="6">
        <v>0.97874537756970459</v>
      </c>
      <c r="L61">
        <v>19285500</v>
      </c>
      <c r="M61">
        <v>16179500</v>
      </c>
    </row>
    <row r="62" spans="1:13" x14ac:dyDescent="0.25">
      <c r="A62" s="3">
        <f t="shared" si="2"/>
        <v>1879</v>
      </c>
      <c r="B62" s="4">
        <v>22899802.756036066</v>
      </c>
      <c r="C62" s="4">
        <v>23585852.517991133</v>
      </c>
      <c r="D62" s="5">
        <v>0.97091265785573144</v>
      </c>
      <c r="F62" s="10">
        <v>18694830.92513885</v>
      </c>
      <c r="G62" s="1">
        <f t="shared" si="1"/>
        <v>19927028.509011175</v>
      </c>
      <c r="H62" s="6">
        <v>0.93816450940916174</v>
      </c>
      <c r="L62">
        <v>19648500</v>
      </c>
      <c r="M62">
        <v>15542500</v>
      </c>
    </row>
    <row r="63" spans="1:13" x14ac:dyDescent="0.25">
      <c r="A63" s="3">
        <f t="shared" si="2"/>
        <v>1880</v>
      </c>
      <c r="B63" s="4">
        <v>23847623.860972036</v>
      </c>
      <c r="C63" s="4">
        <v>22205974.647466969</v>
      </c>
      <c r="D63" s="5">
        <v>1.0739282665844316</v>
      </c>
      <c r="F63" s="10">
        <v>19838437.582156464</v>
      </c>
      <c r="G63" s="1">
        <f t="shared" si="1"/>
        <v>20434016.600192677</v>
      </c>
      <c r="H63" s="6">
        <v>0.97085355122836703</v>
      </c>
      <c r="L63">
        <v>20519000</v>
      </c>
      <c r="M63">
        <v>15991500</v>
      </c>
    </row>
    <row r="64" spans="1:13" x14ac:dyDescent="0.25">
      <c r="A64" s="3">
        <f t="shared" si="2"/>
        <v>1881</v>
      </c>
      <c r="B64" s="4">
        <v>24763858.657657962</v>
      </c>
      <c r="C64" s="4">
        <v>26244611.662255928</v>
      </c>
      <c r="D64" s="5">
        <v>0.94357878014527707</v>
      </c>
      <c r="F64" s="10">
        <v>20162538.95297958</v>
      </c>
      <c r="G64" s="1">
        <f t="shared" si="1"/>
        <v>21048086.989589337</v>
      </c>
      <c r="H64" s="6">
        <v>0.95792738613025685</v>
      </c>
      <c r="L64">
        <v>20193500</v>
      </c>
      <c r="M64">
        <v>16575000</v>
      </c>
    </row>
    <row r="65" spans="1:13" x14ac:dyDescent="0.25">
      <c r="A65" s="3">
        <f t="shared" si="2"/>
        <v>1882</v>
      </c>
      <c r="B65" s="4">
        <v>26651016.26926684</v>
      </c>
      <c r="C65" s="4">
        <v>30343694.381122887</v>
      </c>
      <c r="D65" s="5">
        <v>0.87830492670156546</v>
      </c>
      <c r="F65" s="10">
        <v>20432062.714566626</v>
      </c>
      <c r="G65" s="1">
        <f t="shared" si="1"/>
        <v>21019359.380084906</v>
      </c>
      <c r="H65" s="6">
        <v>0.9720592500038453</v>
      </c>
      <c r="L65">
        <v>18258000</v>
      </c>
      <c r="M65">
        <v>16701500</v>
      </c>
    </row>
    <row r="66" spans="1:13" x14ac:dyDescent="0.25">
      <c r="A66" s="3">
        <f t="shared" si="2"/>
        <v>1883</v>
      </c>
      <c r="B66" s="4">
        <v>27439695.193636291</v>
      </c>
      <c r="C66" s="4">
        <v>31476900.044983439</v>
      </c>
      <c r="D66" s="5">
        <v>0.87174070999438935</v>
      </c>
      <c r="F66" s="10">
        <v>19728073.077901416</v>
      </c>
      <c r="G66" s="1">
        <f t="shared" si="1"/>
        <v>20909231.093335614</v>
      </c>
      <c r="H66" s="6">
        <v>0.94351021277818925</v>
      </c>
      <c r="L66">
        <v>18435500</v>
      </c>
      <c r="M66">
        <v>17484500</v>
      </c>
    </row>
    <row r="67" spans="1:13" x14ac:dyDescent="0.25">
      <c r="A67" s="3">
        <f t="shared" si="2"/>
        <v>1884</v>
      </c>
      <c r="B67" s="4">
        <v>25289079.00522181</v>
      </c>
      <c r="C67" s="4">
        <v>32143911.046411652</v>
      </c>
      <c r="D67" s="5">
        <v>0.78674555092899712</v>
      </c>
      <c r="F67" s="10">
        <v>19146154.450039357</v>
      </c>
      <c r="G67" s="1">
        <f t="shared" si="1"/>
        <v>22221268.558545124</v>
      </c>
      <c r="H67" s="6">
        <v>0.86161392629750466</v>
      </c>
      <c r="L67">
        <v>19498500</v>
      </c>
      <c r="M67">
        <v>16784000</v>
      </c>
    </row>
    <row r="68" spans="1:13" x14ac:dyDescent="0.25">
      <c r="A68" s="3">
        <f t="shared" si="2"/>
        <v>1885</v>
      </c>
      <c r="B68" s="4">
        <v>23452261.074070469</v>
      </c>
      <c r="C68" s="4">
        <v>31201413.949636303</v>
      </c>
      <c r="D68" s="5">
        <v>0.75164097088439286</v>
      </c>
      <c r="F68" s="10">
        <v>16821477.17544277</v>
      </c>
      <c r="G68" s="1">
        <f t="shared" si="1"/>
        <v>21087686.034415454</v>
      </c>
      <c r="H68" s="6">
        <v>0.79769193964619167</v>
      </c>
      <c r="L68">
        <v>17307000</v>
      </c>
      <c r="M68">
        <v>15343500</v>
      </c>
    </row>
    <row r="69" spans="1:13" x14ac:dyDescent="0.25">
      <c r="A69" s="3">
        <f t="shared" si="2"/>
        <v>1886</v>
      </c>
      <c r="B69" s="4">
        <v>23838394.750467885</v>
      </c>
      <c r="C69" s="4">
        <v>30215058.697969414</v>
      </c>
      <c r="D69" s="5">
        <v>0.78895741983350609</v>
      </c>
      <c r="F69" s="10">
        <v>18320491.165137265</v>
      </c>
      <c r="G69" s="1">
        <f t="shared" si="1"/>
        <v>23643715.135274913</v>
      </c>
      <c r="H69" s="6">
        <v>0.77485670336994805</v>
      </c>
      <c r="L69">
        <v>17806000</v>
      </c>
      <c r="M69">
        <v>15713000</v>
      </c>
    </row>
    <row r="70" spans="1:13" x14ac:dyDescent="0.25">
      <c r="A70" s="3">
        <f t="shared" si="2"/>
        <v>1887</v>
      </c>
      <c r="B70" s="4">
        <v>27380770.483983945</v>
      </c>
      <c r="C70" s="4">
        <v>28803072.871526495</v>
      </c>
      <c r="D70" s="5">
        <v>0.95061976915148605</v>
      </c>
      <c r="F70" s="10">
        <v>18932186.868967175</v>
      </c>
      <c r="G70" s="1">
        <f t="shared" si="1"/>
        <v>23671254.738651</v>
      </c>
      <c r="H70" s="6">
        <v>0.79979650753596265</v>
      </c>
      <c r="L70">
        <v>21954000</v>
      </c>
      <c r="M70">
        <v>17750000</v>
      </c>
    </row>
    <row r="71" spans="1:13" x14ac:dyDescent="0.25">
      <c r="A71" s="7">
        <v>1888</v>
      </c>
      <c r="B71" s="4">
        <v>22184701.14208737</v>
      </c>
      <c r="C71" s="4">
        <v>25297762.085117422</v>
      </c>
      <c r="D71" s="5">
        <v>0.87694322792048651</v>
      </c>
      <c r="F71" s="10">
        <v>20961166.239189632</v>
      </c>
      <c r="G71" s="1">
        <f t="shared" si="1"/>
        <v>25126522.973461974</v>
      </c>
      <c r="H71" s="6">
        <v>0.83422470595427423</v>
      </c>
      <c r="L71">
        <v>21714000</v>
      </c>
      <c r="M71">
        <v>19724000</v>
      </c>
    </row>
    <row r="72" spans="1:13" x14ac:dyDescent="0.25">
      <c r="A72" s="3">
        <v>1889</v>
      </c>
      <c r="B72" s="4">
        <v>33164430.645321283</v>
      </c>
      <c r="C72" s="4">
        <v>31544997.559653599</v>
      </c>
      <c r="D72" s="5">
        <v>1.0513372392121836</v>
      </c>
      <c r="F72" s="10">
        <v>25142729.607781477</v>
      </c>
      <c r="G72" s="1">
        <f t="shared" si="1"/>
        <v>27816017.850913044</v>
      </c>
      <c r="H72" s="6">
        <v>0.90389392696468174</v>
      </c>
      <c r="L72">
        <v>28552000</v>
      </c>
      <c r="M72">
        <v>24002000</v>
      </c>
    </row>
    <row r="73" spans="1:13" x14ac:dyDescent="0.25">
      <c r="A73" s="3">
        <v>1890</v>
      </c>
      <c r="B73" s="4">
        <v>29910917.616416175</v>
      </c>
      <c r="C73" s="4">
        <v>29087831.186099201</v>
      </c>
      <c r="D73" s="5">
        <v>1.0282965899056207</v>
      </c>
      <c r="F73" s="10">
        <v>28625590.966529109</v>
      </c>
      <c r="G73" s="1">
        <f t="shared" si="1"/>
        <v>33303558.932907261</v>
      </c>
      <c r="H73" s="6">
        <v>0.85953549361489257</v>
      </c>
      <c r="L73">
        <v>26382000</v>
      </c>
      <c r="M73">
        <v>24019000</v>
      </c>
    </row>
    <row r="74" spans="1:13" x14ac:dyDescent="0.25">
      <c r="A74" s="3">
        <v>1891</v>
      </c>
      <c r="B74" s="4">
        <v>32828939.476316649</v>
      </c>
      <c r="C74" s="4">
        <v>31734450.186609995</v>
      </c>
      <c r="D74" s="5">
        <v>1.0344889948705795</v>
      </c>
      <c r="F74" s="10">
        <v>32782704.742192864</v>
      </c>
      <c r="G74" s="1">
        <f t="shared" si="1"/>
        <v>41293473.532309175</v>
      </c>
      <c r="H74" s="6">
        <v>0.793895546630214</v>
      </c>
      <c r="L74">
        <v>27136000</v>
      </c>
      <c r="M74">
        <v>25565000</v>
      </c>
    </row>
    <row r="75" spans="1:13" x14ac:dyDescent="0.25">
      <c r="A75" s="3">
        <v>1892</v>
      </c>
      <c r="B75" s="4">
        <v>38636345.393710218</v>
      </c>
      <c r="C75" s="4">
        <v>38787429.876137875</v>
      </c>
      <c r="D75" s="5">
        <v>0.99610480810638602</v>
      </c>
      <c r="F75" s="10">
        <v>30408717.550059952</v>
      </c>
      <c r="G75" s="1">
        <f t="shared" ref="G75:G96" si="3">F75/H75</f>
        <v>41122903.875283562</v>
      </c>
      <c r="H75" s="6">
        <v>0.73945939329291277</v>
      </c>
      <c r="L75">
        <v>30854000</v>
      </c>
      <c r="M75">
        <v>26302000</v>
      </c>
    </row>
    <row r="76" spans="1:13" x14ac:dyDescent="0.25">
      <c r="A76" s="3">
        <v>1893</v>
      </c>
      <c r="B76" s="4">
        <v>32437691.246973079</v>
      </c>
      <c r="C76" s="4">
        <v>31339764.793165617</v>
      </c>
      <c r="D76" s="5">
        <v>1.0350330151184444</v>
      </c>
      <c r="F76" s="10">
        <v>30756668.268373024</v>
      </c>
      <c r="G76" s="1">
        <f t="shared" si="3"/>
        <v>39711579.754928984</v>
      </c>
      <c r="H76" s="6">
        <v>0.77450125273738379</v>
      </c>
      <c r="L76">
        <v>32007000</v>
      </c>
      <c r="M76">
        <v>26215000</v>
      </c>
    </row>
    <row r="77" spans="1:13" x14ac:dyDescent="0.25">
      <c r="A77" s="3">
        <v>1894</v>
      </c>
      <c r="B77" s="4">
        <v>33210630.529335249</v>
      </c>
      <c r="C77" s="4">
        <v>33342289.200431138</v>
      </c>
      <c r="D77" s="5">
        <v>0.99605130078788395</v>
      </c>
      <c r="F77" s="10">
        <v>30318083.046161592</v>
      </c>
      <c r="G77" s="1">
        <f t="shared" si="3"/>
        <v>43086123.686833546</v>
      </c>
      <c r="H77" s="6">
        <v>0.7036623500068151</v>
      </c>
      <c r="L77">
        <v>30491000</v>
      </c>
      <c r="M77">
        <v>27145000</v>
      </c>
    </row>
    <row r="78" spans="1:13" x14ac:dyDescent="0.25">
      <c r="A78" s="3">
        <v>1895</v>
      </c>
      <c r="B78" s="4">
        <v>40912773.066969186</v>
      </c>
      <c r="C78" s="4">
        <v>40548500.414241195</v>
      </c>
      <c r="D78" s="5">
        <v>1.008983628223155</v>
      </c>
      <c r="F78" s="10">
        <v>31667965.819250017</v>
      </c>
      <c r="G78" s="1">
        <f t="shared" si="3"/>
        <v>49310630.02634982</v>
      </c>
      <c r="H78" s="6">
        <v>0.64221377423747783</v>
      </c>
      <c r="L78">
        <v>32586000</v>
      </c>
      <c r="M78">
        <v>29212000</v>
      </c>
    </row>
    <row r="79" spans="1:13" x14ac:dyDescent="0.25">
      <c r="A79" s="3">
        <v>1896</v>
      </c>
      <c r="B79" s="4">
        <v>43106203.150486693</v>
      </c>
      <c r="C79" s="4">
        <v>39919178.54522714</v>
      </c>
      <c r="D79" s="5">
        <v>1.0798369285492375</v>
      </c>
      <c r="F79" s="10">
        <v>29890194.961240239</v>
      </c>
      <c r="G79" s="1">
        <f t="shared" si="3"/>
        <v>43285649.06084872</v>
      </c>
      <c r="H79" s="6">
        <v>0.69053359738748876</v>
      </c>
      <c r="L79">
        <v>28333000</v>
      </c>
      <c r="M79">
        <v>27880000</v>
      </c>
    </row>
    <row r="80" spans="1:13" x14ac:dyDescent="0.25">
      <c r="A80" s="3">
        <v>1897</v>
      </c>
      <c r="B80" s="4">
        <v>46603277.821801372</v>
      </c>
      <c r="C80" s="4">
        <v>54054725.853906088</v>
      </c>
      <c r="D80" s="5">
        <v>0.86214992464777696</v>
      </c>
      <c r="F80" s="10">
        <v>25063503.028882802</v>
      </c>
      <c r="G80" s="1">
        <f t="shared" si="3"/>
        <v>37473194.221036062</v>
      </c>
      <c r="H80" s="6">
        <v>0.6688381801947666</v>
      </c>
      <c r="L80">
        <v>25883000</v>
      </c>
      <c r="M80">
        <v>22990000</v>
      </c>
    </row>
    <row r="81" spans="1:13" x14ac:dyDescent="0.25">
      <c r="A81" s="3">
        <v>1898</v>
      </c>
      <c r="B81" s="4">
        <v>33030314.959662218</v>
      </c>
      <c r="C81" s="4">
        <v>54826085.619476601</v>
      </c>
      <c r="D81" s="5">
        <v>0.60245619555827667</v>
      </c>
      <c r="F81" s="10">
        <v>25328629.063351527</v>
      </c>
      <c r="G81" s="1">
        <f t="shared" si="3"/>
        <v>35829048.232406124</v>
      </c>
      <c r="H81" s="6">
        <v>0.70692999989998806</v>
      </c>
      <c r="L81">
        <v>25019000</v>
      </c>
      <c r="M81">
        <v>23536000</v>
      </c>
    </row>
    <row r="82" spans="1:13" x14ac:dyDescent="0.25">
      <c r="A82" s="3">
        <v>1899</v>
      </c>
      <c r="B82" s="4">
        <v>28916533.697280813</v>
      </c>
      <c r="C82" s="4">
        <v>51800506.601063937</v>
      </c>
      <c r="D82" s="5">
        <v>0.55822878181440205</v>
      </c>
      <c r="F82" s="10">
        <v>24151112.858283743</v>
      </c>
      <c r="G82" s="1">
        <f t="shared" si="3"/>
        <v>34925480.548998706</v>
      </c>
      <c r="H82" s="6">
        <v>0.69150409611117414</v>
      </c>
      <c r="L82">
        <v>25545000</v>
      </c>
      <c r="M82">
        <v>22563000</v>
      </c>
    </row>
    <row r="83" spans="1:13" x14ac:dyDescent="0.25">
      <c r="A83" s="3">
        <v>1900</v>
      </c>
      <c r="B83" s="4">
        <v>32396501.381540399</v>
      </c>
      <c r="C83" s="4">
        <v>49983512.9233649</v>
      </c>
      <c r="D83" s="5">
        <v>0.64814374754353421</v>
      </c>
      <c r="F83" s="10">
        <v>22480513.768783547</v>
      </c>
      <c r="G83" s="1">
        <f t="shared" si="3"/>
        <v>27983049.283673923</v>
      </c>
      <c r="H83" s="6">
        <v>0.80336183311871212</v>
      </c>
      <c r="L83">
        <v>33163000</v>
      </c>
      <c r="M83">
        <v>21409000</v>
      </c>
    </row>
    <row r="84" spans="1:13" x14ac:dyDescent="0.25">
      <c r="A84" s="3">
        <v>1901</v>
      </c>
      <c r="B84" s="4">
        <v>48851166.146578453</v>
      </c>
      <c r="C84" s="4">
        <v>76634997.237509221</v>
      </c>
      <c r="D84" s="5">
        <v>0.63745244219397068</v>
      </c>
      <c r="F84" s="10">
        <v>18955876.462847963</v>
      </c>
      <c r="G84" s="1">
        <f t="shared" si="3"/>
        <v>24202545.887970172</v>
      </c>
      <c r="H84" s="6">
        <v>0.78321828416695383</v>
      </c>
      <c r="L84">
        <v>40622000</v>
      </c>
      <c r="M84">
        <v>21377000</v>
      </c>
    </row>
    <row r="85" spans="1:13" x14ac:dyDescent="0.25">
      <c r="A85" s="3">
        <v>1902</v>
      </c>
      <c r="B85" s="4">
        <v>42870087.807982683</v>
      </c>
      <c r="C85" s="4">
        <v>72189481.053373113</v>
      </c>
      <c r="D85" s="5">
        <v>0.59385504899649844</v>
      </c>
      <c r="F85" s="10">
        <v>21650130.64938283</v>
      </c>
      <c r="G85" s="1">
        <f t="shared" si="3"/>
        <v>30040222.848612811</v>
      </c>
      <c r="H85" s="6">
        <v>0.7207047284065865</v>
      </c>
      <c r="L85">
        <v>36437000</v>
      </c>
      <c r="M85">
        <v>23279000</v>
      </c>
    </row>
    <row r="86" spans="1:13" x14ac:dyDescent="0.25">
      <c r="A86" s="3">
        <v>1903</v>
      </c>
      <c r="B86" s="4">
        <v>47194128.506043501</v>
      </c>
      <c r="C86" s="4">
        <v>71673307.526372433</v>
      </c>
      <c r="D86" s="5">
        <v>0.65846170819838701</v>
      </c>
      <c r="F86" s="10">
        <v>22660604.809580673</v>
      </c>
      <c r="G86" s="1">
        <f t="shared" si="3"/>
        <v>31823518.585953753</v>
      </c>
      <c r="H86" s="6">
        <v>0.71207100334852969</v>
      </c>
      <c r="L86">
        <v>36883000</v>
      </c>
      <c r="M86">
        <v>24208000</v>
      </c>
    </row>
    <row r="87" spans="1:13" x14ac:dyDescent="0.25">
      <c r="A87" s="3">
        <v>1904</v>
      </c>
      <c r="B87" s="4">
        <v>41587285.070432767</v>
      </c>
      <c r="C87" s="4">
        <v>56532976.727070674</v>
      </c>
      <c r="D87" s="5">
        <v>0.73562878656129216</v>
      </c>
      <c r="F87" s="10">
        <v>24261437.138855312</v>
      </c>
      <c r="G87" s="1">
        <f t="shared" si="3"/>
        <v>32739607.660549339</v>
      </c>
      <c r="H87" s="6">
        <v>0.74104239092913515</v>
      </c>
      <c r="L87">
        <v>39430000</v>
      </c>
      <c r="M87">
        <v>25915000</v>
      </c>
    </row>
    <row r="88" spans="1:13" x14ac:dyDescent="0.25">
      <c r="A88" s="3">
        <v>1905</v>
      </c>
      <c r="B88" s="4">
        <v>48962164.320734031</v>
      </c>
      <c r="C88" s="4">
        <v>63039964.683113508</v>
      </c>
      <c r="D88" s="5">
        <v>0.77668451381365555</v>
      </c>
      <c r="F88" s="10">
        <v>28396498.311310999</v>
      </c>
      <c r="G88" s="1">
        <f t="shared" si="3"/>
        <v>34444034.982185036</v>
      </c>
      <c r="H88" s="6">
        <v>0.82442426754002796</v>
      </c>
      <c r="L88">
        <v>44643000</v>
      </c>
      <c r="M88">
        <v>29830000</v>
      </c>
    </row>
    <row r="89" spans="1:13" x14ac:dyDescent="0.25">
      <c r="A89" s="3">
        <v>1906</v>
      </c>
      <c r="B89" s="4">
        <v>52864478.203946732</v>
      </c>
      <c r="C89" s="4">
        <v>74848068.042130098</v>
      </c>
      <c r="D89" s="5">
        <v>0.70629048400007655</v>
      </c>
      <c r="F89" s="10">
        <v>33039553.81918047</v>
      </c>
      <c r="G89" s="1">
        <f t="shared" si="3"/>
        <v>41055470.926733181</v>
      </c>
      <c r="H89" s="6">
        <v>0.80475398463075076</v>
      </c>
      <c r="L89">
        <v>53059000</v>
      </c>
      <c r="M89">
        <v>33204000</v>
      </c>
    </row>
    <row r="90" spans="1:13" x14ac:dyDescent="0.25">
      <c r="A90" s="3">
        <v>1907</v>
      </c>
      <c r="B90" s="4">
        <v>54702252.17636244</v>
      </c>
      <c r="C90" s="4">
        <v>75599514.426917508</v>
      </c>
      <c r="D90" s="5">
        <v>0.72357941173343676</v>
      </c>
      <c r="F90" s="10">
        <v>37896227.469516039</v>
      </c>
      <c r="G90" s="1">
        <f t="shared" si="3"/>
        <v>46199986.785567261</v>
      </c>
      <c r="H90" s="6">
        <v>0.82026489845998629</v>
      </c>
      <c r="L90">
        <v>54177000</v>
      </c>
      <c r="M90">
        <v>40528000</v>
      </c>
    </row>
    <row r="91" spans="1:13" x14ac:dyDescent="0.25">
      <c r="A91" s="3">
        <v>1908</v>
      </c>
      <c r="B91" s="4">
        <v>48194209.65598432</v>
      </c>
      <c r="C91" s="4">
        <v>69433011.751851305</v>
      </c>
      <c r="D91" s="5">
        <v>0.69411089105895385</v>
      </c>
      <c r="F91" s="10">
        <v>32971887.303110711</v>
      </c>
      <c r="G91" s="1">
        <f t="shared" si="3"/>
        <v>39943838.08176937</v>
      </c>
      <c r="H91" s="6">
        <v>0.82545616261546229</v>
      </c>
      <c r="L91">
        <v>44155000</v>
      </c>
      <c r="M91">
        <v>35491000</v>
      </c>
    </row>
    <row r="92" spans="1:13" x14ac:dyDescent="0.25">
      <c r="A92" s="3">
        <v>1909</v>
      </c>
      <c r="B92" s="4">
        <v>64271161.127039582</v>
      </c>
      <c r="C92" s="4">
        <v>83974275.781669378</v>
      </c>
      <c r="D92" s="5">
        <v>0.76536725716030818</v>
      </c>
      <c r="F92" s="10">
        <v>33264965.264947526</v>
      </c>
      <c r="G92" s="1">
        <f t="shared" si="3"/>
        <v>40794121.68615485</v>
      </c>
      <c r="H92" s="6">
        <v>0.8154352610130432</v>
      </c>
      <c r="L92">
        <v>63724000</v>
      </c>
      <c r="M92">
        <v>37139000</v>
      </c>
    </row>
    <row r="93" spans="1:13" x14ac:dyDescent="0.25">
      <c r="A93" s="3">
        <v>1910</v>
      </c>
      <c r="B93" s="4">
        <v>51191822.99302572</v>
      </c>
      <c r="C93" s="4">
        <v>57003771.111418441</v>
      </c>
      <c r="D93" s="5">
        <v>0.89804274339968138</v>
      </c>
      <c r="F93" s="10">
        <v>52849670.047793724</v>
      </c>
      <c r="G93" s="1">
        <f t="shared" si="3"/>
        <v>58133807.464531802</v>
      </c>
      <c r="H93" s="6">
        <v>0.90910388210918402</v>
      </c>
      <c r="L93">
        <v>63092000</v>
      </c>
      <c r="M93">
        <v>47872000</v>
      </c>
    </row>
    <row r="94" spans="1:13" x14ac:dyDescent="0.25">
      <c r="A94" s="3">
        <v>1911</v>
      </c>
      <c r="B94" s="4">
        <v>60574412.986755282</v>
      </c>
      <c r="C94" s="4">
        <v>60720412.920408867</v>
      </c>
      <c r="D94" s="5">
        <v>0.99759553786557809</v>
      </c>
      <c r="F94" s="10">
        <v>48980491.667288631</v>
      </c>
      <c r="G94" s="1">
        <f t="shared" si="3"/>
        <v>54299114.991302617</v>
      </c>
      <c r="H94" s="6">
        <v>0.90204953939183175</v>
      </c>
      <c r="L94">
        <v>66839000</v>
      </c>
      <c r="M94">
        <v>52822000</v>
      </c>
    </row>
    <row r="95" spans="1:13" x14ac:dyDescent="0.25">
      <c r="A95" s="3">
        <v>1912</v>
      </c>
      <c r="B95" s="4">
        <v>74424513.789378732</v>
      </c>
      <c r="C95" s="4">
        <v>66781526.972669877</v>
      </c>
      <c r="D95" s="5">
        <v>1.114447619920951</v>
      </c>
      <c r="F95" s="10">
        <v>59083118.4613031</v>
      </c>
      <c r="G95" s="1">
        <f t="shared" si="3"/>
        <v>59282757.846318811</v>
      </c>
      <c r="H95" s="6">
        <v>0.99663242075321046</v>
      </c>
      <c r="L95">
        <v>74649000</v>
      </c>
      <c r="M95">
        <v>63425000</v>
      </c>
    </row>
    <row r="96" spans="1:13" x14ac:dyDescent="0.25">
      <c r="A96" s="3">
        <v>1913</v>
      </c>
      <c r="B96" s="4">
        <v>74527018.810543314</v>
      </c>
      <c r="C96" s="4">
        <v>74527018.810543314</v>
      </c>
      <c r="D96" s="5">
        <v>1</v>
      </c>
      <c r="F96" s="10">
        <v>58963622.298510775</v>
      </c>
      <c r="G96" s="1">
        <f t="shared" si="3"/>
        <v>58963622.298510775</v>
      </c>
      <c r="H96" s="6">
        <v>1</v>
      </c>
      <c r="L96">
        <v>65451000</v>
      </c>
      <c r="M96">
        <v>67166000</v>
      </c>
    </row>
    <row r="98" spans="1:7" x14ac:dyDescent="0.25">
      <c r="A98" s="1" t="s">
        <v>26</v>
      </c>
    </row>
    <row r="99" spans="1:7" x14ac:dyDescent="0.25">
      <c r="B99" t="s">
        <v>27</v>
      </c>
      <c r="C99" s="15">
        <f>LN(C33/C4)/(1850-1821-1)</f>
        <v>5.8903620252111745E-2</v>
      </c>
      <c r="F99" t="s">
        <v>37</v>
      </c>
      <c r="G99" s="15">
        <f>LN(G33/G10)/(1850-1821-1)</f>
        <v>2.4772557540685171E-2</v>
      </c>
    </row>
    <row r="100" spans="1:7" x14ac:dyDescent="0.25">
      <c r="B100" t="s">
        <v>28</v>
      </c>
      <c r="C100" s="15">
        <f>LN(C53/C4)/(1870-1821-1)</f>
        <v>4.5518043962614378E-2</v>
      </c>
      <c r="F100" t="s">
        <v>38</v>
      </c>
      <c r="G100" s="15">
        <f>LN(G53/G10)/(1870-1821-1)</f>
        <v>2.7519323712084372E-2</v>
      </c>
    </row>
    <row r="101" spans="1:7" x14ac:dyDescent="0.25">
      <c r="B101" t="s">
        <v>29</v>
      </c>
      <c r="C101" s="15">
        <f>LN(C73/C4)/(1890-1821-1)</f>
        <v>3.5671095206797489E-2</v>
      </c>
      <c r="F101" t="s">
        <v>39</v>
      </c>
      <c r="G101" s="15">
        <f>LN(G73/G10)/(1890-1821-1)</f>
        <v>3.3028109200872457E-2</v>
      </c>
    </row>
    <row r="102" spans="1:7" x14ac:dyDescent="0.25">
      <c r="B102" t="s">
        <v>30</v>
      </c>
      <c r="C102" s="15">
        <f>LN(C96/C4)/(1913-1821-1)</f>
        <v>3.6994244921728002E-2</v>
      </c>
      <c r="F102" t="s">
        <v>40</v>
      </c>
      <c r="G102" s="15">
        <f>LN(G96/G10)/(1913-1821-1)</f>
        <v>3.0957888374257142E-2</v>
      </c>
    </row>
    <row r="103" spans="1:7" x14ac:dyDescent="0.25">
      <c r="B103" t="s">
        <v>31</v>
      </c>
      <c r="C103" s="15">
        <f>LN(C53/C33)/(1870-1850-1)</f>
        <v>2.8187618060334804E-2</v>
      </c>
      <c r="F103" t="s">
        <v>31</v>
      </c>
      <c r="G103" s="15">
        <f>LN(G53/G33)/(1870-1850-1)</f>
        <v>3.3015575107413937E-2</v>
      </c>
    </row>
    <row r="104" spans="1:7" x14ac:dyDescent="0.25">
      <c r="B104" t="s">
        <v>32</v>
      </c>
      <c r="C104" s="15">
        <f>LN(C73/C33)/(1890-1850-1)</f>
        <v>1.9905977102643604E-2</v>
      </c>
      <c r="F104" t="s">
        <v>32</v>
      </c>
      <c r="G104" s="15">
        <f>LN(G73/G33)/(1890-1850-1)</f>
        <v>3.9802046526157486E-2</v>
      </c>
    </row>
    <row r="105" spans="1:7" x14ac:dyDescent="0.25">
      <c r="B105" t="s">
        <v>33</v>
      </c>
      <c r="C105" s="15">
        <f>LN(C96/C33)/(1913-1850-1)</f>
        <v>2.7696369690614831E-2</v>
      </c>
      <c r="F105" t="s">
        <v>33</v>
      </c>
      <c r="G105" s="15">
        <f>LN(G96/G33)/(1913-1850-1)</f>
        <v>3.4250584369648632E-2</v>
      </c>
    </row>
    <row r="106" spans="1:7" x14ac:dyDescent="0.25">
      <c r="B106" t="s">
        <v>34</v>
      </c>
      <c r="C106" s="15">
        <f>LN(C73/C53)/(1890-1870-1)</f>
        <v>1.2672019150354694E-2</v>
      </c>
      <c r="F106" t="s">
        <v>34</v>
      </c>
      <c r="G106" s="15">
        <f>LN(G73/G53)/(1890-1870-1)</f>
        <v>4.8683362498909317E-2</v>
      </c>
    </row>
    <row r="107" spans="1:7" x14ac:dyDescent="0.25">
      <c r="B107" t="s">
        <v>35</v>
      </c>
      <c r="C107" s="15">
        <f>LN(C96/C53)/(1913-1870-1)</f>
        <v>2.8133575658851388E-2</v>
      </c>
      <c r="F107" t="s">
        <v>35</v>
      </c>
      <c r="G107" s="15">
        <f>LN(G96/G53)/(1913-1870-1)</f>
        <v>3.5624769139936917E-2</v>
      </c>
    </row>
    <row r="108" spans="1:7" x14ac:dyDescent="0.25">
      <c r="B108" t="s">
        <v>36</v>
      </c>
      <c r="C108" s="15">
        <f>LN(C96/C73)/(1913-1890-1)</f>
        <v>4.2765536991591767E-2</v>
      </c>
      <c r="F108" t="s">
        <v>36</v>
      </c>
      <c r="G108" s="15">
        <f>LN(G96/G73)/(1913-1890-1)</f>
        <v>2.5966200745366961E-2</v>
      </c>
    </row>
  </sheetData>
  <mergeCells count="3">
    <mergeCell ref="B1:D1"/>
    <mergeCell ref="F1:H1"/>
    <mergeCell ref="L1:M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E20" sqref="AE20"/>
    </sheetView>
  </sheetViews>
  <sheetFormatPr defaultColWidth="8.85546875" defaultRowHeight="15" x14ac:dyDescent="0.25"/>
  <cols>
    <col min="1" max="3" width="8.85546875" style="26"/>
    <col min="4" max="4" width="15.7109375" style="26" bestFit="1" customWidth="1"/>
    <col min="5" max="5" width="15.7109375" style="26" customWidth="1"/>
    <col min="6" max="6" width="8.85546875" style="26"/>
    <col min="7" max="7" width="11" style="26" bestFit="1" customWidth="1"/>
    <col min="8" max="8" width="8.85546875" style="26"/>
    <col min="9" max="9" width="10.42578125" style="26" bestFit="1" customWidth="1"/>
    <col min="10" max="10" width="10.42578125" style="26" customWidth="1"/>
    <col min="11" max="13" width="8.85546875" style="26"/>
    <col min="14" max="14" width="11.85546875" style="26" customWidth="1"/>
    <col min="15" max="15" width="15.85546875" style="26" customWidth="1"/>
    <col min="16" max="16" width="8.85546875" style="26"/>
    <col min="17" max="17" width="14.85546875" style="26" customWidth="1"/>
    <col min="18" max="18" width="12.7109375" style="26" customWidth="1"/>
    <col min="19" max="20" width="12" style="26" customWidth="1"/>
    <col min="21" max="21" width="9.42578125" style="26" customWidth="1"/>
    <col min="22" max="22" width="20.42578125" style="26" customWidth="1"/>
    <col min="23" max="28" width="8.85546875" style="26"/>
    <col min="29" max="29" width="10.42578125" style="26" bestFit="1" customWidth="1"/>
    <col min="30" max="30" width="10.42578125" style="26" customWidth="1"/>
    <col min="31" max="32" width="8.85546875" style="26"/>
    <col min="33" max="33" width="11.140625" style="26" bestFit="1" customWidth="1"/>
    <col min="34" max="34" width="14.85546875" style="26" customWidth="1"/>
    <col min="35" max="16384" width="8.85546875" style="26"/>
  </cols>
  <sheetData>
    <row r="1" spans="1:39" x14ac:dyDescent="0.25">
      <c r="B1" s="26" t="s">
        <v>117</v>
      </c>
      <c r="G1" s="26" t="s">
        <v>118</v>
      </c>
      <c r="L1" s="66" t="s">
        <v>119</v>
      </c>
      <c r="M1" s="66"/>
      <c r="N1" s="66"/>
      <c r="O1" s="66"/>
      <c r="P1" s="66"/>
      <c r="Q1" s="66" t="s">
        <v>120</v>
      </c>
      <c r="R1" s="66"/>
      <c r="S1" s="66"/>
      <c r="T1" s="66"/>
      <c r="U1" s="66"/>
      <c r="V1" s="66" t="s">
        <v>121</v>
      </c>
      <c r="AA1" s="26" t="s">
        <v>64</v>
      </c>
      <c r="AF1" s="26" t="s">
        <v>122</v>
      </c>
    </row>
    <row r="2" spans="1:39" x14ac:dyDescent="0.25">
      <c r="D2" s="26" t="s">
        <v>123</v>
      </c>
      <c r="E2" s="26" t="s">
        <v>124</v>
      </c>
      <c r="F2" s="26" t="s">
        <v>125</v>
      </c>
      <c r="I2" s="26" t="s">
        <v>126</v>
      </c>
      <c r="J2" s="26" t="s">
        <v>127</v>
      </c>
      <c r="K2" s="26" t="s">
        <v>128</v>
      </c>
      <c r="L2" s="66"/>
      <c r="M2" s="66"/>
      <c r="N2" s="66" t="s">
        <v>123</v>
      </c>
      <c r="O2" s="67" t="s">
        <v>129</v>
      </c>
      <c r="P2" s="67" t="s">
        <v>130</v>
      </c>
      <c r="Q2" s="66"/>
      <c r="R2" s="66"/>
      <c r="S2" s="66" t="s">
        <v>131</v>
      </c>
      <c r="T2" s="67" t="s">
        <v>132</v>
      </c>
      <c r="U2" s="67" t="s">
        <v>130</v>
      </c>
      <c r="V2" s="66"/>
      <c r="X2" s="26" t="s">
        <v>133</v>
      </c>
      <c r="Y2" s="67" t="s">
        <v>134</v>
      </c>
      <c r="AC2" s="66" t="s">
        <v>135</v>
      </c>
      <c r="AD2" s="26" t="s">
        <v>136</v>
      </c>
      <c r="AE2" s="26" t="s">
        <v>137</v>
      </c>
      <c r="AH2" s="26" t="s">
        <v>123</v>
      </c>
      <c r="AI2" s="26" t="s">
        <v>138</v>
      </c>
      <c r="AL2" s="33" t="s">
        <v>139</v>
      </c>
      <c r="AM2" s="26" t="s">
        <v>140</v>
      </c>
    </row>
    <row r="3" spans="1:39" x14ac:dyDescent="0.25">
      <c r="A3" s="26">
        <v>1846</v>
      </c>
      <c r="B3" s="26">
        <f>1033170*14.687</f>
        <v>15174167.789999999</v>
      </c>
      <c r="C3" s="26">
        <v>2066340</v>
      </c>
      <c r="D3" s="26">
        <f>C3/B3</f>
        <v>0.13617484850548103</v>
      </c>
      <c r="E3" s="26">
        <f>(D3*AM3)*88.9</f>
        <v>6.5433238905016671</v>
      </c>
      <c r="F3" s="39">
        <v>5.6525534642110236</v>
      </c>
      <c r="G3" s="26">
        <v>9711</v>
      </c>
      <c r="H3" s="26">
        <v>116532</v>
      </c>
      <c r="I3" s="39">
        <f>H3/G3</f>
        <v>12</v>
      </c>
      <c r="J3" s="39">
        <f>I3*AL3</f>
        <v>1.3468013468013469</v>
      </c>
      <c r="K3" s="39">
        <v>1.8052259733188132</v>
      </c>
      <c r="L3" s="26">
        <f>(3484807.5*1.447)/5*0.453592</f>
        <v>457449.02454447607</v>
      </c>
      <c r="M3" s="26">
        <v>1930645.71</v>
      </c>
      <c r="N3" s="26">
        <f>M3/L3</f>
        <v>4.2204608741324146</v>
      </c>
      <c r="O3" s="26">
        <f>(N3*AL3)/22.6</f>
        <v>2.0959153353259312E-2</v>
      </c>
      <c r="P3" s="47">
        <v>2.0275226985519999E-2</v>
      </c>
      <c r="Q3" s="26">
        <f>5232296*1.447/5*0.453592</f>
        <v>686841.00953294081</v>
      </c>
      <c r="R3" s="26">
        <v>1310935.56</v>
      </c>
      <c r="S3" s="39">
        <f>R3/Q3</f>
        <v>1.9086448563859781</v>
      </c>
      <c r="T3" s="39">
        <f>(S3*AL3)/22.6</f>
        <v>9.4784862210401857E-3</v>
      </c>
      <c r="U3" s="39">
        <v>1.281190563532727E-2</v>
      </c>
      <c r="V3" s="26">
        <f>7629111.5*1.447/5*0.453592</f>
        <v>1001469.8412512152</v>
      </c>
      <c r="W3" s="26">
        <v>2028349.29</v>
      </c>
      <c r="X3" s="39">
        <f>W3/V3</f>
        <v>2.025372314223485</v>
      </c>
      <c r="Y3" s="26">
        <f>(X3*AL3)/22.6</f>
        <v>1.0058164308887721E-2</v>
      </c>
      <c r="AA3" s="26">
        <f>25340*100</f>
        <v>2534000</v>
      </c>
      <c r="AB3" s="26">
        <v>253400</v>
      </c>
      <c r="AC3" s="26">
        <f>AB3/AA3</f>
        <v>0.1</v>
      </c>
      <c r="AD3" s="26">
        <f>(AC3*AL3)*50.8023</f>
        <v>0.57017171717171722</v>
      </c>
      <c r="AE3" s="39">
        <v>0.81962384870146299</v>
      </c>
      <c r="AF3" s="26">
        <f>13667*14.687</f>
        <v>200727.22899999999</v>
      </c>
      <c r="AG3" s="26">
        <v>27607.02</v>
      </c>
      <c r="AH3" s="26">
        <f>AG3/AF3</f>
        <v>0.13753500278729003</v>
      </c>
      <c r="AI3" s="39">
        <v>0.18240799951714406</v>
      </c>
      <c r="AL3" s="68">
        <v>0.1122334455667789</v>
      </c>
      <c r="AM3" s="68">
        <v>0.54050505050505049</v>
      </c>
    </row>
    <row r="4" spans="1:39" x14ac:dyDescent="0.25">
      <c r="A4" s="26">
        <v>1847</v>
      </c>
      <c r="B4" s="26">
        <f>880626*14.687</f>
        <v>12933754.061999999</v>
      </c>
      <c r="C4" s="26">
        <f>1761252.82</f>
        <v>1761252.82</v>
      </c>
      <c r="D4" s="26">
        <f>C4/B4</f>
        <v>0.13617491190548048</v>
      </c>
      <c r="E4" s="26">
        <f t="shared" ref="E4:E6" si="0">(D4*AM4)*88.9</f>
        <v>6.7703487504952999</v>
      </c>
      <c r="F4" s="39">
        <v>6.1462013370035393</v>
      </c>
      <c r="G4" s="26">
        <v>30907</v>
      </c>
      <c r="H4" s="26">
        <f>370893.3</f>
        <v>370893.3</v>
      </c>
      <c r="I4" s="39">
        <f>H4/G4</f>
        <v>12.000300902708124</v>
      </c>
      <c r="J4" s="39">
        <f t="shared" ref="J4:J6" si="1">I4*AL4</f>
        <v>1.4001051105714766</v>
      </c>
      <c r="K4" s="39">
        <v>2.0121742674061309</v>
      </c>
      <c r="L4" s="26">
        <f>(2408924*1.447)/5*0.453592</f>
        <v>316218.30875931517</v>
      </c>
      <c r="M4" s="26">
        <f>1300148.5</f>
        <v>1300148.5</v>
      </c>
      <c r="N4" s="26">
        <f>M4/L4</f>
        <v>4.1115535185206138</v>
      </c>
      <c r="O4" s="26">
        <f>(N4*AL4)/22.6</f>
        <v>2.1225895092427408E-2</v>
      </c>
      <c r="P4" s="47">
        <v>2.0341374034666376E-2</v>
      </c>
      <c r="Q4" s="26">
        <f>2491387*1.447/5*0.453592</f>
        <v>327043.1875828976</v>
      </c>
      <c r="R4" s="26">
        <f>638480.86</f>
        <v>638480.86</v>
      </c>
      <c r="S4" s="39">
        <f>R4/Q4</f>
        <v>1.9522830141146432</v>
      </c>
      <c r="T4" s="39">
        <f t="shared" ref="T4:T5" si="2">(S4*AL4)/22.6</f>
        <v>1.0078661085563498E-2</v>
      </c>
      <c r="U4" s="39">
        <v>1.5600395476661718E-2</v>
      </c>
      <c r="V4" s="26">
        <f>4118828*1.447/5*0.453592</f>
        <v>540676.5942929344</v>
      </c>
      <c r="W4" s="26">
        <f>1071796.68</f>
        <v>1071796.68</v>
      </c>
      <c r="X4" s="39">
        <f>W4/V4</f>
        <v>1.9823249079269534</v>
      </c>
      <c r="Y4" s="26">
        <f t="shared" ref="Y4:Y5" si="3">(X4*AL4)/22.6</f>
        <v>1.0233752362757278E-2</v>
      </c>
      <c r="AA4" s="26">
        <f>1161*100</f>
        <v>116100</v>
      </c>
      <c r="AB4" s="26">
        <f>11610</f>
        <v>11610</v>
      </c>
      <c r="AC4" s="26">
        <f>AB4/AA4</f>
        <v>0.1</v>
      </c>
      <c r="AD4" s="26">
        <f t="shared" ref="AD4:AD6" si="4">(AC4*AL4)*50.8023</f>
        <v>0.59272313615680794</v>
      </c>
      <c r="AE4" s="39">
        <v>0.71126950355879881</v>
      </c>
      <c r="AF4" s="26">
        <f>83704*14.687</f>
        <v>1229360.648</v>
      </c>
      <c r="AG4" s="26">
        <v>167668.4</v>
      </c>
      <c r="AH4" s="26">
        <f>AG4/AF4</f>
        <v>0.13638666592490439</v>
      </c>
      <c r="AI4" s="39">
        <v>0.16281730809935099</v>
      </c>
      <c r="AL4" s="68">
        <v>0.11667250029168126</v>
      </c>
      <c r="AM4" s="68">
        <v>0.55925796289814489</v>
      </c>
    </row>
    <row r="5" spans="1:39" x14ac:dyDescent="0.25">
      <c r="A5" s="26">
        <v>1848</v>
      </c>
      <c r="B5" s="26">
        <f>1171827*14.687</f>
        <v>17210623.149</v>
      </c>
      <c r="C5" s="26">
        <f>2343054.89</f>
        <v>2343054.89</v>
      </c>
      <c r="D5" s="26">
        <f>C5/B5</f>
        <v>0.13614003802855565</v>
      </c>
      <c r="E5" s="26">
        <f t="shared" si="0"/>
        <v>6.1377835635547777</v>
      </c>
      <c r="F5" s="39">
        <v>6.6217980028220991</v>
      </c>
      <c r="G5" s="26">
        <v>37023</v>
      </c>
      <c r="H5" s="26">
        <f>444280.9</f>
        <v>444280.9</v>
      </c>
      <c r="I5" s="39">
        <f>H5/G5</f>
        <v>12.000132350160712</v>
      </c>
      <c r="J5" s="39">
        <f t="shared" si="1"/>
        <v>1.2500137864750742</v>
      </c>
      <c r="K5" s="39">
        <v>1.687638872543251</v>
      </c>
      <c r="L5" s="26">
        <f>3591748.25*1.447/5*0.453592</f>
        <v>471487.08597873157</v>
      </c>
      <c r="M5" s="26">
        <f>1977111.9</f>
        <v>1977111.9</v>
      </c>
      <c r="N5" s="26">
        <f>M5/L5</f>
        <v>4.1933532408333791</v>
      </c>
      <c r="O5" s="26">
        <f>(N5*AL5)/22.6</f>
        <v>1.932777120590606E-2</v>
      </c>
      <c r="P5" s="47">
        <v>1.8112833811162628E-2</v>
      </c>
      <c r="Q5" s="26">
        <f>2753164*1.447/5*0.453592</f>
        <v>361406.52997646719</v>
      </c>
      <c r="R5" s="26">
        <f>695964.83</f>
        <v>695964.83</v>
      </c>
      <c r="S5" s="39">
        <f>R5/Q5</f>
        <v>1.9257118294052886</v>
      </c>
      <c r="T5" s="39">
        <f t="shared" si="2"/>
        <v>8.8758841694565292E-3</v>
      </c>
      <c r="U5" s="39">
        <v>1.2983280679261822E-2</v>
      </c>
      <c r="V5" s="26">
        <f>3941011.5*1.447/5*0.453592</f>
        <v>517334.7068363353</v>
      </c>
      <c r="W5" s="26">
        <f>996752.93</f>
        <v>996752.93</v>
      </c>
      <c r="X5" s="39">
        <f>W5/V5</f>
        <v>1.9267080225401041</v>
      </c>
      <c r="Y5" s="26">
        <f t="shared" si="3"/>
        <v>8.8804757676074122E-3</v>
      </c>
      <c r="AA5" s="26">
        <f>4738*100</f>
        <v>473800</v>
      </c>
      <c r="AB5" s="26">
        <f>47337.5</f>
        <v>47337.5</v>
      </c>
      <c r="AC5" s="26">
        <f>AB5/AA5</f>
        <v>9.9910299704516675E-2</v>
      </c>
      <c r="AD5" s="26">
        <f t="shared" si="4"/>
        <v>0.52871593944570494</v>
      </c>
      <c r="AE5" s="39">
        <v>0.69125694511475433</v>
      </c>
      <c r="AF5" s="26">
        <f>296292*14.687</f>
        <v>4351640.6040000003</v>
      </c>
      <c r="AG5" s="27">
        <v>592503.89</v>
      </c>
      <c r="AH5" s="26">
        <f>AG5/AF5</f>
        <v>0.13615643935654387</v>
      </c>
      <c r="AI5" s="39">
        <v>0.14713807578851829</v>
      </c>
      <c r="AL5" s="68">
        <v>0.10416666666666667</v>
      </c>
      <c r="AM5" s="68">
        <v>0.50713541666666673</v>
      </c>
    </row>
    <row r="6" spans="1:39" x14ac:dyDescent="0.25">
      <c r="A6" s="26">
        <v>1849</v>
      </c>
      <c r="B6" s="26">
        <f>1134609*14.687</f>
        <v>16664002.382999999</v>
      </c>
      <c r="C6" s="26">
        <v>2269218</v>
      </c>
      <c r="D6" s="26">
        <f>C6/B6</f>
        <v>0.13617484850548103</v>
      </c>
      <c r="E6" s="26">
        <f t="shared" si="0"/>
        <v>6.2832133667175825</v>
      </c>
      <c r="F6" s="39">
        <v>5.988421514065716</v>
      </c>
      <c r="G6" s="26">
        <v>38980</v>
      </c>
      <c r="H6" s="26">
        <v>467765.9</v>
      </c>
      <c r="I6" s="39">
        <f>H6/G6</f>
        <v>12.000151359671626</v>
      </c>
      <c r="J6" s="39">
        <f t="shared" si="1"/>
        <v>1.29381685818562</v>
      </c>
      <c r="K6" s="39">
        <v>1.6021887617765815</v>
      </c>
      <c r="L6" s="26">
        <f>3766633*1.447/5*0.453592</f>
        <v>494444.12400599837</v>
      </c>
      <c r="M6" s="26">
        <f>2071648.15</f>
        <v>2071648.15</v>
      </c>
      <c r="N6" s="26">
        <f>M6/L6</f>
        <v>4.1898529063617058</v>
      </c>
      <c r="O6" s="26">
        <f>(N6*AL6)/22.6</f>
        <v>1.9988325770396703E-2</v>
      </c>
      <c r="P6" s="47">
        <v>1.7563779400796235E-2</v>
      </c>
      <c r="Q6" s="26" t="s">
        <v>141</v>
      </c>
      <c r="U6" s="39">
        <v>1.2364096530382625E-2</v>
      </c>
      <c r="V6" s="26" t="s">
        <v>141</v>
      </c>
      <c r="X6" s="39"/>
      <c r="AA6" s="26">
        <f>30022*100</f>
        <v>3002200</v>
      </c>
      <c r="AB6" s="26">
        <v>300288.05</v>
      </c>
      <c r="AC6" s="26">
        <f>AB6/AA6</f>
        <v>0.10002266671107854</v>
      </c>
      <c r="AD6" s="26">
        <f t="shared" si="4"/>
        <v>0.54785784593598119</v>
      </c>
      <c r="AE6" s="39">
        <v>0.54773503279447111</v>
      </c>
      <c r="AF6" s="26">
        <f>58133*14.687</f>
        <v>853799.37099999993</v>
      </c>
      <c r="AG6" s="27">
        <v>116221.93</v>
      </c>
      <c r="AH6" s="26">
        <f>AG6/AF6</f>
        <v>0.13612323216387098</v>
      </c>
      <c r="AI6" s="39">
        <v>0.15504615604799277</v>
      </c>
      <c r="AL6" s="68">
        <v>0.10781671159029649</v>
      </c>
      <c r="AM6" s="68">
        <v>0.51901886792452834</v>
      </c>
    </row>
    <row r="7" spans="1:39" x14ac:dyDescent="0.25">
      <c r="A7" s="26">
        <f>A6+1</f>
        <v>1850</v>
      </c>
      <c r="F7" s="39">
        <v>5.6406805623940039</v>
      </c>
      <c r="K7" s="39">
        <v>1.5915960144560752</v>
      </c>
      <c r="P7" s="47">
        <v>1.8660535341964445E-2</v>
      </c>
      <c r="U7" s="39">
        <v>1.3056705643929392E-2</v>
      </c>
      <c r="X7" s="39"/>
      <c r="AE7" s="39">
        <v>0.56367687470262662</v>
      </c>
      <c r="AI7" s="39">
        <v>0.18959143819743146</v>
      </c>
      <c r="AL7" s="68">
        <v>0.11978917105893626</v>
      </c>
      <c r="AM7" s="68">
        <v>0.58339722089123136</v>
      </c>
    </row>
    <row r="8" spans="1:39" x14ac:dyDescent="0.25">
      <c r="A8" s="26">
        <f t="shared" ref="A8:A27" si="5">A7+1</f>
        <v>1851</v>
      </c>
      <c r="F8" s="39">
        <v>5.4643719170214204</v>
      </c>
      <c r="K8" s="39">
        <v>1.6094178567935049</v>
      </c>
      <c r="P8" s="47">
        <v>1.8381297939075565E-2</v>
      </c>
      <c r="U8" s="39">
        <v>1.2572266158079361E-2</v>
      </c>
      <c r="X8" s="39"/>
      <c r="AE8" s="39">
        <v>0.63348896795762855</v>
      </c>
      <c r="AI8" s="39">
        <v>0.16419432015703173</v>
      </c>
      <c r="AL8" s="68">
        <v>0.12135922330097088</v>
      </c>
      <c r="AM8" s="68">
        <v>0.59620145631067956</v>
      </c>
    </row>
    <row r="9" spans="1:39" x14ac:dyDescent="0.25">
      <c r="A9" s="26">
        <f t="shared" si="5"/>
        <v>1852</v>
      </c>
      <c r="F9" s="39">
        <v>4.7512064343163543</v>
      </c>
      <c r="K9" s="39">
        <v>1.5852693684597028</v>
      </c>
      <c r="P9" s="47">
        <v>1.7990951615990951E-2</v>
      </c>
      <c r="U9" s="39">
        <v>1.2990338183660664E-2</v>
      </c>
      <c r="X9" s="39"/>
      <c r="AE9" s="39">
        <v>0.64613807047561467</v>
      </c>
      <c r="AI9" s="39">
        <v>0.20720903784730477</v>
      </c>
      <c r="AL9" s="68">
        <v>0.11432491139819367</v>
      </c>
      <c r="AM9" s="68">
        <v>0.5603978506916657</v>
      </c>
    </row>
    <row r="10" spans="1:39" x14ac:dyDescent="0.25">
      <c r="A10" s="26">
        <f t="shared" si="5"/>
        <v>1853</v>
      </c>
      <c r="F10" s="39">
        <v>5.610755503719087</v>
      </c>
      <c r="K10" s="39">
        <v>2.0565513174363752</v>
      </c>
      <c r="P10" s="47">
        <v>1.8186124777533258E-2</v>
      </c>
      <c r="U10" s="39">
        <v>1.2781302170870012E-2</v>
      </c>
      <c r="X10" s="39"/>
      <c r="AE10" s="39">
        <v>0.76541474670559484</v>
      </c>
      <c r="AI10" s="39">
        <v>0.28091138809917088</v>
      </c>
      <c r="AL10" s="68">
        <v>0.11875074219213871</v>
      </c>
      <c r="AM10" s="68">
        <v>0.5804180026125163</v>
      </c>
    </row>
    <row r="11" spans="1:39" x14ac:dyDescent="0.25">
      <c r="A11" s="26">
        <f t="shared" si="5"/>
        <v>1854</v>
      </c>
      <c r="F11" s="39">
        <v>7.667425686368408</v>
      </c>
      <c r="K11" s="39">
        <v>2.2166953771969675</v>
      </c>
      <c r="P11" s="47">
        <v>1.6349773140983025E-2</v>
      </c>
      <c r="U11" s="39">
        <v>1.1830891083917973E-2</v>
      </c>
      <c r="X11" s="39"/>
      <c r="AE11" s="39">
        <v>0.8420291319064177</v>
      </c>
      <c r="AI11" s="39">
        <v>0.30296686044009175</v>
      </c>
      <c r="AL11" s="68">
        <v>0.1151012891344383</v>
      </c>
      <c r="AM11" s="68">
        <v>0.5619935543278084</v>
      </c>
    </row>
    <row r="12" spans="1:39" x14ac:dyDescent="0.25">
      <c r="A12" s="26">
        <f t="shared" si="5"/>
        <v>1855</v>
      </c>
      <c r="F12" s="39">
        <v>9.4215122017301098</v>
      </c>
      <c r="K12" s="39">
        <v>2.095058954632504</v>
      </c>
      <c r="P12" s="47">
        <v>1.6379784103889215E-2</v>
      </c>
      <c r="U12" s="39">
        <v>1.1783528738036061E-2</v>
      </c>
      <c r="X12" s="39"/>
      <c r="AE12" s="39">
        <v>0.71474640814651214</v>
      </c>
      <c r="AI12" s="39">
        <v>0.31468463947264946</v>
      </c>
      <c r="AL12" s="68">
        <v>0.11485012059262661</v>
      </c>
      <c r="AM12" s="68">
        <v>0.56118065923969207</v>
      </c>
    </row>
    <row r="13" spans="1:39" x14ac:dyDescent="0.25">
      <c r="A13" s="26">
        <f t="shared" si="5"/>
        <v>1856</v>
      </c>
      <c r="F13" s="39">
        <v>9.2970814399292649</v>
      </c>
      <c r="K13" s="39">
        <v>1.9764963088827916</v>
      </c>
      <c r="P13" s="47">
        <v>1.6319762178076836E-2</v>
      </c>
      <c r="U13" s="39">
        <v>1.1878253429799883E-2</v>
      </c>
      <c r="X13" s="39"/>
      <c r="AE13" s="39">
        <v>0.85331969135859098</v>
      </c>
      <c r="AI13" s="39">
        <v>0.38602618817297069</v>
      </c>
      <c r="AL13" s="68">
        <v>0.11485012059262661</v>
      </c>
      <c r="AM13" s="68">
        <v>0.56378775697714478</v>
      </c>
    </row>
    <row r="14" spans="1:39" x14ac:dyDescent="0.25">
      <c r="A14" s="26">
        <f t="shared" si="5"/>
        <v>1857</v>
      </c>
      <c r="F14" s="39">
        <v>7.6911960152543513</v>
      </c>
      <c r="K14" s="39">
        <v>1.7643004813536249</v>
      </c>
      <c r="P14" s="47">
        <v>1.912445453795578E-2</v>
      </c>
      <c r="U14" s="39">
        <v>1.2877473349226058E-2</v>
      </c>
      <c r="X14" s="39"/>
      <c r="AE14" s="39">
        <v>0.86370884432006478</v>
      </c>
      <c r="AI14" s="39">
        <v>0.37382285448715069</v>
      </c>
      <c r="AL14" s="68">
        <v>0.11093854004881297</v>
      </c>
      <c r="AM14" s="68">
        <v>0.54233414688262704</v>
      </c>
    </row>
    <row r="15" spans="1:39" x14ac:dyDescent="0.25">
      <c r="A15" s="26">
        <f t="shared" si="5"/>
        <v>1858</v>
      </c>
      <c r="F15" s="39">
        <v>6.7808405697745275</v>
      </c>
      <c r="K15" s="39">
        <v>1.5987288877302104</v>
      </c>
      <c r="P15" s="47">
        <v>1.7408919019622462E-2</v>
      </c>
      <c r="U15" s="39">
        <v>1.2871809887117822E-2</v>
      </c>
      <c r="X15" s="39"/>
      <c r="AE15" s="39">
        <v>0.82289935325317887</v>
      </c>
      <c r="AI15" s="39">
        <v>0.39876915188544221</v>
      </c>
      <c r="AL15" s="68">
        <v>0.10650761529449357</v>
      </c>
      <c r="AM15" s="68">
        <v>0.51736074129300247</v>
      </c>
    </row>
    <row r="16" spans="1:39" x14ac:dyDescent="0.25">
      <c r="A16" s="26">
        <f t="shared" si="5"/>
        <v>1859</v>
      </c>
      <c r="F16" s="39">
        <v>7.1777148391402363</v>
      </c>
      <c r="K16" s="39">
        <v>1.6933077923546711</v>
      </c>
      <c r="P16" s="47">
        <v>1.8322091501826492E-2</v>
      </c>
      <c r="U16" s="39">
        <v>1.3149554854559226E-2</v>
      </c>
      <c r="X16" s="39"/>
      <c r="AE16" s="39">
        <v>0.71619959057829696</v>
      </c>
      <c r="AI16" s="39">
        <v>0.28168475420454925</v>
      </c>
      <c r="AL16" s="68">
        <v>0.10442773600668337</v>
      </c>
      <c r="AM16" s="68">
        <v>0.51056808688387634</v>
      </c>
    </row>
    <row r="17" spans="1:39" x14ac:dyDescent="0.25">
      <c r="A17" s="26">
        <f t="shared" si="5"/>
        <v>1860</v>
      </c>
      <c r="F17" s="39">
        <v>7.1338693231154053</v>
      </c>
      <c r="K17" s="39">
        <v>1.7722845533965033</v>
      </c>
      <c r="P17" s="47">
        <v>1.7860034529098741E-2</v>
      </c>
      <c r="U17" s="39">
        <v>1.3266024788809869E-2</v>
      </c>
      <c r="X17" s="39"/>
      <c r="AE17" s="39">
        <v>0.69208149533380425</v>
      </c>
      <c r="AI17" s="39">
        <v>0.24526380941405967</v>
      </c>
      <c r="AL17" s="68">
        <v>0.10755001075500108</v>
      </c>
      <c r="AM17" s="68">
        <v>0.5215422671542268</v>
      </c>
    </row>
    <row r="18" spans="1:39" x14ac:dyDescent="0.25">
      <c r="A18" s="26">
        <f t="shared" si="5"/>
        <v>1861</v>
      </c>
      <c r="F18" s="39">
        <v>7.0052740995907978</v>
      </c>
      <c r="K18" s="39">
        <v>1.8138364773876057</v>
      </c>
      <c r="P18" s="47">
        <v>1.7352363604623576E-2</v>
      </c>
      <c r="U18" s="39">
        <v>1.3549575694086113E-2</v>
      </c>
      <c r="X18" s="39"/>
      <c r="AE18" s="39">
        <v>0.6465959849671552</v>
      </c>
      <c r="AI18" s="39">
        <v>0.19455101046532183</v>
      </c>
      <c r="AL18" s="68">
        <v>0.10650761529449357</v>
      </c>
      <c r="AM18" s="68">
        <v>0.51648737884758766</v>
      </c>
    </row>
    <row r="19" spans="1:39" x14ac:dyDescent="0.25">
      <c r="A19" s="26">
        <f t="shared" si="5"/>
        <v>1862</v>
      </c>
      <c r="F19" s="39">
        <v>6.6250676396054669</v>
      </c>
      <c r="K19" s="39">
        <v>1.7192662796035554</v>
      </c>
      <c r="P19" s="47">
        <v>1.9146655799434888E-2</v>
      </c>
      <c r="U19" s="39">
        <v>1.5999914078020924E-2</v>
      </c>
      <c r="X19" s="39"/>
      <c r="AE19" s="39">
        <v>0.79966852652662834</v>
      </c>
      <c r="AI19" s="39">
        <v>0.16885904796037302</v>
      </c>
      <c r="AL19" s="68">
        <v>0.1096371011950444</v>
      </c>
      <c r="AM19" s="68">
        <v>0.5316631948251288</v>
      </c>
    </row>
    <row r="20" spans="1:39" x14ac:dyDescent="0.25">
      <c r="A20" s="26">
        <f t="shared" si="5"/>
        <v>1863</v>
      </c>
      <c r="F20" s="39">
        <v>8.0614280123281645</v>
      </c>
      <c r="K20" s="39">
        <v>1.6930806435677195</v>
      </c>
      <c r="P20" s="47">
        <v>2.4160100433152809E-2</v>
      </c>
      <c r="U20" s="39">
        <v>2.1867320719301409E-2</v>
      </c>
      <c r="X20" s="39"/>
      <c r="AE20" s="39">
        <v>0.83161305424301546</v>
      </c>
      <c r="AI20" s="39">
        <v>0.20096644764673316</v>
      </c>
      <c r="AL20" s="68">
        <v>0.11354604292040422</v>
      </c>
      <c r="AM20" s="68">
        <v>0.5506188259339162</v>
      </c>
    </row>
    <row r="21" spans="1:39" x14ac:dyDescent="0.25">
      <c r="A21" s="26">
        <f t="shared" si="5"/>
        <v>1864</v>
      </c>
      <c r="F21" s="39">
        <v>8.4128473873335068</v>
      </c>
      <c r="K21" s="39">
        <v>1.8825543061204355</v>
      </c>
      <c r="P21" s="47">
        <v>2.7215505836111428E-2</v>
      </c>
      <c r="U21" s="39">
        <v>2.519223751860673E-2</v>
      </c>
      <c r="X21" s="39"/>
      <c r="AE21" s="39">
        <v>0.74671976186650135</v>
      </c>
      <c r="AI21" s="39">
        <v>0.20485789387268524</v>
      </c>
      <c r="AL21" s="68">
        <v>0.11145786892554616</v>
      </c>
      <c r="AM21" s="68">
        <v>0.54049264378065098</v>
      </c>
    </row>
    <row r="22" spans="1:39" x14ac:dyDescent="0.25">
      <c r="A22" s="26">
        <f t="shared" si="5"/>
        <v>1865</v>
      </c>
      <c r="F22" s="39">
        <v>12.126308472358522</v>
      </c>
      <c r="K22" s="39">
        <v>1.861953094165719</v>
      </c>
      <c r="P22" s="47">
        <v>2.5820040681151828E-2</v>
      </c>
      <c r="U22" s="39">
        <v>2.3172805013600327E-2</v>
      </c>
      <c r="X22" s="39"/>
      <c r="AE22" s="39">
        <v>0.98535535449084966</v>
      </c>
      <c r="AI22" s="39">
        <v>0.15245631949171773</v>
      </c>
      <c r="AL22" s="68">
        <v>0.10416666666666667</v>
      </c>
      <c r="AM22" s="68">
        <v>0.50513541666666673</v>
      </c>
    </row>
    <row r="23" spans="1:39" x14ac:dyDescent="0.25">
      <c r="A23" s="26">
        <f t="shared" si="5"/>
        <v>1866</v>
      </c>
      <c r="F23" s="39">
        <v>10.911482251877466</v>
      </c>
      <c r="K23" s="39">
        <v>1.7819688679014665</v>
      </c>
      <c r="P23" s="47">
        <v>2.6286838641697424E-2</v>
      </c>
      <c r="U23" s="39">
        <v>2.2972041833589505E-2</v>
      </c>
      <c r="X23" s="39"/>
      <c r="AE23" s="39">
        <v>0.94641780123065855</v>
      </c>
      <c r="AI23" s="39">
        <v>0.20290682250460892</v>
      </c>
      <c r="AL23" s="68">
        <v>0.10104071940992219</v>
      </c>
      <c r="AM23" s="68">
        <v>0.48997676063453571</v>
      </c>
    </row>
    <row r="24" spans="1:39" x14ac:dyDescent="0.25">
      <c r="A24" s="26">
        <f t="shared" si="5"/>
        <v>1867</v>
      </c>
      <c r="F24" s="39">
        <v>12.466249481524228</v>
      </c>
      <c r="K24" s="39">
        <v>1.7599347716616633</v>
      </c>
      <c r="P24" s="47">
        <v>2.2214085376279509E-2</v>
      </c>
      <c r="U24" s="39">
        <v>1.8482309106930397E-2</v>
      </c>
      <c r="X24" s="39"/>
      <c r="AE24" s="39">
        <v>0.83119149691896599</v>
      </c>
      <c r="AI24" s="39">
        <v>0.13842549055448097</v>
      </c>
      <c r="AL24" s="68">
        <v>9.3492894540014956E-2</v>
      </c>
      <c r="AM24" s="68">
        <v>0.45337509349289457</v>
      </c>
    </row>
    <row r="25" spans="1:39" x14ac:dyDescent="0.25">
      <c r="A25" s="26">
        <f t="shared" si="5"/>
        <v>1868</v>
      </c>
      <c r="F25" s="39">
        <v>11.398356518403359</v>
      </c>
      <c r="K25" s="39">
        <v>1.6796041193287228</v>
      </c>
      <c r="P25" s="47">
        <v>2.029179372096062E-2</v>
      </c>
      <c r="U25" s="39">
        <v>1.6273383959035659E-2</v>
      </c>
      <c r="X25" s="39"/>
      <c r="AE25" s="39">
        <v>0.67751409184510769</v>
      </c>
      <c r="AI25" s="39">
        <v>0.14826892772200778</v>
      </c>
      <c r="AL25" s="68">
        <v>7.0831562544269727E-2</v>
      </c>
      <c r="AM25" s="68">
        <v>0.34348349624592722</v>
      </c>
    </row>
    <row r="26" spans="1:39" x14ac:dyDescent="0.25">
      <c r="A26" s="26">
        <f t="shared" si="5"/>
        <v>1869</v>
      </c>
      <c r="F26" s="39">
        <v>8.9806968401651499</v>
      </c>
      <c r="K26" s="39">
        <v>1.7129216834750569</v>
      </c>
      <c r="P26" s="47">
        <v>2.0614451542384109E-2</v>
      </c>
      <c r="U26" s="39">
        <v>1.653562972353197E-2</v>
      </c>
      <c r="X26" s="39"/>
      <c r="AE26" s="39">
        <v>0.83877562251600024</v>
      </c>
      <c r="AI26" s="39">
        <v>0.17209147924125856</v>
      </c>
      <c r="AL26" s="68">
        <v>7.8388335815630636E-2</v>
      </c>
      <c r="AM26" s="68">
        <v>0.38012855687073765</v>
      </c>
    </row>
    <row r="27" spans="1:39" x14ac:dyDescent="0.25">
      <c r="A27" s="26">
        <f t="shared" si="5"/>
        <v>1870</v>
      </c>
      <c r="B27" s="26">
        <v>28141428</v>
      </c>
      <c r="C27" s="26">
        <v>2259815.8199999998</v>
      </c>
      <c r="D27" s="39">
        <f>C27/B27</f>
        <v>8.030210194024269E-2</v>
      </c>
      <c r="E27" s="26">
        <f>(D27*AM27)*88.9</f>
        <v>3.1824286250469758</v>
      </c>
      <c r="F27" s="39">
        <v>7.0097443762509402</v>
      </c>
      <c r="G27" s="26">
        <v>163862</v>
      </c>
      <c r="H27" s="26">
        <v>3321465.08</v>
      </c>
      <c r="I27" s="39">
        <f>H27/G27</f>
        <v>20.269892226385618</v>
      </c>
      <c r="J27" s="39">
        <f t="shared" ref="J27:J29" si="6">I27*AL27</f>
        <v>1.863384098766834</v>
      </c>
      <c r="K27" s="39">
        <v>1.7225910807062628</v>
      </c>
      <c r="L27" s="26">
        <v>1506560</v>
      </c>
      <c r="M27" s="26">
        <v>6672254.2400000002</v>
      </c>
      <c r="N27" s="26">
        <f>M27/L27</f>
        <v>4.4288008708581144</v>
      </c>
      <c r="O27" s="26">
        <f t="shared" ref="O27:O29" si="7">(N27*AL27)/22.6</f>
        <v>1.8014767448378047E-2</v>
      </c>
      <c r="P27" s="47">
        <v>2.0552680047399158E-2</v>
      </c>
      <c r="Q27" s="26">
        <v>679428</v>
      </c>
      <c r="R27" s="26">
        <v>1375944.64</v>
      </c>
      <c r="S27" s="39">
        <f>R27/Q27</f>
        <v>2.0251515097994193</v>
      </c>
      <c r="T27" s="39">
        <f t="shared" ref="T27:T28" si="8">(S27*AL27)/22.6</f>
        <v>8.2375872297232988E-3</v>
      </c>
      <c r="U27" s="39">
        <v>1.6124988079632536E-2</v>
      </c>
      <c r="V27" s="26">
        <v>3417875</v>
      </c>
      <c r="W27" s="26">
        <v>4444926.8</v>
      </c>
      <c r="X27" s="39">
        <f>W27/V27</f>
        <v>1.3004942544709797</v>
      </c>
      <c r="Y27" s="26">
        <f t="shared" ref="Y27:Y29" si="9">(X27*AL27)/22.6</f>
        <v>5.2899424122690589E-3</v>
      </c>
      <c r="AA27" s="26">
        <v>3631532</v>
      </c>
      <c r="AB27" s="26">
        <v>373774.9</v>
      </c>
      <c r="AC27" s="26">
        <f>AB27/AA27</f>
        <v>0.10292485375318186</v>
      </c>
      <c r="AD27" s="26">
        <f t="shared" ref="AD27:AD29" si="10">(AC27*AL27)*50.8023</f>
        <v>0.48067836898559219</v>
      </c>
      <c r="AE27" s="39">
        <v>1.2983153110028536</v>
      </c>
      <c r="AF27" s="26">
        <v>23887662</v>
      </c>
      <c r="AG27" s="26">
        <v>4777532.4000000004</v>
      </c>
      <c r="AH27" s="26">
        <f>AG27/AF27</f>
        <v>0.2</v>
      </c>
      <c r="AI27" s="39">
        <v>0.18382603717622684</v>
      </c>
      <c r="AL27" s="68">
        <v>9.1928663357234791E-2</v>
      </c>
      <c r="AM27" s="68">
        <v>0.44578966721823871</v>
      </c>
    </row>
    <row r="28" spans="1:39" x14ac:dyDescent="0.25">
      <c r="A28" s="26">
        <v>1871</v>
      </c>
      <c r="B28" s="26">
        <v>31134177</v>
      </c>
      <c r="C28" s="26">
        <v>2501446.12</v>
      </c>
      <c r="D28" s="39">
        <f>C28/B28</f>
        <v>8.0344057914233616E-2</v>
      </c>
      <c r="E28" s="26">
        <f>(D28*AM28)*88.9</f>
        <v>3.4681632041520514</v>
      </c>
      <c r="F28" s="39">
        <v>7.6744770921252741</v>
      </c>
      <c r="G28" s="26">
        <v>314571</v>
      </c>
      <c r="H28" s="26">
        <v>5669042.0700000003</v>
      </c>
      <c r="I28" s="39">
        <f>H28/G28</f>
        <v>18.021502522483001</v>
      </c>
      <c r="J28" s="39">
        <f t="shared" si="6"/>
        <v>1.8044960971746271</v>
      </c>
      <c r="K28" s="39">
        <v>1.7749017554366548</v>
      </c>
      <c r="L28" s="26">
        <v>3182616</v>
      </c>
      <c r="M28" s="26">
        <v>15822056.16</v>
      </c>
      <c r="N28" s="26">
        <f>M28/L28</f>
        <v>4.9713996787548353</v>
      </c>
      <c r="O28" s="26">
        <f t="shared" si="7"/>
        <v>2.2025977482031219E-2</v>
      </c>
      <c r="P28" s="47">
        <v>2.0402362664853943E-2</v>
      </c>
      <c r="Q28" s="26">
        <v>2286836</v>
      </c>
      <c r="R28" s="26">
        <v>5611001.5099999998</v>
      </c>
      <c r="S28" s="39">
        <f>R28/Q28</f>
        <v>2.4536090519827392</v>
      </c>
      <c r="T28" s="39">
        <f t="shared" si="8"/>
        <v>1.0870809273217744E-2</v>
      </c>
      <c r="U28" s="39">
        <v>1.5676067177211386E-2</v>
      </c>
      <c r="V28" s="26">
        <v>6390962</v>
      </c>
      <c r="W28" s="26">
        <v>9193867.6699999999</v>
      </c>
      <c r="X28" s="39">
        <f>W28/V28</f>
        <v>1.4385733587525633</v>
      </c>
      <c r="Y28" s="26">
        <f t="shared" si="9"/>
        <v>6.373654595011405E-3</v>
      </c>
      <c r="AA28" s="26">
        <v>14870626</v>
      </c>
      <c r="AB28" s="26">
        <v>1865128.57</v>
      </c>
      <c r="AC28" s="26">
        <f>AB28/AA28</f>
        <v>0.12542367550633041</v>
      </c>
      <c r="AD28" s="26">
        <f t="shared" si="10"/>
        <v>0.63801053271004804</v>
      </c>
      <c r="AE28" s="39">
        <v>1.1191081750446763</v>
      </c>
      <c r="AF28" s="26">
        <v>33917647</v>
      </c>
      <c r="AG28" s="26">
        <v>6783646.5</v>
      </c>
      <c r="AH28" s="26">
        <f>AG28/AF28</f>
        <v>0.20000345248006149</v>
      </c>
      <c r="AI28" s="39">
        <v>0.23830980274356664</v>
      </c>
      <c r="AL28" s="68">
        <v>0.10013016921998598</v>
      </c>
      <c r="AM28" s="68">
        <v>0.48556122959847803</v>
      </c>
    </row>
    <row r="29" spans="1:39" x14ac:dyDescent="0.25">
      <c r="A29" s="26">
        <v>1872</v>
      </c>
      <c r="B29" s="26">
        <v>30353309</v>
      </c>
      <c r="C29" s="26">
        <f>2471597</f>
        <v>2471597</v>
      </c>
      <c r="D29" s="39">
        <f>C29/B29</f>
        <v>8.1427596576043815E-2</v>
      </c>
      <c r="E29" s="26">
        <f>(D29*AM29)*88.9</f>
        <v>3.6566315039973967</v>
      </c>
      <c r="F29" s="39">
        <v>8.2838892144755842</v>
      </c>
      <c r="G29" s="26">
        <v>255598</v>
      </c>
      <c r="H29" s="26">
        <v>4402610</v>
      </c>
      <c r="I29" s="39">
        <f>H29/G29</f>
        <v>17.224743542594229</v>
      </c>
      <c r="J29" s="39">
        <f t="shared" si="6"/>
        <v>1.7942441190202323</v>
      </c>
      <c r="K29" s="39">
        <v>2.2654986576632918</v>
      </c>
      <c r="L29" s="26">
        <f>6330860</f>
        <v>6330860</v>
      </c>
      <c r="M29" s="26">
        <f>19897432</f>
        <v>19897432</v>
      </c>
      <c r="N29" s="26">
        <f>M29/L29</f>
        <v>3.1429271852481335</v>
      </c>
      <c r="O29" s="26">
        <f t="shared" si="7"/>
        <v>1.4486205684218904E-2</v>
      </c>
      <c r="P29" s="47">
        <v>2.1530130161855902E-2</v>
      </c>
      <c r="Q29" s="26" t="s">
        <v>141</v>
      </c>
      <c r="U29" s="39">
        <v>1.638697824044064E-2</v>
      </c>
      <c r="V29" s="26">
        <f>6280111</f>
        <v>6280111</v>
      </c>
      <c r="W29" s="26">
        <f>9336325</f>
        <v>9336325</v>
      </c>
      <c r="X29" s="39">
        <f>W29/V29</f>
        <v>1.4866496786442152</v>
      </c>
      <c r="Y29" s="26">
        <f t="shared" si="9"/>
        <v>6.8521832533380124E-3</v>
      </c>
      <c r="AA29" s="26">
        <f>1201344</f>
        <v>1201344</v>
      </c>
      <c r="AB29" s="26">
        <f>120981</f>
        <v>120981</v>
      </c>
      <c r="AC29" s="26">
        <f>AB29/AA29</f>
        <v>0.10070471072398914</v>
      </c>
      <c r="AD29" s="26">
        <f t="shared" si="10"/>
        <v>0.53291988808472013</v>
      </c>
      <c r="AE29" s="39">
        <v>1.1377626273659114</v>
      </c>
      <c r="AF29" s="26">
        <f>23184596</f>
        <v>23184596</v>
      </c>
      <c r="AG29" s="26">
        <v>4648845</v>
      </c>
      <c r="AH29" s="26">
        <f>AG29/AF29</f>
        <v>0.20051438463710991</v>
      </c>
      <c r="AI29" s="39">
        <v>0.24062500000000001</v>
      </c>
      <c r="AL29" s="68">
        <v>0.10416666666666667</v>
      </c>
      <c r="AM29" s="68">
        <v>0.50513541666666673</v>
      </c>
    </row>
    <row r="30" spans="1:39" x14ac:dyDescent="0.25">
      <c r="A30" s="26">
        <f>A29+1</f>
        <v>1873</v>
      </c>
      <c r="F30" s="39">
        <v>9.4681363912217851</v>
      </c>
      <c r="K30" s="39">
        <v>2.7999590742977118</v>
      </c>
      <c r="P30" s="47">
        <v>2.1027370956471565E-2</v>
      </c>
      <c r="S30" s="39"/>
      <c r="T30" s="39"/>
      <c r="U30" s="39">
        <v>1.6308045912058439E-2</v>
      </c>
      <c r="X30" s="39"/>
      <c r="AE30" s="39">
        <v>1.3808008341945857</v>
      </c>
      <c r="AI30" s="39">
        <v>0.24026962383126765</v>
      </c>
      <c r="AL30" s="68">
        <v>0.10871928680147858</v>
      </c>
      <c r="AM30" s="68">
        <v>0.52721243748641011</v>
      </c>
    </row>
    <row r="31" spans="1:39" x14ac:dyDescent="0.25">
      <c r="A31" s="26">
        <f t="shared" ref="A31:A70" si="11">A30+1</f>
        <v>1874</v>
      </c>
      <c r="F31" s="39">
        <v>8.6136749852741641</v>
      </c>
      <c r="K31" s="39">
        <v>2.3865248405054404</v>
      </c>
      <c r="P31" s="47">
        <v>2.1092718205834339E-2</v>
      </c>
      <c r="S31" s="39"/>
      <c r="T31" s="39"/>
      <c r="U31" s="39">
        <v>1.5017759987363922E-2</v>
      </c>
      <c r="X31" s="39"/>
      <c r="AE31" s="39">
        <v>1.2279026174271803</v>
      </c>
      <c r="AI31" s="39">
        <v>0.26855731012998174</v>
      </c>
      <c r="AL31" s="68">
        <v>0.1074229240519927</v>
      </c>
      <c r="AM31" s="68">
        <v>0.52092598560532821</v>
      </c>
    </row>
    <row r="32" spans="1:39" x14ac:dyDescent="0.25">
      <c r="A32" s="26">
        <f t="shared" si="11"/>
        <v>1875</v>
      </c>
      <c r="F32" s="39">
        <v>6.9871630723269185</v>
      </c>
      <c r="K32" s="39">
        <v>1.9628831307603003</v>
      </c>
      <c r="P32" s="47">
        <v>2.0323284181638396E-2</v>
      </c>
      <c r="S32" s="39"/>
      <c r="T32" s="39"/>
      <c r="U32" s="39">
        <v>1.4034984688329305E-2</v>
      </c>
      <c r="X32" s="39"/>
      <c r="AE32" s="39">
        <v>1.2388024523888792</v>
      </c>
      <c r="AI32" s="39">
        <v>0.34875808097992511</v>
      </c>
      <c r="AL32" s="68">
        <v>0.11341726210729272</v>
      </c>
      <c r="AM32" s="68">
        <v>0.54999432913689472</v>
      </c>
    </row>
    <row r="33" spans="1:39" x14ac:dyDescent="0.25">
      <c r="A33" s="26">
        <f t="shared" si="11"/>
        <v>1876</v>
      </c>
      <c r="F33" s="39">
        <v>7.2199429296131896</v>
      </c>
      <c r="K33" s="39">
        <v>1.7785780238515458</v>
      </c>
      <c r="P33" s="47">
        <v>1.885276221007821E-2</v>
      </c>
      <c r="S33" s="39"/>
      <c r="T33" s="39"/>
      <c r="U33" s="39">
        <v>1.3171834558042944E-2</v>
      </c>
      <c r="X33" s="39"/>
      <c r="AE33" s="39">
        <v>1.072912867828663</v>
      </c>
      <c r="AI33" s="39">
        <v>0.30623020063357975</v>
      </c>
      <c r="AL33" s="68">
        <v>0.10559662090813093</v>
      </c>
      <c r="AM33" s="68">
        <v>0.51206969376979938</v>
      </c>
    </row>
    <row r="34" spans="1:39" x14ac:dyDescent="0.25">
      <c r="A34" s="26">
        <f t="shared" si="11"/>
        <v>1877</v>
      </c>
      <c r="F34" s="39">
        <v>7.8410149955724595</v>
      </c>
      <c r="K34" s="39">
        <v>1.7520610653636171</v>
      </c>
      <c r="P34" s="47">
        <v>1.8138145985118339E-2</v>
      </c>
      <c r="S34" s="39"/>
      <c r="T34" s="39"/>
      <c r="U34" s="39">
        <v>1.2528087201286276E-2</v>
      </c>
      <c r="X34" s="39"/>
      <c r="AE34" s="39">
        <v>1.1958405063031474</v>
      </c>
      <c r="AI34" s="39">
        <v>0.28656227612322177</v>
      </c>
      <c r="AL34" s="68">
        <v>0.10234367004400777</v>
      </c>
      <c r="AM34" s="68">
        <v>0.49629515914440697</v>
      </c>
    </row>
    <row r="35" spans="1:39" x14ac:dyDescent="0.25">
      <c r="A35" s="26">
        <f t="shared" si="11"/>
        <v>1878</v>
      </c>
      <c r="B35" s="26">
        <v>37856424</v>
      </c>
      <c r="C35" s="26">
        <v>3028513.02</v>
      </c>
      <c r="D35" s="39">
        <f>C35/B35</f>
        <v>7.9999976225963651E-2</v>
      </c>
      <c r="E35" s="26">
        <f t="shared" ref="E35:E39" si="12">(D35*AM35)*88.9</f>
        <v>3.2962067620134841</v>
      </c>
      <c r="F35" s="39">
        <v>7.1997656346367336</v>
      </c>
      <c r="G35" s="26">
        <v>157016</v>
      </c>
      <c r="H35" s="26">
        <v>3116510</v>
      </c>
      <c r="I35" s="69">
        <f>H35/G35</f>
        <v>19.848359402863402</v>
      </c>
      <c r="J35" s="39">
        <f t="shared" ref="J35:J39" si="13">I35*AL35</f>
        <v>1.8970046260980029</v>
      </c>
      <c r="K35" s="39">
        <v>1.6820053782222433</v>
      </c>
      <c r="L35" s="26">
        <v>1444355</v>
      </c>
      <c r="M35" s="26">
        <v>5790400.7999999998</v>
      </c>
      <c r="N35" s="39">
        <f>M35/L35</f>
        <v>4.0089872642113606</v>
      </c>
      <c r="O35" s="26">
        <f t="shared" ref="O35:O39" si="14">(N35*AL35)/22.6</f>
        <v>1.6953915416276659E-2</v>
      </c>
      <c r="P35" s="47">
        <v>1.6844505788064963E-2</v>
      </c>
      <c r="Q35" s="26">
        <v>630998</v>
      </c>
      <c r="R35" s="26">
        <v>1373605.67</v>
      </c>
      <c r="S35" s="39">
        <f>R35/Q35</f>
        <v>2.1768780091220572</v>
      </c>
      <c r="T35" s="39">
        <f t="shared" ref="T35:T39" si="15">(S35*AL35)/22.6</f>
        <v>9.2059672944529245E-3</v>
      </c>
      <c r="U35" s="39">
        <v>1.1932016463177857E-2</v>
      </c>
      <c r="V35" s="26">
        <v>3767071</v>
      </c>
      <c r="W35" s="26">
        <v>5338383.87</v>
      </c>
      <c r="X35" s="39">
        <f>W35/V35</f>
        <v>1.4171179332696411</v>
      </c>
      <c r="Y35" s="26">
        <f t="shared" ref="Y35:Y39" si="16">(X35*AL35)/22.6</f>
        <v>5.9929593166888166E-3</v>
      </c>
      <c r="AA35" s="26">
        <v>5465704</v>
      </c>
      <c r="AB35" s="26">
        <v>555746</v>
      </c>
      <c r="AC35" s="39">
        <f>AB35/AA35</f>
        <v>0.10167875904000656</v>
      </c>
      <c r="AD35" s="26">
        <f t="shared" ref="AD35:AD39" si="17">(AC35*AL35)*50.8023</f>
        <v>0.49369347418313353</v>
      </c>
      <c r="AE35" s="39">
        <v>0.97108715075384122</v>
      </c>
      <c r="AF35" s="26">
        <v>28456975</v>
      </c>
      <c r="AG35" s="26">
        <v>5691395</v>
      </c>
      <c r="AH35" s="39">
        <f>AG35/AF35</f>
        <v>0.2</v>
      </c>
      <c r="AI35" s="39">
        <v>0.25805218388607476</v>
      </c>
      <c r="AL35" s="68">
        <v>9.5574882920768434E-2</v>
      </c>
      <c r="AM35" s="68">
        <v>0.46347127974768237</v>
      </c>
    </row>
    <row r="36" spans="1:39" x14ac:dyDescent="0.25">
      <c r="A36" s="26">
        <f t="shared" si="11"/>
        <v>1879</v>
      </c>
      <c r="B36" s="26">
        <v>33702361</v>
      </c>
      <c r="C36" s="26">
        <v>2895598.5</v>
      </c>
      <c r="D36" s="39">
        <f>C36/B36</f>
        <v>8.5916784880442063E-2</v>
      </c>
      <c r="E36" s="26">
        <f t="shared" si="12"/>
        <v>3.301660452492996</v>
      </c>
      <c r="F36" s="39">
        <v>5.8809315046342441</v>
      </c>
      <c r="G36" s="26">
        <v>136444</v>
      </c>
      <c r="H36" s="26">
        <v>2732810</v>
      </c>
      <c r="I36" s="69">
        <f>H36/G36</f>
        <v>20.02880302541702</v>
      </c>
      <c r="J36" s="39">
        <f t="shared" si="13"/>
        <v>1.7838264183663179</v>
      </c>
      <c r="K36" s="39">
        <v>1.6441970886117172</v>
      </c>
      <c r="L36" s="26">
        <f>652087+570266</f>
        <v>1222353</v>
      </c>
      <c r="M36" s="26">
        <f>3163389.17+1710808</f>
        <v>4874197.17</v>
      </c>
      <c r="N36" s="39">
        <f>M36/L36</f>
        <v>3.9875528345739735</v>
      </c>
      <c r="O36" s="26">
        <f t="shared" si="14"/>
        <v>1.5714320529956607E-2</v>
      </c>
      <c r="P36" s="47">
        <v>1.5722779701488374E-2</v>
      </c>
      <c r="Q36" s="26">
        <v>1334131</v>
      </c>
      <c r="R36" s="26">
        <v>2339874.4300000002</v>
      </c>
      <c r="S36" s="39">
        <f>R36/Q36</f>
        <v>1.7538565778023298</v>
      </c>
      <c r="T36" s="39">
        <f t="shared" si="15"/>
        <v>6.9116737935594388E-3</v>
      </c>
      <c r="U36" s="39">
        <v>1.093388783728937E-2</v>
      </c>
      <c r="V36" s="26">
        <f>2333371+556076.3</f>
        <v>2889447.3</v>
      </c>
      <c r="W36" s="26">
        <f>4775852.77+556076.3</f>
        <v>5331929.0699999994</v>
      </c>
      <c r="X36" s="39">
        <f>W36/V36</f>
        <v>1.8453110634687817</v>
      </c>
      <c r="Y36" s="26">
        <f t="shared" si="16"/>
        <v>7.2720815828191121E-3</v>
      </c>
      <c r="AA36" s="26">
        <v>4398382</v>
      </c>
      <c r="AB36" s="26">
        <v>602907.80000000005</v>
      </c>
      <c r="AC36" s="39">
        <f>AB36/AA36</f>
        <v>0.13707490618140944</v>
      </c>
      <c r="AD36" s="26">
        <f t="shared" si="17"/>
        <v>0.62021023390628938</v>
      </c>
      <c r="AE36" s="39">
        <v>0.95017003039315207</v>
      </c>
      <c r="AF36" s="26">
        <v>25338860</v>
      </c>
      <c r="AG36" s="26">
        <v>5067772</v>
      </c>
      <c r="AH36" s="39">
        <f>AG36/AF36</f>
        <v>0.2</v>
      </c>
      <c r="AI36" s="39">
        <v>0.36961168507303166</v>
      </c>
      <c r="AL36" s="68">
        <v>8.9063056644104022E-2</v>
      </c>
      <c r="AM36" s="68">
        <v>0.43226754542215901</v>
      </c>
    </row>
    <row r="37" spans="1:39" x14ac:dyDescent="0.25">
      <c r="A37" s="26">
        <f t="shared" si="11"/>
        <v>1880</v>
      </c>
      <c r="B37" s="26">
        <v>35962294</v>
      </c>
      <c r="C37" s="26">
        <v>3566526</v>
      </c>
      <c r="D37" s="39">
        <f>C37/B37</f>
        <v>9.917404045470514E-2</v>
      </c>
      <c r="E37" s="26">
        <f t="shared" si="12"/>
        <v>3.9322301607045311</v>
      </c>
      <c r="F37" s="39">
        <v>6.9344002944708638</v>
      </c>
      <c r="G37" s="26">
        <v>178124</v>
      </c>
      <c r="H37" s="26">
        <v>3633897.02</v>
      </c>
      <c r="I37" s="69">
        <f>H37/G37</f>
        <v>20.400939907031056</v>
      </c>
      <c r="J37" s="39">
        <f t="shared" si="13"/>
        <v>1.8781936942580606</v>
      </c>
      <c r="K37" s="39">
        <v>1.6897527858447263</v>
      </c>
      <c r="L37" s="26">
        <v>1380444</v>
      </c>
      <c r="M37" s="26">
        <v>4168332</v>
      </c>
      <c r="N37" s="39">
        <f>M37/L37</f>
        <v>3.019558924519937</v>
      </c>
      <c r="O37" s="26">
        <f t="shared" si="14"/>
        <v>1.2300570978632729E-2</v>
      </c>
      <c r="P37" s="47">
        <v>1.6447376867780635E-2</v>
      </c>
      <c r="Q37" s="26">
        <v>794529</v>
      </c>
      <c r="R37" s="70">
        <v>1589791.33</v>
      </c>
      <c r="S37" s="39">
        <f>R37/Q37</f>
        <v>2.000922974491806</v>
      </c>
      <c r="T37" s="39">
        <f t="shared" si="15"/>
        <v>8.1510232738466557E-3</v>
      </c>
      <c r="U37" s="39">
        <v>1.1869071745188281E-2</v>
      </c>
      <c r="V37" s="26">
        <f>1096681+2109000</f>
        <v>3205681</v>
      </c>
      <c r="W37" s="26">
        <f>2460863+2023971.75</f>
        <v>4484834.75</v>
      </c>
      <c r="X37" s="39">
        <f>W37/V37</f>
        <v>1.3990271489895594</v>
      </c>
      <c r="Y37" s="26">
        <f t="shared" si="16"/>
        <v>5.6991213542607715E-3</v>
      </c>
      <c r="AA37" s="26">
        <v>4434425</v>
      </c>
      <c r="AB37" s="26">
        <v>887995</v>
      </c>
      <c r="AC37" s="39">
        <f>AB37/AA37</f>
        <v>0.20025031430230525</v>
      </c>
      <c r="AD37" s="26">
        <f t="shared" si="17"/>
        <v>0.93658410442644091</v>
      </c>
      <c r="AE37" s="39">
        <v>0.84187409063742369</v>
      </c>
      <c r="AF37" s="26">
        <v>23009956</v>
      </c>
      <c r="AG37" s="26">
        <v>4601993.2</v>
      </c>
      <c r="AH37" s="39">
        <f>AG37/AF37</f>
        <v>0.2000000869188972</v>
      </c>
      <c r="AI37" s="39">
        <v>0.34063708341005339</v>
      </c>
      <c r="AL37" s="68">
        <v>9.2064076597311723E-2</v>
      </c>
      <c r="AM37" s="68">
        <v>0.44600441907567673</v>
      </c>
    </row>
    <row r="38" spans="1:39" x14ac:dyDescent="0.25">
      <c r="A38" s="26">
        <f t="shared" si="11"/>
        <v>1881</v>
      </c>
      <c r="B38" s="26">
        <v>38217008</v>
      </c>
      <c r="C38" s="26">
        <v>3821700.8</v>
      </c>
      <c r="D38" s="39">
        <f>C38/B38</f>
        <v>9.9999999999999992E-2</v>
      </c>
      <c r="E38" s="26">
        <f t="shared" si="12"/>
        <v>3.9187892479006945</v>
      </c>
      <c r="F38" s="39">
        <v>6.4820525835839353</v>
      </c>
      <c r="G38" s="26">
        <v>195057.5</v>
      </c>
      <c r="H38" s="26">
        <v>3984019.7</v>
      </c>
      <c r="I38" s="69">
        <f>H38/G38</f>
        <v>20.424847544954694</v>
      </c>
      <c r="J38" s="39">
        <f t="shared" si="13"/>
        <v>1.864261367739567</v>
      </c>
      <c r="K38" s="39">
        <v>1.6353126705432921</v>
      </c>
      <c r="L38" s="26">
        <f>1254097+266780</f>
        <v>1520877</v>
      </c>
      <c r="M38" s="26">
        <f>3764091+1080480.33</f>
        <v>4844571.33</v>
      </c>
      <c r="N38" s="39">
        <f>M38/L38</f>
        <v>3.1853800997713821</v>
      </c>
      <c r="O38" s="26">
        <f t="shared" si="14"/>
        <v>1.28647336723054E-2</v>
      </c>
      <c r="P38" s="47">
        <v>1.6188141858113153E-2</v>
      </c>
      <c r="Q38" s="26">
        <v>815817</v>
      </c>
      <c r="R38" s="26">
        <v>1629634</v>
      </c>
      <c r="S38" s="39">
        <f>R38/Q38</f>
        <v>1.9975484698161474</v>
      </c>
      <c r="T38" s="39">
        <f t="shared" si="15"/>
        <v>8.0674607917435928E-3</v>
      </c>
      <c r="U38" s="39">
        <v>1.1441239567891408E-2</v>
      </c>
      <c r="V38" s="26">
        <f>1341000+1641407</f>
        <v>2982407</v>
      </c>
      <c r="W38" s="26">
        <f>2644569+1646322</f>
        <v>4290891</v>
      </c>
      <c r="X38" s="39">
        <f>W38/V38</f>
        <v>1.438734217026717</v>
      </c>
      <c r="Y38" s="26">
        <f t="shared" si="16"/>
        <v>5.8105883591757094E-3</v>
      </c>
      <c r="AA38" s="26">
        <v>4307431</v>
      </c>
      <c r="AB38" s="26">
        <v>861486.2</v>
      </c>
      <c r="AC38" s="39">
        <f>AB38/AA38</f>
        <v>0.19999999999999998</v>
      </c>
      <c r="AD38" s="26">
        <f t="shared" si="17"/>
        <v>0.92738773274917863</v>
      </c>
      <c r="AE38" s="39">
        <v>0.97375950175742176</v>
      </c>
      <c r="AF38" s="26">
        <v>20922100</v>
      </c>
      <c r="AG38" s="26">
        <v>4184420</v>
      </c>
      <c r="AH38" s="39">
        <f>AG38/AF38</f>
        <v>0.2</v>
      </c>
      <c r="AI38" s="39">
        <v>0.33771449434100037</v>
      </c>
      <c r="AL38" s="68">
        <v>9.1274187659729833E-2</v>
      </c>
      <c r="AM38" s="68">
        <v>0.44080868930266531</v>
      </c>
    </row>
    <row r="39" spans="1:39" x14ac:dyDescent="0.25">
      <c r="A39" s="26">
        <f t="shared" si="11"/>
        <v>1882</v>
      </c>
      <c r="B39" s="26">
        <v>36180749</v>
      </c>
      <c r="C39" s="26">
        <v>3618074.9</v>
      </c>
      <c r="D39" s="39">
        <f>C39/B39</f>
        <v>9.9999999999999992E-2</v>
      </c>
      <c r="E39" s="26">
        <f t="shared" si="12"/>
        <v>3.8163365655853312</v>
      </c>
      <c r="F39" s="39">
        <v>7.345557013320235</v>
      </c>
      <c r="G39" s="26">
        <v>215574</v>
      </c>
      <c r="H39" s="26">
        <v>4311480</v>
      </c>
      <c r="I39" s="26">
        <f>H39/G39</f>
        <v>20</v>
      </c>
      <c r="J39" s="39">
        <f t="shared" si="13"/>
        <v>1.7630465444287728</v>
      </c>
      <c r="K39" s="39">
        <v>1.6504996854688494</v>
      </c>
      <c r="L39" s="26">
        <v>1367073</v>
      </c>
      <c r="M39" s="26">
        <v>5477248.5999999996</v>
      </c>
      <c r="N39" s="39">
        <f>M39/L39</f>
        <v>4.006551661835176</v>
      </c>
      <c r="O39" s="26">
        <f t="shared" si="14"/>
        <v>1.5627736863880231E-2</v>
      </c>
      <c r="P39" s="47">
        <v>1.5935618713703678E-2</v>
      </c>
      <c r="Q39" s="26">
        <v>876158</v>
      </c>
      <c r="R39" s="26">
        <v>1752316</v>
      </c>
      <c r="S39" s="39">
        <f>R39/Q39</f>
        <v>2</v>
      </c>
      <c r="T39" s="39">
        <f t="shared" si="15"/>
        <v>7.8010909045520922E-3</v>
      </c>
      <c r="U39" s="39">
        <v>1.1393924759271866E-2</v>
      </c>
      <c r="V39" s="26">
        <v>2630176</v>
      </c>
      <c r="W39" s="26">
        <v>4213133.33</v>
      </c>
      <c r="X39" s="39">
        <f>W39/V39</f>
        <v>1.6018446408149112</v>
      </c>
      <c r="Y39" s="26">
        <f t="shared" si="16"/>
        <v>6.248067828983358E-3</v>
      </c>
      <c r="AA39" s="26">
        <v>4366590</v>
      </c>
      <c r="AB39" s="26">
        <v>873318</v>
      </c>
      <c r="AC39" s="39">
        <f>AB39/AA39</f>
        <v>0.2</v>
      </c>
      <c r="AD39" s="26">
        <f t="shared" si="17"/>
        <v>0.89566819464033853</v>
      </c>
      <c r="AE39" s="39">
        <v>1.0076291842057139</v>
      </c>
      <c r="AF39" s="26">
        <v>22526300</v>
      </c>
      <c r="AG39" s="26">
        <v>4505260</v>
      </c>
      <c r="AH39" s="39">
        <f>AG39/AF39</f>
        <v>0.2</v>
      </c>
      <c r="AI39" s="39">
        <v>0.33057122708039488</v>
      </c>
      <c r="AL39" s="68">
        <v>8.8152327221438648E-2</v>
      </c>
      <c r="AM39" s="68">
        <v>0.42928420310296189</v>
      </c>
    </row>
    <row r="40" spans="1:39" x14ac:dyDescent="0.25">
      <c r="A40" s="26">
        <f t="shared" si="11"/>
        <v>1883</v>
      </c>
      <c r="D40" s="39"/>
      <c r="E40" s="39"/>
      <c r="F40" s="39">
        <v>6.1087091465039132</v>
      </c>
      <c r="K40" s="39">
        <v>1.7083282908183888</v>
      </c>
      <c r="N40" s="39"/>
      <c r="O40" s="39"/>
      <c r="P40" s="47">
        <v>1.509837713859395E-2</v>
      </c>
      <c r="S40" s="39"/>
      <c r="T40" s="39"/>
      <c r="U40" s="39">
        <v>1.0539160461068512E-2</v>
      </c>
      <c r="X40" s="39"/>
      <c r="AE40" s="39">
        <v>1.1411146516551482</v>
      </c>
      <c r="AI40" s="39">
        <v>0.36837376460017968</v>
      </c>
      <c r="AL40" s="68">
        <v>8.9847259658580411E-2</v>
      </c>
      <c r="AM40" s="68">
        <v>0.43566936208445645</v>
      </c>
    </row>
    <row r="41" spans="1:39" x14ac:dyDescent="0.25">
      <c r="A41" s="26">
        <f t="shared" si="11"/>
        <v>1884</v>
      </c>
      <c r="B41" s="26">
        <v>31671815</v>
      </c>
      <c r="C41" s="26">
        <v>3167181.5</v>
      </c>
      <c r="D41" s="39">
        <f>C41/B41</f>
        <v>0.1</v>
      </c>
      <c r="E41" s="26">
        <f t="shared" ref="E41:E45" si="18">(D41*AM41)*88.9</f>
        <v>3.7195312473062674</v>
      </c>
      <c r="F41" s="39">
        <v>5.924689183796418</v>
      </c>
      <c r="G41" s="26">
        <v>218878.5</v>
      </c>
      <c r="H41" s="26">
        <v>4377570</v>
      </c>
      <c r="I41" s="26">
        <f>H41/G41</f>
        <v>20</v>
      </c>
      <c r="J41" s="39">
        <f t="shared" ref="J41:J45" si="19">I41*AL41</f>
        <v>1.7239893112662701</v>
      </c>
      <c r="K41" s="39">
        <v>1.6268078448495433</v>
      </c>
      <c r="L41" s="26">
        <v>1388798</v>
      </c>
      <c r="M41" s="26">
        <v>5594019.7699999996</v>
      </c>
      <c r="N41" s="39">
        <f>M41/L41</f>
        <v>4.0279578239599996</v>
      </c>
      <c r="O41" s="26">
        <f t="shared" ref="O41:O45" si="20">(N41*AL41)/22.6</f>
        <v>1.5363177510483151E-2</v>
      </c>
      <c r="P41" s="47">
        <v>1.5049434870144759E-2</v>
      </c>
      <c r="Q41" s="26">
        <v>828226</v>
      </c>
      <c r="R41" s="26">
        <v>1656452</v>
      </c>
      <c r="S41" s="39">
        <f>R41/Q41</f>
        <v>2</v>
      </c>
      <c r="T41" s="39">
        <f t="shared" ref="T41:T45" si="21">(S41*AL41)/22.6</f>
        <v>7.6282712887888061E-3</v>
      </c>
      <c r="U41" s="39">
        <v>1.0409649278169489E-2</v>
      </c>
      <c r="V41" s="26">
        <v>2216975</v>
      </c>
      <c r="W41" s="26">
        <v>3244554.47</v>
      </c>
      <c r="X41" s="39">
        <f>W41/V41</f>
        <v>1.4635052131846322</v>
      </c>
      <c r="Y41" s="26">
        <f t="shared" ref="Y41:Y45" si="22">(X41*AL41)/22.6</f>
        <v>5.5820073993645353E-3</v>
      </c>
      <c r="AA41" s="26">
        <v>4508466.5</v>
      </c>
      <c r="AB41" s="26">
        <v>900603.3</v>
      </c>
      <c r="AC41" s="39">
        <f>AB41/AA41</f>
        <v>0.19975823264961601</v>
      </c>
      <c r="AD41" s="26">
        <f t="shared" ref="AD41:AD45" si="23">(AC41*AL41)*50.8023</f>
        <v>0.87476749095212381</v>
      </c>
      <c r="AE41" s="39">
        <v>1.0072026193507504</v>
      </c>
      <c r="AF41" s="26">
        <v>28398743</v>
      </c>
      <c r="AG41" s="26">
        <v>5670748.5999999996</v>
      </c>
      <c r="AH41" s="39">
        <f>AG41/AF41</f>
        <v>0.19968308456469358</v>
      </c>
      <c r="AI41" s="39">
        <v>0.2585983966899405</v>
      </c>
      <c r="AL41" s="68">
        <v>8.619946556331351E-2</v>
      </c>
      <c r="AM41" s="68">
        <v>0.41839496595121112</v>
      </c>
    </row>
    <row r="42" spans="1:39" x14ac:dyDescent="0.25">
      <c r="A42" s="26">
        <f t="shared" si="11"/>
        <v>1885</v>
      </c>
      <c r="B42" s="26">
        <v>37892922</v>
      </c>
      <c r="C42" s="26">
        <v>3789292.2</v>
      </c>
      <c r="D42" s="39">
        <f>C42/B42</f>
        <v>0.1</v>
      </c>
      <c r="E42" s="26">
        <f t="shared" si="18"/>
        <v>3.3444251626898054</v>
      </c>
      <c r="F42" s="39">
        <v>4.9969209320261632</v>
      </c>
      <c r="G42" s="26">
        <v>242828</v>
      </c>
      <c r="H42" s="26">
        <v>4856560</v>
      </c>
      <c r="I42" s="26">
        <f>H42/G42</f>
        <v>20</v>
      </c>
      <c r="J42" s="39">
        <f t="shared" si="19"/>
        <v>1.5494267121165171</v>
      </c>
      <c r="K42" s="39">
        <v>1.4654680393446218</v>
      </c>
      <c r="L42" s="26">
        <v>1522156</v>
      </c>
      <c r="M42" s="26">
        <v>6148424</v>
      </c>
      <c r="N42" s="39">
        <f>M42/L42</f>
        <v>4.0392863806337855</v>
      </c>
      <c r="O42" s="26">
        <f t="shared" si="20"/>
        <v>1.384641198239476E-2</v>
      </c>
      <c r="P42" s="47">
        <v>1.4131440386159112E-2</v>
      </c>
      <c r="Q42" s="26">
        <v>918750</v>
      </c>
      <c r="R42" s="26">
        <v>1837500</v>
      </c>
      <c r="S42" s="39">
        <f>R42/Q42</f>
        <v>2</v>
      </c>
      <c r="T42" s="39">
        <f t="shared" si="21"/>
        <v>6.8558704075952076E-3</v>
      </c>
      <c r="U42" s="39">
        <v>9.581251656124808E-3</v>
      </c>
      <c r="V42" s="26">
        <v>2277100</v>
      </c>
      <c r="W42" s="26">
        <v>3355845</v>
      </c>
      <c r="X42" s="39">
        <f>W42/V42</f>
        <v>1.4737363312985816</v>
      </c>
      <c r="Y42" s="26">
        <f t="shared" si="22"/>
        <v>5.0518726511739366E-3</v>
      </c>
      <c r="AA42" s="26">
        <v>4203812</v>
      </c>
      <c r="AB42" s="26">
        <v>840762.4</v>
      </c>
      <c r="AC42" s="39">
        <f>AB42/AA42</f>
        <v>0.2</v>
      </c>
      <c r="AD42" s="26">
        <f t="shared" si="23"/>
        <v>0.78714440656956941</v>
      </c>
      <c r="AE42" s="39">
        <v>0.98393291547271455</v>
      </c>
      <c r="AF42" s="26">
        <v>33949086</v>
      </c>
      <c r="AG42" s="26">
        <v>6789817.2000000002</v>
      </c>
      <c r="AH42" s="39">
        <f>AG42/AF42</f>
        <v>0.2</v>
      </c>
      <c r="AI42" s="39">
        <v>0.251781840718934</v>
      </c>
      <c r="AL42" s="68">
        <v>7.747133560582585E-2</v>
      </c>
      <c r="AM42" s="68">
        <v>0.3762008057018903</v>
      </c>
    </row>
    <row r="43" spans="1:39" x14ac:dyDescent="0.25">
      <c r="A43" s="26">
        <f t="shared" si="11"/>
        <v>1886</v>
      </c>
      <c r="B43" s="26">
        <v>39305400</v>
      </c>
      <c r="C43" s="26">
        <v>3930540</v>
      </c>
      <c r="D43" s="39">
        <f>C43/B43</f>
        <v>0.1</v>
      </c>
      <c r="E43" s="26">
        <f t="shared" si="18"/>
        <v>3.3650896208051084</v>
      </c>
      <c r="F43" s="39">
        <v>4.9296441099430597</v>
      </c>
      <c r="G43" s="26">
        <v>210524</v>
      </c>
      <c r="H43" s="26">
        <v>4210480</v>
      </c>
      <c r="I43" s="26">
        <f>H43/G43</f>
        <v>20</v>
      </c>
      <c r="J43" s="39">
        <f t="shared" si="19"/>
        <v>1.5572685509616133</v>
      </c>
      <c r="K43" s="39">
        <v>1.3715248266412055</v>
      </c>
      <c r="L43" s="26">
        <v>1878350</v>
      </c>
      <c r="M43" s="26">
        <v>7866930</v>
      </c>
      <c r="N43" s="39">
        <f>M43/L43</f>
        <v>4.1882130593339904</v>
      </c>
      <c r="O43" s="26">
        <f t="shared" si="20"/>
        <v>1.4429585137229089E-2</v>
      </c>
      <c r="P43" s="47">
        <v>1.3564608264310638E-2</v>
      </c>
      <c r="Q43" s="26">
        <v>1107818</v>
      </c>
      <c r="R43" s="26">
        <v>2215636</v>
      </c>
      <c r="S43" s="39">
        <f>R43/Q43</f>
        <v>2</v>
      </c>
      <c r="T43" s="39">
        <f t="shared" si="21"/>
        <v>6.8905688095646598E-3</v>
      </c>
      <c r="U43" s="39">
        <v>9.2332922610159421E-3</v>
      </c>
      <c r="V43" s="26">
        <v>1965480</v>
      </c>
      <c r="W43" s="26">
        <v>3007880</v>
      </c>
      <c r="X43" s="39">
        <f>W43/V43</f>
        <v>1.53035390846002</v>
      </c>
      <c r="Y43" s="26">
        <f t="shared" si="22"/>
        <v>5.2725044546149923E-3</v>
      </c>
      <c r="AA43" s="26">
        <v>6334887</v>
      </c>
      <c r="AB43" s="26">
        <v>1266977.3999999999</v>
      </c>
      <c r="AC43" s="39">
        <f>AB43/AA43</f>
        <v>0.19999999999999998</v>
      </c>
      <c r="AD43" s="26">
        <f t="shared" si="23"/>
        <v>0.79112824106517166</v>
      </c>
      <c r="AE43" s="39">
        <v>0.96913446636014655</v>
      </c>
      <c r="AF43" s="26">
        <v>13227100</v>
      </c>
      <c r="AG43" s="26">
        <v>2645420</v>
      </c>
      <c r="AH43" s="39">
        <f>AG43/AF43</f>
        <v>0.2</v>
      </c>
      <c r="AI43" s="39">
        <v>0.29588102468270655</v>
      </c>
      <c r="AL43" s="68">
        <v>7.7863427548080663E-2</v>
      </c>
      <c r="AM43" s="68">
        <v>0.37852526668223935</v>
      </c>
    </row>
    <row r="44" spans="1:39" x14ac:dyDescent="0.25">
      <c r="A44" s="26">
        <f t="shared" si="11"/>
        <v>1887</v>
      </c>
      <c r="B44" s="26">
        <v>19988426</v>
      </c>
      <c r="C44" s="26">
        <v>2126765.14</v>
      </c>
      <c r="D44" s="39">
        <f>C44/B44</f>
        <v>0.10639983058195779</v>
      </c>
      <c r="E44" s="26">
        <f t="shared" si="18"/>
        <v>4.2906609062976404</v>
      </c>
      <c r="F44" s="39">
        <v>4.8017443389764427</v>
      </c>
      <c r="G44" s="26">
        <v>135571</v>
      </c>
      <c r="H44" s="26">
        <v>2771420</v>
      </c>
      <c r="I44" s="26">
        <f>H44/G44</f>
        <v>20.442572526572793</v>
      </c>
      <c r="J44" s="39">
        <f t="shared" si="19"/>
        <v>1.9112352773534771</v>
      </c>
      <c r="K44" s="39">
        <v>1.4536400667451905</v>
      </c>
      <c r="L44" s="26">
        <v>691102</v>
      </c>
      <c r="M44" s="26">
        <v>2880495.27</v>
      </c>
      <c r="N44" s="39">
        <f>M44/L44</f>
        <v>4.1679741485337907</v>
      </c>
      <c r="O44" s="26">
        <f t="shared" si="20"/>
        <v>1.7242299447538863E-2</v>
      </c>
      <c r="P44" s="47">
        <v>1.3972443675117097E-2</v>
      </c>
      <c r="Q44" s="26">
        <v>388881</v>
      </c>
      <c r="R44" s="26">
        <v>810168.75</v>
      </c>
      <c r="S44" s="39">
        <f>R44/Q44</f>
        <v>2.0833333333333335</v>
      </c>
      <c r="T44" s="39">
        <f t="shared" si="21"/>
        <v>8.6184452931429706E-3</v>
      </c>
      <c r="U44" s="39">
        <v>9.7737541321712279E-3</v>
      </c>
      <c r="V44" s="26">
        <v>440106</v>
      </c>
      <c r="W44" s="26">
        <v>703786.25</v>
      </c>
      <c r="X44" s="39">
        <f>W44/V44</f>
        <v>1.5991289598414928</v>
      </c>
      <c r="Y44" s="26">
        <f t="shared" si="22"/>
        <v>6.615362619395773E-3</v>
      </c>
      <c r="AA44" s="26">
        <v>181460</v>
      </c>
      <c r="AB44" s="26">
        <v>36200</v>
      </c>
      <c r="AC44" s="39">
        <f>AB44/AA44</f>
        <v>0.19949300121238842</v>
      </c>
      <c r="AD44" s="26">
        <f t="shared" si="23"/>
        <v>0.94752274639978684</v>
      </c>
      <c r="AE44" s="39">
        <v>0.9261848108525621</v>
      </c>
      <c r="AF44" s="26">
        <v>15073732</v>
      </c>
      <c r="AG44" s="26">
        <v>5275806.2</v>
      </c>
      <c r="AH44" s="39">
        <f>AG44/AF44</f>
        <v>0.35000000000000003</v>
      </c>
      <c r="AI44" s="39">
        <v>0.30852655198204937</v>
      </c>
      <c r="AL44" s="68">
        <v>9.3492894540014956E-2</v>
      </c>
      <c r="AM44" s="68">
        <v>0.45360882572924466</v>
      </c>
    </row>
    <row r="45" spans="1:39" x14ac:dyDescent="0.25">
      <c r="A45" s="26">
        <f t="shared" si="11"/>
        <v>1888</v>
      </c>
      <c r="B45" s="26">
        <v>33287400</v>
      </c>
      <c r="C45" s="26">
        <v>3550656</v>
      </c>
      <c r="D45" s="39">
        <f>C45/B45</f>
        <v>0.10666666666666667</v>
      </c>
      <c r="E45" s="26">
        <f t="shared" si="18"/>
        <v>4.858856545677714</v>
      </c>
      <c r="F45" s="39">
        <v>4.7520019840251768</v>
      </c>
      <c r="G45" s="26">
        <v>291701</v>
      </c>
      <c r="H45" s="26">
        <v>5834020</v>
      </c>
      <c r="I45" s="26">
        <f>H45/G45</f>
        <v>20</v>
      </c>
      <c r="J45" s="39">
        <f t="shared" si="19"/>
        <v>2.1041557075223567</v>
      </c>
      <c r="K45" s="39">
        <v>1.8677335686019712</v>
      </c>
      <c r="L45" s="26">
        <v>1920900</v>
      </c>
      <c r="M45" s="26">
        <v>8051350</v>
      </c>
      <c r="N45" s="39">
        <f>M45/L45</f>
        <v>4.1914467176844186</v>
      </c>
      <c r="O45" s="26">
        <f t="shared" si="20"/>
        <v>1.951207197741486E-2</v>
      </c>
      <c r="P45" s="47">
        <v>1.3811772138147329E-2</v>
      </c>
      <c r="Q45" s="26">
        <v>1063110</v>
      </c>
      <c r="R45" s="26">
        <v>2214812.5</v>
      </c>
      <c r="S45" s="39">
        <f>R45/Q45</f>
        <v>2.0833333333333335</v>
      </c>
      <c r="T45" s="39">
        <f t="shared" si="21"/>
        <v>9.6983577964710379E-3</v>
      </c>
      <c r="U45" s="39">
        <v>9.8188479931882646E-3</v>
      </c>
      <c r="V45" s="26">
        <v>900086</v>
      </c>
      <c r="W45" s="26">
        <v>1485670</v>
      </c>
      <c r="X45" s="39">
        <f>W45/V45</f>
        <v>1.6505867217132586</v>
      </c>
      <c r="Y45" s="26">
        <f t="shared" si="22"/>
        <v>7.6838306886140894E-3</v>
      </c>
      <c r="AA45" s="26">
        <v>5150750</v>
      </c>
      <c r="AB45" s="26">
        <v>1287687.5</v>
      </c>
      <c r="AC45" s="39">
        <f>AB45/AA45</f>
        <v>0.25</v>
      </c>
      <c r="AD45" s="26">
        <f t="shared" si="23"/>
        <v>1.3361993687532878</v>
      </c>
      <c r="AE45" s="39">
        <v>1.1224102158079232</v>
      </c>
      <c r="AF45" s="26">
        <v>35496000</v>
      </c>
      <c r="AG45" s="26">
        <v>12423600</v>
      </c>
      <c r="AH45" s="39">
        <f>AG45/AF45</f>
        <v>0.35</v>
      </c>
      <c r="AI45" s="39">
        <v>0.27354024197790638</v>
      </c>
      <c r="AL45" s="68">
        <v>0.10520778537611783</v>
      </c>
      <c r="AM45" s="68">
        <v>0.51239347711730665</v>
      </c>
    </row>
    <row r="46" spans="1:39" x14ac:dyDescent="0.25">
      <c r="A46" s="26">
        <f t="shared" si="11"/>
        <v>1889</v>
      </c>
      <c r="F46" s="39">
        <v>5.378584094778577</v>
      </c>
      <c r="K46" s="39">
        <v>2.1261367159207714</v>
      </c>
      <c r="P46" s="47">
        <v>1.3833206172188077E-2</v>
      </c>
      <c r="S46" s="39"/>
      <c r="T46" s="39"/>
      <c r="U46" s="39">
        <v>1.0280337612599713E-2</v>
      </c>
      <c r="X46" s="39"/>
      <c r="AE46" s="39">
        <v>1.1752047919425328</v>
      </c>
      <c r="AI46" s="39">
        <v>0.35250055078211062</v>
      </c>
      <c r="AL46" s="68">
        <v>0.11015642211940957</v>
      </c>
      <c r="AM46" s="68">
        <v>0.53631857237276936</v>
      </c>
    </row>
    <row r="47" spans="1:39" x14ac:dyDescent="0.25">
      <c r="A47" s="26">
        <f t="shared" si="11"/>
        <v>1890</v>
      </c>
      <c r="B47" s="26">
        <v>29518665</v>
      </c>
      <c r="C47" s="26">
        <v>3148657.6</v>
      </c>
      <c r="D47" s="39">
        <f>C47/B47</f>
        <v>0.10666666666666667</v>
      </c>
      <c r="E47" s="26">
        <f>(D47*AM47)*88.9</f>
        <v>4.3330357556955281</v>
      </c>
      <c r="F47" s="39">
        <v>4.8083632311134776</v>
      </c>
      <c r="G47" s="26">
        <v>340794</v>
      </c>
      <c r="H47" s="26">
        <v>6815880</v>
      </c>
      <c r="I47" s="26">
        <f>H47/G47</f>
        <v>20</v>
      </c>
      <c r="J47" s="39">
        <f t="shared" ref="J47:J48" si="24">I47*AL47</f>
        <v>1.880229387985334</v>
      </c>
      <c r="K47" s="39">
        <v>1.9528097226798855</v>
      </c>
      <c r="L47" s="26">
        <v>1611594</v>
      </c>
      <c r="M47" s="26">
        <v>6714975</v>
      </c>
      <c r="N47" s="39">
        <f>M47/L47</f>
        <v>4.166666666666667</v>
      </c>
      <c r="O47" s="26">
        <f t="shared" ref="O47:O48" si="25">(N47*AL47)/22.6</f>
        <v>1.7332498045587522E-2</v>
      </c>
      <c r="P47" s="47">
        <v>1.391673840867853E-2</v>
      </c>
      <c r="Q47" s="26">
        <f>1253820+38200</f>
        <v>1292020</v>
      </c>
      <c r="R47" s="26">
        <f>2612125+70400</f>
        <v>2682525</v>
      </c>
      <c r="S47" s="39">
        <f>R47/Q47</f>
        <v>2.0762256002229069</v>
      </c>
      <c r="T47" s="39">
        <f t="shared" ref="T47:T48" si="26">(S47*AL47)/22.6</f>
        <v>8.6366822779349543E-3</v>
      </c>
      <c r="U47" s="39">
        <v>1.0003763556453393E-2</v>
      </c>
      <c r="V47" s="26">
        <f>808279+23150</f>
        <v>831429</v>
      </c>
      <c r="W47" s="26">
        <f>1318610+41350</f>
        <v>1359960</v>
      </c>
      <c r="X47" s="39">
        <f>W47/V47</f>
        <v>1.635689878510372</v>
      </c>
      <c r="Y47" s="26">
        <f t="shared" ref="Y47:Y48" si="27">(X47*AL47)/22.6</f>
        <v>6.8041419893923932E-3</v>
      </c>
      <c r="AA47" s="26">
        <v>7581640</v>
      </c>
      <c r="AB47" s="26">
        <v>1863992</v>
      </c>
      <c r="AC47" s="39">
        <f>AB47/AA47</f>
        <v>0.24585604170074021</v>
      </c>
      <c r="AD47" s="26">
        <f t="shared" ref="AD47:AD48" si="28">(AC47*AL47)*50.8023</f>
        <v>1.1742081778032822</v>
      </c>
      <c r="AE47" s="39">
        <v>1.0029622169083681</v>
      </c>
      <c r="AF47" s="26">
        <v>47730000</v>
      </c>
      <c r="AG47" s="26">
        <v>16431900</v>
      </c>
      <c r="AH47" s="39">
        <f>AG47/AF47</f>
        <v>0.34426775612822125</v>
      </c>
      <c r="AI47" s="39">
        <v>0.33844128983736016</v>
      </c>
      <c r="AL47" s="68">
        <v>9.4011469399266703E-2</v>
      </c>
      <c r="AM47" s="68">
        <v>0.45694274701513582</v>
      </c>
    </row>
    <row r="48" spans="1:39" x14ac:dyDescent="0.25">
      <c r="A48" s="26">
        <v>1891</v>
      </c>
      <c r="B48" s="26">
        <v>7662513</v>
      </c>
      <c r="C48" s="26">
        <v>817334.72</v>
      </c>
      <c r="D48" s="39">
        <f>C48/B48</f>
        <v>0.10666666666666666</v>
      </c>
      <c r="E48" s="26">
        <f>(D48*AM48)*88.9</f>
        <v>2.8629396269382861</v>
      </c>
      <c r="F48" s="39">
        <v>5.3143462690120975</v>
      </c>
      <c r="G48" s="26">
        <v>336307</v>
      </c>
      <c r="H48" s="26">
        <v>6726140</v>
      </c>
      <c r="I48" s="26">
        <f>H48/G48</f>
        <v>20</v>
      </c>
      <c r="J48" s="39">
        <f t="shared" si="24"/>
        <v>1.2421588721197443</v>
      </c>
      <c r="K48" s="39">
        <v>1.6054483840173448</v>
      </c>
      <c r="L48" s="26">
        <v>1680258</v>
      </c>
      <c r="M48" s="26">
        <v>7001075</v>
      </c>
      <c r="N48" s="39">
        <f>M48/L48</f>
        <v>4.166666666666667</v>
      </c>
      <c r="O48" s="26">
        <f t="shared" si="25"/>
        <v>1.1450579573375223E-2</v>
      </c>
      <c r="P48" s="47">
        <v>1.329787876848609E-2</v>
      </c>
      <c r="Q48" s="26">
        <v>985506</v>
      </c>
      <c r="R48" s="26">
        <v>1079012</v>
      </c>
      <c r="S48" s="39">
        <f>R48/Q48</f>
        <v>1.0948812082321162</v>
      </c>
      <c r="T48" s="39">
        <f t="shared" si="26"/>
        <v>3.0088858555812129E-3</v>
      </c>
      <c r="U48" s="39">
        <v>9.1567215398915876E-3</v>
      </c>
      <c r="V48" s="26">
        <v>573359</v>
      </c>
      <c r="W48" s="26">
        <v>899797</v>
      </c>
      <c r="X48" s="39">
        <f>W48/V48</f>
        <v>1.569343116616291</v>
      </c>
      <c r="Y48" s="26">
        <f t="shared" si="27"/>
        <v>4.3127731763384428E-3</v>
      </c>
      <c r="AA48" s="26">
        <v>4720744</v>
      </c>
      <c r="AB48" s="26">
        <v>941118.8</v>
      </c>
      <c r="AC48" s="39">
        <f>AB48/AA48</f>
        <v>0.19935815202010532</v>
      </c>
      <c r="AD48" s="26">
        <f t="shared" si="28"/>
        <v>0.62902010101055816</v>
      </c>
      <c r="AE48" s="39">
        <v>0.94657023088666292</v>
      </c>
      <c r="AF48" s="26">
        <v>41666367</v>
      </c>
      <c r="AG48" s="26">
        <v>12499910.1</v>
      </c>
      <c r="AH48" s="39">
        <f>AG48/AF48</f>
        <v>0.3</v>
      </c>
      <c r="AI48" s="39">
        <v>0.32296130675113344</v>
      </c>
      <c r="AL48" s="71">
        <v>6.2107943605987211E-2</v>
      </c>
      <c r="AM48" s="71">
        <v>0.30191292466306446</v>
      </c>
    </row>
    <row r="49" spans="1:39" x14ac:dyDescent="0.25">
      <c r="A49" s="26">
        <f t="shared" si="11"/>
        <v>1892</v>
      </c>
      <c r="F49" s="39">
        <v>5.4134834690004974</v>
      </c>
      <c r="K49" s="39">
        <v>1.4715722237212296</v>
      </c>
      <c r="P49" s="47">
        <v>1.2440719335254705E-2</v>
      </c>
      <c r="U49" s="39">
        <v>8.0498343694901595E-3</v>
      </c>
      <c r="AE49" s="39">
        <v>1.1205668081182256</v>
      </c>
      <c r="AI49" s="39">
        <v>0.26067776218167238</v>
      </c>
      <c r="AL49" s="71">
        <v>5.0130338881090836E-2</v>
      </c>
      <c r="AM49" s="71">
        <v>0.24429015440144372</v>
      </c>
    </row>
    <row r="50" spans="1:39" x14ac:dyDescent="0.25">
      <c r="A50" s="26">
        <f t="shared" si="11"/>
        <v>1893</v>
      </c>
      <c r="F50" s="39">
        <v>4.3573250469810842</v>
      </c>
      <c r="K50" s="39">
        <v>1.3296527267923199</v>
      </c>
      <c r="P50" s="47">
        <v>1.3586007744616548E-2</v>
      </c>
      <c r="U50" s="39">
        <v>9.209300111533307E-3</v>
      </c>
      <c r="AE50" s="39">
        <v>1.030724032776611</v>
      </c>
      <c r="AI50" s="39">
        <v>0.38645476063958262</v>
      </c>
      <c r="AL50" s="71">
        <v>4.8306845079947827E-2</v>
      </c>
      <c r="AM50" s="71">
        <v>0.2349596637843582</v>
      </c>
    </row>
    <row r="51" spans="1:39" x14ac:dyDescent="0.25">
      <c r="A51" s="26">
        <f t="shared" si="11"/>
        <v>1894</v>
      </c>
      <c r="F51" s="39">
        <v>3.8429689782151426</v>
      </c>
      <c r="K51" s="39">
        <v>1.3506517235664568</v>
      </c>
      <c r="P51" s="47">
        <v>1.3363875768301723E-2</v>
      </c>
      <c r="U51" s="39">
        <v>9.2964142283524943E-3</v>
      </c>
      <c r="AE51" s="39">
        <v>0.87601438194859527</v>
      </c>
      <c r="AI51" s="39">
        <v>0.27757917315052361</v>
      </c>
      <c r="AL51" s="71">
        <v>4.2057450477352064E-2</v>
      </c>
      <c r="AM51" s="71">
        <v>0.20510998023299826</v>
      </c>
    </row>
    <row r="52" spans="1:39" x14ac:dyDescent="0.25">
      <c r="A52" s="26">
        <f t="shared" si="11"/>
        <v>1895</v>
      </c>
      <c r="F52" s="39">
        <v>3.4612605990263403</v>
      </c>
      <c r="K52" s="39">
        <v>1.196000577549629</v>
      </c>
      <c r="P52" s="47">
        <v>1.2685551730965224E-2</v>
      </c>
      <c r="U52" s="39">
        <v>9.0738754918271158E-3</v>
      </c>
      <c r="AE52" s="39">
        <v>0.85193084502228966</v>
      </c>
      <c r="AI52" s="39">
        <v>0.22359322595337669</v>
      </c>
      <c r="AL52" s="71">
        <v>4.1406152954329013E-2</v>
      </c>
      <c r="AM52" s="71">
        <v>0.2024056974866465</v>
      </c>
    </row>
    <row r="53" spans="1:39" x14ac:dyDescent="0.25">
      <c r="A53" s="26">
        <f t="shared" si="11"/>
        <v>1896</v>
      </c>
      <c r="F53" s="39">
        <v>3.9589625840387481</v>
      </c>
      <c r="K53" s="39">
        <v>1.3230127580970024</v>
      </c>
      <c r="P53" s="47">
        <v>1.2601797841874096E-2</v>
      </c>
      <c r="U53" s="39">
        <v>9.109454394043117E-3</v>
      </c>
      <c r="AE53" s="39">
        <v>0.82487038649040878</v>
      </c>
      <c r="AI53" s="39">
        <v>0.27942453649511007</v>
      </c>
      <c r="AL53" s="71">
        <v>3.7760072499339201E-2</v>
      </c>
      <c r="AM53" s="71">
        <v>0.1839368651587811</v>
      </c>
    </row>
    <row r="54" spans="1:39" x14ac:dyDescent="0.25">
      <c r="A54" s="26">
        <f t="shared" si="11"/>
        <v>1897</v>
      </c>
      <c r="F54" s="39">
        <v>4.503659817543217</v>
      </c>
      <c r="K54" s="39">
        <v>1.3466684063547749</v>
      </c>
      <c r="P54" s="47">
        <v>1.1501086509949627E-2</v>
      </c>
      <c r="U54" s="39">
        <v>8.1589810851682831E-3</v>
      </c>
      <c r="AE54" s="39">
        <v>0.75158766198746052</v>
      </c>
      <c r="AI54" s="39">
        <v>0.2540764802367092</v>
      </c>
      <c r="AL54" s="71">
        <v>3.2161579776798635E-2</v>
      </c>
      <c r="AM54" s="71">
        <v>0.1564114109285048</v>
      </c>
    </row>
    <row r="55" spans="1:39" x14ac:dyDescent="0.25">
      <c r="A55" s="26">
        <f t="shared" si="11"/>
        <v>1898</v>
      </c>
      <c r="F55" s="39">
        <v>5.0821873549228975</v>
      </c>
      <c r="K55" s="39">
        <v>1.4807954771129712</v>
      </c>
      <c r="P55" s="47">
        <v>1.0683092534149412E-2</v>
      </c>
      <c r="U55" s="39">
        <v>7.6048040676066405E-3</v>
      </c>
      <c r="AE55" s="39">
        <v>0.7759347245892747</v>
      </c>
      <c r="AI55" s="39">
        <v>0.2934922583929801</v>
      </c>
      <c r="AL55" s="71">
        <v>2.994818963193675E-2</v>
      </c>
      <c r="AM55" s="71">
        <v>0.14517983887873978</v>
      </c>
    </row>
    <row r="56" spans="1:39" x14ac:dyDescent="0.25">
      <c r="A56" s="26">
        <f t="shared" si="11"/>
        <v>1899</v>
      </c>
      <c r="F56" s="39">
        <v>4.1511487318274192</v>
      </c>
      <c r="K56" s="39">
        <v>1.4392347899966755</v>
      </c>
      <c r="P56" s="47">
        <v>1.0843240108483164E-2</v>
      </c>
      <c r="U56" s="39">
        <v>8.8137708037450344E-3</v>
      </c>
      <c r="AE56" s="39">
        <v>0.86588779820967376</v>
      </c>
      <c r="AI56" s="39">
        <v>0.29130124887663084</v>
      </c>
      <c r="AL56" s="71">
        <v>3.0989494561343707E-2</v>
      </c>
      <c r="AM56" s="71">
        <v>0.15072670364746352</v>
      </c>
    </row>
    <row r="57" spans="1:39" x14ac:dyDescent="0.25">
      <c r="A57" s="26">
        <f t="shared" si="11"/>
        <v>1900</v>
      </c>
      <c r="F57" s="39">
        <v>3.9917020440313129</v>
      </c>
      <c r="K57" s="39">
        <v>1.9003006674124285</v>
      </c>
      <c r="P57" s="47">
        <v>1.1671576526826604E-2</v>
      </c>
      <c r="U57" s="39">
        <v>9.8799105786307219E-3</v>
      </c>
      <c r="AE57" s="39">
        <v>1.1060180247962617</v>
      </c>
      <c r="AI57" s="39">
        <v>0.34437715235720223</v>
      </c>
      <c r="AL57" s="71">
        <v>3.95835807307129E-2</v>
      </c>
      <c r="AM57" s="71">
        <v>0.19258203697106438</v>
      </c>
    </row>
    <row r="58" spans="1:39" x14ac:dyDescent="0.25">
      <c r="A58" s="26">
        <f t="shared" si="11"/>
        <v>1901</v>
      </c>
      <c r="B58" s="26">
        <v>50328163</v>
      </c>
      <c r="C58" s="26">
        <v>11944133</v>
      </c>
      <c r="D58" s="39">
        <f>C58/B58</f>
        <v>0.2373250340967144</v>
      </c>
      <c r="E58" s="26">
        <f t="shared" ref="E58:E70" si="29">(D58*AM58)*88.9</f>
        <v>4.8725142122786904</v>
      </c>
      <c r="F58" s="39">
        <v>4.1016114756600031</v>
      </c>
      <c r="G58" s="26">
        <f>716919074*0.000984207</f>
        <v>705596.77106431802</v>
      </c>
      <c r="H58" s="26">
        <v>25575269</v>
      </c>
      <c r="I58" s="69">
        <f>H58/G58</f>
        <v>36.246295403850013</v>
      </c>
      <c r="J58" s="39">
        <f t="shared" ref="J58:J70" si="30">I58*AL58</f>
        <v>1.7179153231835638</v>
      </c>
      <c r="K58" s="39">
        <v>1.5848202210945279</v>
      </c>
      <c r="L58" s="26">
        <v>1631349</v>
      </c>
      <c r="M58" s="26">
        <v>6919098</v>
      </c>
      <c r="N58" s="39">
        <f>M58/L58</f>
        <v>4.2413352385050658</v>
      </c>
      <c r="O58" s="26">
        <f t="shared" ref="O58:O70" si="31">(N58*AL58)/22.6</f>
        <v>8.8947201677239771E-3</v>
      </c>
      <c r="P58" s="47">
        <v>1.1831275431474079E-2</v>
      </c>
      <c r="Q58" s="26">
        <v>1138990</v>
      </c>
      <c r="R58" s="26">
        <v>3835817</v>
      </c>
      <c r="S58" s="39">
        <f>R58/Q58</f>
        <v>3.3677354498283565</v>
      </c>
      <c r="T58" s="39">
        <f t="shared" ref="T58:T70" si="32">(S58*AL58)/22.6</f>
        <v>7.0626495527162008E-3</v>
      </c>
      <c r="U58" s="39">
        <v>1.1439178172663367E-2</v>
      </c>
      <c r="V58" s="26">
        <v>75385</v>
      </c>
      <c r="W58" s="26">
        <v>165614</v>
      </c>
      <c r="X58" s="39">
        <f>W58/V58</f>
        <v>2.1969091994428598</v>
      </c>
      <c r="Y58" s="26">
        <f t="shared" ref="Y58:Y70" si="33">(X58*AL58)/22.6</f>
        <v>4.6072501851634534E-3</v>
      </c>
      <c r="AA58" s="26">
        <v>17019613</v>
      </c>
      <c r="AB58" s="26">
        <v>9054183</v>
      </c>
      <c r="AC58" s="39">
        <f>AB58/AA58</f>
        <v>0.53198524549294979</v>
      </c>
      <c r="AD58" s="26">
        <f t="shared" ref="AD58:AD70" si="34">(AC58*AL58)*50.8023</f>
        <v>1.2809172964171991</v>
      </c>
      <c r="AE58" s="39">
        <v>1.1798278545393965</v>
      </c>
      <c r="AF58" s="26">
        <v>37119723</v>
      </c>
      <c r="AG58" s="26">
        <v>22330835</v>
      </c>
      <c r="AH58" s="39">
        <f>AG58/AF58</f>
        <v>0.60158948384393929</v>
      </c>
      <c r="AI58" s="39">
        <v>0.35546708374804498</v>
      </c>
      <c r="AL58" s="71">
        <v>4.739561116640599E-2</v>
      </c>
      <c r="AM58" s="71">
        <v>0.2309445945305465</v>
      </c>
    </row>
    <row r="59" spans="1:39" x14ac:dyDescent="0.25">
      <c r="A59" s="26">
        <f t="shared" si="11"/>
        <v>1902</v>
      </c>
      <c r="B59" s="26">
        <v>46840181</v>
      </c>
      <c r="C59" s="26">
        <v>11178618</v>
      </c>
      <c r="D59" s="39">
        <f>C59/B59</f>
        <v>0.23865445780408065</v>
      </c>
      <c r="E59" s="26">
        <f t="shared" si="29"/>
        <v>5.1548019174915121</v>
      </c>
      <c r="F59" s="39">
        <v>4.0197961940291647</v>
      </c>
      <c r="G59" s="26">
        <f>910028723*0.000984207</f>
        <v>895656.63937766093</v>
      </c>
      <c r="H59" s="26">
        <v>27017742</v>
      </c>
      <c r="I59" s="69">
        <f>H59/G59</f>
        <v>30.165289701612707</v>
      </c>
      <c r="J59" s="39">
        <f t="shared" si="30"/>
        <v>1.5043531668468337</v>
      </c>
      <c r="K59" s="39">
        <v>1.3838898691070582</v>
      </c>
      <c r="L59" s="26">
        <v>3157044</v>
      </c>
      <c r="M59" s="26">
        <v>12339201</v>
      </c>
      <c r="N59" s="39">
        <f>M59/L59</f>
        <v>3.9084665908995881</v>
      </c>
      <c r="O59" s="26">
        <f t="shared" si="31"/>
        <v>8.6246259523901306E-3</v>
      </c>
      <c r="P59" s="47">
        <v>1.1580564627367321E-2</v>
      </c>
      <c r="Q59" s="26">
        <v>2246313</v>
      </c>
      <c r="R59" s="26">
        <v>7262884</v>
      </c>
      <c r="S59" s="39">
        <f>R59/Q59</f>
        <v>3.233246657967968</v>
      </c>
      <c r="T59" s="39">
        <f t="shared" si="32"/>
        <v>7.1346504794789481E-3</v>
      </c>
      <c r="U59" s="39">
        <v>1.04794916670399E-2</v>
      </c>
      <c r="V59" s="26">
        <v>112283</v>
      </c>
      <c r="W59" s="26">
        <v>253561</v>
      </c>
      <c r="X59" s="39">
        <f>W59/V59</f>
        <v>2.2582314330753541</v>
      </c>
      <c r="Y59" s="26">
        <f t="shared" si="33"/>
        <v>4.98313110045597E-3</v>
      </c>
      <c r="AA59" s="26">
        <v>7151</v>
      </c>
      <c r="AB59" s="26">
        <v>6227</v>
      </c>
      <c r="AC59" s="39">
        <f>AB59/AA59</f>
        <v>0.87078730247517833</v>
      </c>
      <c r="AD59" s="26">
        <f t="shared" si="34"/>
        <v>2.2061638627835007</v>
      </c>
      <c r="AE59" s="39">
        <v>1.0260812805771651</v>
      </c>
      <c r="AF59" s="26">
        <v>29232037</v>
      </c>
      <c r="AG59" s="26">
        <v>15565848</v>
      </c>
      <c r="AH59" s="39">
        <f>AG59/AF59</f>
        <v>0.53249275786015182</v>
      </c>
      <c r="AI59" s="39">
        <v>0.3042090564532216</v>
      </c>
      <c r="AL59" s="71">
        <v>4.9870337123478957E-2</v>
      </c>
      <c r="AM59" s="71">
        <v>0.24296329543187714</v>
      </c>
    </row>
    <row r="60" spans="1:39" x14ac:dyDescent="0.25">
      <c r="A60" s="26">
        <f>A59+1</f>
        <v>1903</v>
      </c>
      <c r="B60" s="26">
        <v>38714682</v>
      </c>
      <c r="C60" s="26">
        <v>9432723</v>
      </c>
      <c r="D60" s="39">
        <f t="shared" ref="D60:D70" si="35">C60/B60</f>
        <v>0.24364717757464727</v>
      </c>
      <c r="E60" s="26">
        <f t="shared" si="29"/>
        <v>5.2667942192752228</v>
      </c>
      <c r="F60" s="39">
        <v>4.0466572360155437</v>
      </c>
      <c r="G60" s="26">
        <f>907487954*0.000984207</f>
        <v>893155.99674247799</v>
      </c>
      <c r="H60" s="26">
        <v>24056061</v>
      </c>
      <c r="I60" s="69">
        <f>H60/G60</f>
        <v>26.933773145718508</v>
      </c>
      <c r="J60" s="39">
        <f t="shared" si="30"/>
        <v>1.3466886572859256</v>
      </c>
      <c r="K60" s="39">
        <v>1.2368329470189483</v>
      </c>
      <c r="L60" s="26">
        <v>3507379</v>
      </c>
      <c r="M60" s="26">
        <v>13567419</v>
      </c>
      <c r="N60" s="39">
        <f t="shared" ref="N60:N70" si="36">M60/L60</f>
        <v>3.8682500522469914</v>
      </c>
      <c r="O60" s="26">
        <f t="shared" si="31"/>
        <v>8.5580753368296267E-3</v>
      </c>
      <c r="P60" s="47">
        <v>1.1195940728595906E-2</v>
      </c>
      <c r="Q60" s="26">
        <v>2527332</v>
      </c>
      <c r="R60" s="26">
        <v>8339403</v>
      </c>
      <c r="S60" s="39">
        <f t="shared" ref="S60:S70" si="37">R60/Q60</f>
        <v>3.2996863886501653</v>
      </c>
      <c r="T60" s="39">
        <f t="shared" si="32"/>
        <v>7.3001911253322239E-3</v>
      </c>
      <c r="U60" s="39">
        <v>1.0636814191305344E-2</v>
      </c>
      <c r="V60" s="26">
        <v>353883</v>
      </c>
      <c r="W60" s="26">
        <v>849634</v>
      </c>
      <c r="X60" s="39">
        <f t="shared" ref="X60:X70" si="38">W60/V60</f>
        <v>2.4008895595436912</v>
      </c>
      <c r="Y60" s="26">
        <f t="shared" si="33"/>
        <v>5.3117025653621483E-3</v>
      </c>
      <c r="AA60" s="26">
        <v>288724</v>
      </c>
      <c r="AB60" s="26">
        <v>157124</v>
      </c>
      <c r="AC60" s="39">
        <f t="shared" ref="AC60:AC70" si="39">AB60/AA60</f>
        <v>0.54420138263531959</v>
      </c>
      <c r="AD60" s="26">
        <f t="shared" si="34"/>
        <v>1.382334095052715</v>
      </c>
      <c r="AE60" s="39">
        <v>1.1303539404900402</v>
      </c>
      <c r="AF60" s="26">
        <v>38827081</v>
      </c>
      <c r="AG60" s="26">
        <v>19110900</v>
      </c>
      <c r="AH60" s="39">
        <f t="shared" ref="AH60:AH70" si="40">AG60/AF60</f>
        <v>0.4922054274437988</v>
      </c>
      <c r="AI60" s="39">
        <v>0.32500000000000001</v>
      </c>
      <c r="AL60" s="71">
        <v>0.05</v>
      </c>
      <c r="AM60" s="71">
        <v>0.24315500000000001</v>
      </c>
    </row>
    <row r="61" spans="1:39" x14ac:dyDescent="0.25">
      <c r="A61" s="26">
        <f t="shared" si="11"/>
        <v>1904</v>
      </c>
      <c r="B61" s="26">
        <v>30241434</v>
      </c>
      <c r="C61" s="26">
        <v>8993598</v>
      </c>
      <c r="D61" s="39">
        <f t="shared" si="35"/>
        <v>0.29739323869364132</v>
      </c>
      <c r="E61" s="26">
        <f t="shared" si="29"/>
        <v>6.5518210527610989</v>
      </c>
      <c r="F61" s="39">
        <v>4.795669758673105</v>
      </c>
      <c r="G61" s="26">
        <f>979243068*0.000984207</f>
        <v>963777.88222707598</v>
      </c>
      <c r="H61" s="26">
        <v>24838317</v>
      </c>
      <c r="I61" s="69">
        <f>H61/G61</f>
        <v>25.771827158560832</v>
      </c>
      <c r="J61" s="39">
        <f t="shared" si="30"/>
        <v>1.312077546001468</v>
      </c>
      <c r="K61" s="39">
        <v>1.1973222975114506</v>
      </c>
      <c r="L61" s="26">
        <v>2733707</v>
      </c>
      <c r="M61" s="26">
        <v>11546007</v>
      </c>
      <c r="N61" s="39">
        <f t="shared" si="36"/>
        <v>4.2235715093095196</v>
      </c>
      <c r="O61" s="26">
        <f t="shared" si="31"/>
        <v>9.51449420131306E-3</v>
      </c>
      <c r="P61" s="47">
        <v>1.2408140090399646E-2</v>
      </c>
      <c r="Q61" s="26">
        <v>2090212</v>
      </c>
      <c r="R61" s="26">
        <v>7403268</v>
      </c>
      <c r="S61" s="39">
        <f t="shared" si="37"/>
        <v>3.5418742213708465</v>
      </c>
      <c r="T61" s="39">
        <f t="shared" si="32"/>
        <v>7.9788258981135021E-3</v>
      </c>
      <c r="U61" s="39">
        <v>1.0825288040065419E-2</v>
      </c>
      <c r="V61" s="26">
        <v>436246</v>
      </c>
      <c r="W61" s="26">
        <v>1120239</v>
      </c>
      <c r="X61" s="39">
        <f t="shared" si="38"/>
        <v>2.5679066398316546</v>
      </c>
      <c r="Y61" s="26">
        <f t="shared" si="33"/>
        <v>5.7847565219005474E-3</v>
      </c>
      <c r="AA61" s="26">
        <v>340002</v>
      </c>
      <c r="AB61" s="26">
        <v>136997</v>
      </c>
      <c r="AC61" s="39">
        <f t="shared" si="39"/>
        <v>0.40292998276480729</v>
      </c>
      <c r="AD61" s="26">
        <f t="shared" si="34"/>
        <v>1.042142850189012</v>
      </c>
      <c r="AE61" s="39">
        <v>1.3966657732161232</v>
      </c>
      <c r="AF61" s="26">
        <v>42920787</v>
      </c>
      <c r="AG61" s="26">
        <v>21245387</v>
      </c>
      <c r="AH61" s="39">
        <f t="shared" si="40"/>
        <v>0.4949906207451415</v>
      </c>
      <c r="AI61" s="39">
        <v>0.34110579370736183</v>
      </c>
      <c r="AL61" s="71">
        <v>5.0911312493636091E-2</v>
      </c>
      <c r="AM61" s="71">
        <v>0.24781590469402304</v>
      </c>
    </row>
    <row r="62" spans="1:39" x14ac:dyDescent="0.25">
      <c r="A62" s="26">
        <f t="shared" si="11"/>
        <v>1905</v>
      </c>
      <c r="B62" s="26">
        <v>20000484</v>
      </c>
      <c r="C62" s="26">
        <v>4782177</v>
      </c>
      <c r="D62" s="39">
        <f t="shared" si="35"/>
        <v>0.23910306370585832</v>
      </c>
      <c r="E62" s="26">
        <f t="shared" si="29"/>
        <v>6.8473791730557414</v>
      </c>
      <c r="F62" s="39">
        <v>5.7683690807340575</v>
      </c>
      <c r="G62" s="26">
        <f>1041333187*0.000984207</f>
        <v>1024887.4119777089</v>
      </c>
      <c r="H62" s="26">
        <v>19750726</v>
      </c>
      <c r="I62" s="69">
        <f t="shared" ref="I62:I70" si="41">H62/G62</f>
        <v>19.271117753205047</v>
      </c>
      <c r="J62" s="39">
        <f t="shared" si="30"/>
        <v>1.2759794579358437</v>
      </c>
      <c r="K62" s="39">
        <v>1.3068031045485624</v>
      </c>
      <c r="L62" s="26">
        <v>2450892</v>
      </c>
      <c r="M62" s="26">
        <v>8288202</v>
      </c>
      <c r="N62" s="39">
        <f t="shared" si="36"/>
        <v>3.3817083739307976</v>
      </c>
      <c r="O62" s="26">
        <f t="shared" si="31"/>
        <v>9.9075093617654268E-3</v>
      </c>
      <c r="P62" s="47">
        <v>1.2794658520873116E-2</v>
      </c>
      <c r="Q62" s="26">
        <v>2508765</v>
      </c>
      <c r="R62" s="26">
        <v>6749345</v>
      </c>
      <c r="S62" s="39">
        <f t="shared" si="37"/>
        <v>2.690305787907596</v>
      </c>
      <c r="T62" s="39">
        <f t="shared" si="32"/>
        <v>7.8818830107234041E-3</v>
      </c>
      <c r="U62" s="39">
        <v>1.0770354456677594E-2</v>
      </c>
      <c r="V62" s="26">
        <v>187013</v>
      </c>
      <c r="W62" s="26">
        <v>377171</v>
      </c>
      <c r="X62" s="39">
        <f t="shared" si="38"/>
        <v>2.0168170127210407</v>
      </c>
      <c r="Y62" s="26">
        <f t="shared" si="33"/>
        <v>5.9087393781609363E-3</v>
      </c>
      <c r="AA62" s="26">
        <v>75565</v>
      </c>
      <c r="AB62" s="26">
        <v>52207</v>
      </c>
      <c r="AC62" s="39">
        <f t="shared" si="39"/>
        <v>0.69088863892013497</v>
      </c>
      <c r="AD62" s="26">
        <f t="shared" si="34"/>
        <v>2.3239576177588805</v>
      </c>
      <c r="AE62" s="39">
        <v>1.6818653344265113</v>
      </c>
      <c r="AF62" s="26">
        <v>33473552</v>
      </c>
      <c r="AG62" s="26">
        <v>17114351</v>
      </c>
      <c r="AH62" s="39">
        <f t="shared" si="40"/>
        <v>0.51127980084097435</v>
      </c>
      <c r="AI62" s="39">
        <v>0.45024167383963454</v>
      </c>
      <c r="AL62" s="71">
        <v>6.6212010858769779E-2</v>
      </c>
      <c r="AM62" s="71">
        <v>0.32213467523008671</v>
      </c>
    </row>
    <row r="63" spans="1:39" x14ac:dyDescent="0.25">
      <c r="A63" s="26">
        <f t="shared" si="11"/>
        <v>1906</v>
      </c>
      <c r="B63" s="26">
        <v>24526155</v>
      </c>
      <c r="C63" s="26">
        <v>4850969</v>
      </c>
      <c r="D63" s="39">
        <f t="shared" si="35"/>
        <v>0.19778758635424101</v>
      </c>
      <c r="E63" s="26">
        <f t="shared" si="29"/>
        <v>5.7529442414385432</v>
      </c>
      <c r="F63" s="39">
        <v>4.9119659425300295</v>
      </c>
      <c r="G63" s="26">
        <f>1804301390*0.000984207</f>
        <v>1775806.0581477298</v>
      </c>
      <c r="H63" s="26">
        <v>25115227</v>
      </c>
      <c r="I63" s="69">
        <f t="shared" si="41"/>
        <v>14.14300108098328</v>
      </c>
      <c r="J63" s="39">
        <f t="shared" si="30"/>
        <v>0.95393235403907195</v>
      </c>
      <c r="K63" s="39">
        <v>1.3758167665694261</v>
      </c>
      <c r="L63" s="26">
        <v>2146954</v>
      </c>
      <c r="M63" s="26">
        <v>7903585</v>
      </c>
      <c r="N63" s="39">
        <f t="shared" si="36"/>
        <v>3.6813015090216186</v>
      </c>
      <c r="O63" s="26">
        <f t="shared" si="31"/>
        <v>1.0986742702134192E-2</v>
      </c>
      <c r="P63" s="47">
        <v>1.2157088480488737E-2</v>
      </c>
      <c r="Q63" s="26">
        <v>2344904</v>
      </c>
      <c r="R63" s="26">
        <v>6669887</v>
      </c>
      <c r="S63" s="39">
        <f t="shared" si="37"/>
        <v>2.8444179377919094</v>
      </c>
      <c r="T63" s="39">
        <f t="shared" si="32"/>
        <v>8.4890867926111311E-3</v>
      </c>
      <c r="U63" s="39">
        <v>1.288600171281068E-2</v>
      </c>
      <c r="V63" s="26">
        <v>111588</v>
      </c>
      <c r="W63" s="26">
        <v>209652</v>
      </c>
      <c r="X63" s="39">
        <f t="shared" si="38"/>
        <v>1.8788041724916658</v>
      </c>
      <c r="Y63" s="26">
        <f t="shared" si="33"/>
        <v>5.6072391735030955E-3</v>
      </c>
      <c r="AA63" s="26">
        <v>705366</v>
      </c>
      <c r="AB63" s="26">
        <v>315312</v>
      </c>
      <c r="AC63" s="39">
        <f t="shared" si="39"/>
        <v>0.44701899439439952</v>
      </c>
      <c r="AD63" s="26">
        <f t="shared" si="34"/>
        <v>1.5317410669717122</v>
      </c>
      <c r="AE63" s="39">
        <v>1.2678333325188362</v>
      </c>
      <c r="AF63" s="26">
        <v>28846029</v>
      </c>
      <c r="AG63" s="26">
        <v>14530732</v>
      </c>
      <c r="AH63" s="39">
        <f t="shared" si="40"/>
        <v>0.50373422282838309</v>
      </c>
      <c r="AI63" s="39">
        <v>0.48563334682314857</v>
      </c>
      <c r="AL63" s="71">
        <v>6.7449075947659518E-2</v>
      </c>
      <c r="AM63" s="71">
        <v>0.32718197760690676</v>
      </c>
    </row>
    <row r="64" spans="1:39" x14ac:dyDescent="0.25">
      <c r="A64" s="26">
        <f t="shared" si="11"/>
        <v>1907</v>
      </c>
      <c r="B64" s="26">
        <v>29542695</v>
      </c>
      <c r="C64" s="26">
        <v>6459352</v>
      </c>
      <c r="D64" s="39">
        <f t="shared" si="35"/>
        <v>0.21864464294811289</v>
      </c>
      <c r="E64" s="26">
        <f t="shared" si="29"/>
        <v>5.9876647936532654</v>
      </c>
      <c r="F64" s="39">
        <v>4.406685636174192</v>
      </c>
      <c r="G64" s="26">
        <f>1286397136*0.000984207</f>
        <v>1266081.0660311519</v>
      </c>
      <c r="H64" s="26">
        <v>32467134</v>
      </c>
      <c r="I64" s="69">
        <f t="shared" si="41"/>
        <v>25.643803442836688</v>
      </c>
      <c r="J64" s="39">
        <f t="shared" si="30"/>
        <v>1.6261130908583825</v>
      </c>
      <c r="K64" s="39">
        <v>1.418868620418495</v>
      </c>
      <c r="L64" s="26">
        <v>2203129</v>
      </c>
      <c r="M64" s="26">
        <v>8682378</v>
      </c>
      <c r="N64" s="39">
        <f t="shared" si="36"/>
        <v>3.9409303767505217</v>
      </c>
      <c r="O64" s="26">
        <f t="shared" si="31"/>
        <v>1.1057542821730861E-2</v>
      </c>
      <c r="P64" s="47">
        <v>1.3625098866411762E-2</v>
      </c>
      <c r="Q64" s="26">
        <v>1822311</v>
      </c>
      <c r="R64" s="26">
        <v>6001450</v>
      </c>
      <c r="S64" s="39">
        <f t="shared" si="37"/>
        <v>3.2933182096799065</v>
      </c>
      <c r="T64" s="39">
        <f t="shared" si="32"/>
        <v>9.240459396074957E-3</v>
      </c>
      <c r="U64" s="39">
        <v>1.1920657861445982E-2</v>
      </c>
      <c r="V64" s="26">
        <v>185362</v>
      </c>
      <c r="W64" s="26">
        <v>447428</v>
      </c>
      <c r="X64" s="39">
        <f t="shared" si="38"/>
        <v>2.4138064975561333</v>
      </c>
      <c r="Y64" s="26">
        <f t="shared" si="33"/>
        <v>6.772707497590175E-3</v>
      </c>
      <c r="AA64" s="26">
        <v>290857</v>
      </c>
      <c r="AB64" s="26">
        <v>203484</v>
      </c>
      <c r="AC64" s="39">
        <f t="shared" si="39"/>
        <v>0.69960152239760431</v>
      </c>
      <c r="AD64" s="26">
        <f t="shared" si="34"/>
        <v>2.2537328104819165</v>
      </c>
      <c r="AE64" s="39">
        <v>1.4496570026163123</v>
      </c>
      <c r="AF64" s="26">
        <v>27725571</v>
      </c>
      <c r="AG64" s="26">
        <v>14277910</v>
      </c>
      <c r="AH64" s="39">
        <f t="shared" si="40"/>
        <v>0.51497262220496742</v>
      </c>
      <c r="AI64" s="39">
        <v>0.45656309448319604</v>
      </c>
      <c r="AL64" s="71">
        <v>6.3411540900443888E-2</v>
      </c>
      <c r="AM64" s="71">
        <v>0.30804692454026633</v>
      </c>
    </row>
    <row r="65" spans="1:39" x14ac:dyDescent="0.25">
      <c r="A65" s="26">
        <f t="shared" si="11"/>
        <v>1908</v>
      </c>
      <c r="B65" s="26">
        <v>25712273</v>
      </c>
      <c r="C65" s="26">
        <v>6366907</v>
      </c>
      <c r="D65" s="39">
        <f t="shared" si="35"/>
        <v>0.24762132075993437</v>
      </c>
      <c r="E65" s="26">
        <f t="shared" si="29"/>
        <v>6.7640705979122071</v>
      </c>
      <c r="F65" s="39">
        <v>5.3467874123002828</v>
      </c>
      <c r="G65" s="26">
        <f>1349547673*0.000984207</f>
        <v>1328234.266600311</v>
      </c>
      <c r="H65" s="26">
        <v>31669210</v>
      </c>
      <c r="I65" s="69">
        <f t="shared" si="41"/>
        <v>23.843090632693201</v>
      </c>
      <c r="J65" s="39">
        <f t="shared" si="30"/>
        <v>1.5057209114425767</v>
      </c>
      <c r="K65" s="39">
        <v>1.3410059063136457</v>
      </c>
      <c r="L65" s="26">
        <v>1109841</v>
      </c>
      <c r="M65" s="26">
        <v>4531633</v>
      </c>
      <c r="N65" s="39">
        <f t="shared" si="36"/>
        <v>4.0831371340579414</v>
      </c>
      <c r="O65" s="26">
        <f t="shared" si="31"/>
        <v>1.1409522241416436E-2</v>
      </c>
      <c r="P65" s="47">
        <v>1.3375062110731894E-2</v>
      </c>
      <c r="Q65" s="26">
        <v>1054639</v>
      </c>
      <c r="R65" s="26">
        <v>3449056</v>
      </c>
      <c r="S65" s="39">
        <f t="shared" si="37"/>
        <v>3.2703664476659786</v>
      </c>
      <c r="T65" s="39">
        <f t="shared" si="32"/>
        <v>9.1383946943618729E-3</v>
      </c>
      <c r="U65" s="39">
        <v>1.3131708386481433E-2</v>
      </c>
      <c r="V65" s="26">
        <v>138555</v>
      </c>
      <c r="W65" s="26">
        <v>368587</v>
      </c>
      <c r="X65" s="39">
        <f t="shared" si="38"/>
        <v>2.6602215726606762</v>
      </c>
      <c r="Y65" s="26">
        <f t="shared" si="33"/>
        <v>7.4334650548959708E-3</v>
      </c>
      <c r="AA65" s="26">
        <v>269255</v>
      </c>
      <c r="AB65" s="26">
        <v>181098</v>
      </c>
      <c r="AC65" s="39">
        <f t="shared" si="39"/>
        <v>0.67258918125940093</v>
      </c>
      <c r="AD65" s="26">
        <f t="shared" si="34"/>
        <v>2.1578198524215009</v>
      </c>
      <c r="AE65" s="39">
        <v>1.2672534003925762</v>
      </c>
      <c r="AF65" s="26">
        <v>27940432</v>
      </c>
      <c r="AG65" s="26">
        <v>13585176</v>
      </c>
      <c r="AH65" s="39">
        <f t="shared" si="40"/>
        <v>0.48621925387553061</v>
      </c>
      <c r="AI65" s="39">
        <v>0.49889485317335008</v>
      </c>
      <c r="AL65" s="71">
        <v>6.3151247237132932E-2</v>
      </c>
      <c r="AM65" s="71">
        <v>0.30726870855699395</v>
      </c>
    </row>
    <row r="66" spans="1:39" x14ac:dyDescent="0.25">
      <c r="A66" s="26">
        <f t="shared" si="11"/>
        <v>1909</v>
      </c>
      <c r="B66" s="26">
        <v>26524944</v>
      </c>
      <c r="C66" s="26">
        <v>7241588</v>
      </c>
      <c r="D66" s="39">
        <f t="shared" si="35"/>
        <v>0.27301049155843649</v>
      </c>
      <c r="E66" s="26">
        <f t="shared" si="29"/>
        <v>7.4687948267516786</v>
      </c>
      <c r="F66" s="39">
        <v>5.7322955890724776</v>
      </c>
      <c r="G66" s="26">
        <f>1298845574*0.000984207</f>
        <v>1278332.9058498179</v>
      </c>
      <c r="H66" s="26">
        <v>27709960</v>
      </c>
      <c r="I66" s="69">
        <f t="shared" si="41"/>
        <v>21.676638278804852</v>
      </c>
      <c r="J66" s="39">
        <f t="shared" si="30"/>
        <v>1.3689067432147048</v>
      </c>
      <c r="K66" s="39">
        <v>1.2991682837294292</v>
      </c>
      <c r="L66" s="26">
        <v>1085926</v>
      </c>
      <c r="M66" s="26">
        <v>4145166</v>
      </c>
      <c r="N66" s="39">
        <f t="shared" si="36"/>
        <v>3.8171717041492697</v>
      </c>
      <c r="O66" s="26">
        <f t="shared" si="31"/>
        <v>1.0666334249350378E-2</v>
      </c>
      <c r="P66" s="47">
        <v>1.270056715000337E-2</v>
      </c>
      <c r="Q66" s="26">
        <v>1226048</v>
      </c>
      <c r="R66" s="26">
        <v>3750082</v>
      </c>
      <c r="S66" s="39">
        <f t="shared" si="37"/>
        <v>3.0586747011536253</v>
      </c>
      <c r="T66" s="39">
        <f t="shared" si="32"/>
        <v>8.5468638172794802E-3</v>
      </c>
      <c r="U66" s="39">
        <v>1.4945544978395779E-2</v>
      </c>
      <c r="V66" s="26">
        <v>50716</v>
      </c>
      <c r="W66" s="26">
        <v>114117</v>
      </c>
      <c r="X66" s="39">
        <f t="shared" si="38"/>
        <v>2.2501183058600835</v>
      </c>
      <c r="Y66" s="26">
        <f t="shared" si="33"/>
        <v>6.2875122763791516E-3</v>
      </c>
      <c r="AA66" s="26">
        <v>394303</v>
      </c>
      <c r="AB66" s="26">
        <v>232682</v>
      </c>
      <c r="AC66" s="39">
        <f t="shared" si="39"/>
        <v>0.59010963649782022</v>
      </c>
      <c r="AD66" s="26">
        <f t="shared" si="34"/>
        <v>1.8932066173825837</v>
      </c>
      <c r="AE66" s="39">
        <v>1.1710063066918741</v>
      </c>
      <c r="AF66" s="26">
        <v>30606558</v>
      </c>
      <c r="AG66" s="26">
        <v>15118589</v>
      </c>
      <c r="AH66" s="39">
        <f t="shared" si="40"/>
        <v>0.49396567232421235</v>
      </c>
      <c r="AI66" s="39">
        <v>0.47994947900221024</v>
      </c>
      <c r="AL66" s="71">
        <v>6.3151247237132932E-2</v>
      </c>
      <c r="AM66" s="71">
        <v>0.30772971266182503</v>
      </c>
    </row>
    <row r="67" spans="1:39" x14ac:dyDescent="0.25">
      <c r="A67" s="26">
        <f t="shared" si="11"/>
        <v>1910</v>
      </c>
      <c r="B67" s="26">
        <v>40654763</v>
      </c>
      <c r="C67" s="26">
        <v>9637067</v>
      </c>
      <c r="D67" s="39">
        <f t="shared" si="35"/>
        <v>0.23704644398000796</v>
      </c>
      <c r="E67" s="26">
        <f t="shared" si="29"/>
        <v>6.9322928088985893</v>
      </c>
      <c r="F67" s="39">
        <v>5.8506038231009594</v>
      </c>
      <c r="G67" s="26">
        <f>1516372265*0.000984207</f>
        <v>1492424.1978188551</v>
      </c>
      <c r="H67" s="26">
        <v>34285541</v>
      </c>
      <c r="I67" s="69">
        <f t="shared" si="41"/>
        <v>22.973053539407601</v>
      </c>
      <c r="J67" s="39">
        <f t="shared" si="30"/>
        <v>1.5540183683560578</v>
      </c>
      <c r="K67" s="39">
        <v>1.558398859908072</v>
      </c>
      <c r="L67" s="26">
        <v>1400311</v>
      </c>
      <c r="M67" s="26">
        <v>5552562</v>
      </c>
      <c r="N67" s="39">
        <f t="shared" si="36"/>
        <v>3.9652348656834091</v>
      </c>
      <c r="O67" s="26">
        <f t="shared" si="31"/>
        <v>1.1868556461001331E-2</v>
      </c>
      <c r="P67" s="47">
        <v>1.3750650434220914E-2</v>
      </c>
      <c r="Q67" s="26">
        <v>1800588</v>
      </c>
      <c r="R67" s="26">
        <v>5681851</v>
      </c>
      <c r="S67" s="39">
        <f t="shared" si="37"/>
        <v>3.1555530748844265</v>
      </c>
      <c r="T67" s="39">
        <f t="shared" si="32"/>
        <v>9.4450546067458094E-3</v>
      </c>
      <c r="U67" s="39">
        <v>1.3163654925880029E-2</v>
      </c>
      <c r="V67" s="26">
        <v>123818</v>
      </c>
      <c r="W67" s="26">
        <v>285101</v>
      </c>
      <c r="X67" s="39">
        <f t="shared" si="38"/>
        <v>2.3025812079019206</v>
      </c>
      <c r="Y67" s="26">
        <f t="shared" si="33"/>
        <v>6.8919789111444099E-3</v>
      </c>
      <c r="AA67" s="26">
        <v>1893058</v>
      </c>
      <c r="AB67" s="26">
        <v>916318</v>
      </c>
      <c r="AC67" s="39">
        <f t="shared" si="39"/>
        <v>0.48404116514126877</v>
      </c>
      <c r="AD67" s="26">
        <f t="shared" si="34"/>
        <v>1.6634245067886277</v>
      </c>
      <c r="AE67" s="39">
        <v>1.6323582181256457</v>
      </c>
      <c r="AF67" s="26">
        <v>29176294</v>
      </c>
      <c r="AG67" s="26">
        <v>13455469</v>
      </c>
      <c r="AH67" s="39">
        <f t="shared" si="40"/>
        <v>0.46117814003382335</v>
      </c>
      <c r="AI67" s="39">
        <v>0.52763309206521003</v>
      </c>
      <c r="AL67" s="71">
        <v>6.7645268213488471E-2</v>
      </c>
      <c r="AM67" s="71">
        <v>0.32895893932219444</v>
      </c>
    </row>
    <row r="68" spans="1:39" x14ac:dyDescent="0.25">
      <c r="A68" s="26">
        <f t="shared" si="11"/>
        <v>1911</v>
      </c>
      <c r="B68" s="26">
        <v>46648261</v>
      </c>
      <c r="C68" s="26">
        <v>10280478</v>
      </c>
      <c r="D68" s="39">
        <f t="shared" si="35"/>
        <v>0.2203828777239949</v>
      </c>
      <c r="E68" s="26">
        <f t="shared" si="29"/>
        <v>6.394305647682315</v>
      </c>
      <c r="F68" s="39">
        <v>5.4621714953738243</v>
      </c>
      <c r="G68" s="26">
        <f>1664621951*0.000984207</f>
        <v>1638332.576527857</v>
      </c>
      <c r="H68" s="26">
        <v>40058774</v>
      </c>
      <c r="I68" s="69">
        <f t="shared" si="41"/>
        <v>24.450941508406775</v>
      </c>
      <c r="J68" s="39">
        <f t="shared" si="30"/>
        <v>1.6412230841996762</v>
      </c>
      <c r="K68" s="39">
        <v>1.6178371727757239</v>
      </c>
      <c r="L68" s="26">
        <v>1244953</v>
      </c>
      <c r="M68" s="26">
        <v>5121785</v>
      </c>
      <c r="N68" s="39">
        <f t="shared" si="36"/>
        <v>4.1140388432334394</v>
      </c>
      <c r="O68" s="26">
        <f t="shared" si="31"/>
        <v>1.2218896291933939E-2</v>
      </c>
      <c r="P68" s="47">
        <v>1.3827334726988749E-2</v>
      </c>
      <c r="Q68" s="26">
        <v>1622443</v>
      </c>
      <c r="R68" s="26">
        <v>5308178</v>
      </c>
      <c r="S68" s="39">
        <f t="shared" si="37"/>
        <v>3.2717192530030332</v>
      </c>
      <c r="T68" s="39">
        <f t="shared" si="32"/>
        <v>9.7171659704962266E-3</v>
      </c>
      <c r="U68" s="39">
        <v>1.356617982562365E-2</v>
      </c>
      <c r="V68" s="26">
        <v>290652</v>
      </c>
      <c r="W68" s="26">
        <v>708366</v>
      </c>
      <c r="X68" s="39">
        <f t="shared" si="38"/>
        <v>2.4371619668882376</v>
      </c>
      <c r="Y68" s="26">
        <f t="shared" si="33"/>
        <v>7.2384900713887987E-3</v>
      </c>
      <c r="AA68" s="26">
        <v>2542643</v>
      </c>
      <c r="AB68" s="26">
        <v>1306056</v>
      </c>
      <c r="AC68" s="39">
        <f t="shared" si="39"/>
        <v>0.51366078525376946</v>
      </c>
      <c r="AD68" s="26">
        <f t="shared" si="34"/>
        <v>1.7515874151360971</v>
      </c>
      <c r="AE68" s="39">
        <v>1.3981067230226709</v>
      </c>
      <c r="AF68" s="26">
        <v>24790221</v>
      </c>
      <c r="AG68" s="26">
        <v>13472804</v>
      </c>
      <c r="AH68" s="39">
        <f t="shared" si="40"/>
        <v>0.54347252491214182</v>
      </c>
      <c r="AI68" s="39">
        <v>0.52356020942408377</v>
      </c>
      <c r="AL68" s="71">
        <v>6.7123103772318435E-2</v>
      </c>
      <c r="AM68" s="71">
        <v>0.32637266747214394</v>
      </c>
    </row>
    <row r="69" spans="1:39" x14ac:dyDescent="0.25">
      <c r="A69" s="26">
        <f t="shared" si="11"/>
        <v>1912</v>
      </c>
      <c r="B69" s="26">
        <v>54840190</v>
      </c>
      <c r="C69" s="26">
        <v>12382716</v>
      </c>
      <c r="D69" s="39">
        <f t="shared" si="35"/>
        <v>0.22579637306143541</v>
      </c>
      <c r="E69" s="26">
        <f t="shared" si="29"/>
        <v>6.5750690873485924</v>
      </c>
      <c r="F69" s="39">
        <v>5.2414234752533986</v>
      </c>
      <c r="G69" s="26">
        <f>1750425042*0.000984207</f>
        <v>1722780.579311694</v>
      </c>
      <c r="H69" s="26">
        <v>47868162</v>
      </c>
      <c r="I69" s="69">
        <f t="shared" si="41"/>
        <v>27.785408411746122</v>
      </c>
      <c r="J69" s="39">
        <f t="shared" si="30"/>
        <v>1.8704414952370327</v>
      </c>
      <c r="K69" s="39">
        <v>1.8174845489549634</v>
      </c>
      <c r="L69" s="26">
        <v>639657</v>
      </c>
      <c r="M69" s="26">
        <v>2586344</v>
      </c>
      <c r="N69" s="39">
        <f t="shared" si="36"/>
        <v>4.0433294718888408</v>
      </c>
      <c r="O69" s="26">
        <f t="shared" si="31"/>
        <v>1.2043647506691055E-2</v>
      </c>
      <c r="P69" s="47">
        <v>1.4382734774305881E-2</v>
      </c>
      <c r="Q69" s="26">
        <v>1316659</v>
      </c>
      <c r="R69" s="26">
        <v>4050228</v>
      </c>
      <c r="S69" s="39">
        <f t="shared" si="37"/>
        <v>3.0761404433494168</v>
      </c>
      <c r="T69" s="39">
        <f t="shared" si="32"/>
        <v>9.1627336922088052E-3</v>
      </c>
      <c r="U69" s="39">
        <v>1.3386092203665691E-2</v>
      </c>
      <c r="V69" s="26">
        <v>311524</v>
      </c>
      <c r="W69" s="26">
        <v>733134</v>
      </c>
      <c r="X69" s="39">
        <f t="shared" si="38"/>
        <v>2.3533788728958283</v>
      </c>
      <c r="Y69" s="26">
        <f t="shared" si="33"/>
        <v>7.0098827691156941E-3</v>
      </c>
      <c r="AA69" s="26">
        <v>2749447</v>
      </c>
      <c r="AB69" s="26">
        <v>1389496</v>
      </c>
      <c r="AC69" s="39">
        <f t="shared" si="39"/>
        <v>0.5053728986228867</v>
      </c>
      <c r="AD69" s="26">
        <f t="shared" si="34"/>
        <v>1.7283140765876459</v>
      </c>
      <c r="AE69" s="39">
        <v>1.4705514941383706</v>
      </c>
      <c r="AF69" s="26">
        <v>21198431</v>
      </c>
      <c r="AG69" s="26">
        <v>12956368</v>
      </c>
      <c r="AH69" s="39">
        <f t="shared" si="40"/>
        <v>0.6111946681336935</v>
      </c>
      <c r="AI69" s="39">
        <v>0.78761359811511278</v>
      </c>
      <c r="AL69" s="71">
        <v>6.7317401548300237E-2</v>
      </c>
      <c r="AM69" s="71">
        <v>0.32755301245371926</v>
      </c>
    </row>
    <row r="70" spans="1:39" x14ac:dyDescent="0.25">
      <c r="A70" s="26">
        <f t="shared" si="11"/>
        <v>1913</v>
      </c>
      <c r="B70" s="26">
        <v>56929016</v>
      </c>
      <c r="C70" s="26">
        <v>12191812</v>
      </c>
      <c r="D70" s="39">
        <f t="shared" si="35"/>
        <v>0.2141581368629312</v>
      </c>
      <c r="E70" s="26">
        <f t="shared" si="29"/>
        <v>6.215486823743805</v>
      </c>
      <c r="F70" s="39">
        <v>5.3224943351079332</v>
      </c>
      <c r="G70" s="26">
        <f>1927387417*0.000984207</f>
        <v>1896948.1875233189</v>
      </c>
      <c r="H70" s="26">
        <v>51516619</v>
      </c>
      <c r="I70" s="69">
        <f t="shared" si="41"/>
        <v>27.157631051199555</v>
      </c>
      <c r="J70" s="39">
        <f t="shared" si="30"/>
        <v>1.8229044872600051</v>
      </c>
      <c r="K70" s="39">
        <v>1.7464675446811151</v>
      </c>
      <c r="L70" s="26">
        <v>299202</v>
      </c>
      <c r="M70" s="26">
        <v>1209177</v>
      </c>
      <c r="N70" s="39">
        <f t="shared" si="36"/>
        <v>4.0413399643050516</v>
      </c>
      <c r="O70" s="26">
        <f t="shared" si="31"/>
        <v>1.2002977070940958E-2</v>
      </c>
      <c r="P70" s="47">
        <v>1.6449213405693674E-2</v>
      </c>
      <c r="Q70" s="26">
        <v>1156895</v>
      </c>
      <c r="R70" s="26">
        <v>3654244</v>
      </c>
      <c r="S70" s="39">
        <f t="shared" si="37"/>
        <v>3.1586652202663164</v>
      </c>
      <c r="T70" s="39">
        <f t="shared" si="32"/>
        <v>9.3813899717676546E-3</v>
      </c>
      <c r="U70" s="39">
        <v>1.5580444510211254E-2</v>
      </c>
      <c r="V70" s="26">
        <v>220671</v>
      </c>
      <c r="W70" s="26">
        <v>541992</v>
      </c>
      <c r="X70" s="39">
        <f t="shared" si="38"/>
        <v>2.4561088679527443</v>
      </c>
      <c r="Y70" s="26">
        <f t="shared" si="33"/>
        <v>7.2947632929072385E-3</v>
      </c>
      <c r="AA70" s="26">
        <v>2607394</v>
      </c>
      <c r="AB70" s="26">
        <v>1440729</v>
      </c>
      <c r="AC70" s="39">
        <f t="shared" si="39"/>
        <v>0.5525551566046405</v>
      </c>
      <c r="AD70" s="26">
        <f t="shared" si="34"/>
        <v>1.8842175347278782</v>
      </c>
      <c r="AE70" s="39">
        <v>1.3469564770584268</v>
      </c>
      <c r="AF70" s="26">
        <v>13887483</v>
      </c>
      <c r="AG70" s="26">
        <v>10558228</v>
      </c>
      <c r="AH70" s="39">
        <f t="shared" si="40"/>
        <v>0.76026937350706392</v>
      </c>
      <c r="AI70" s="39">
        <v>0.724929520741039</v>
      </c>
      <c r="AL70" s="71">
        <v>6.7123103772318435E-2</v>
      </c>
      <c r="AM70" s="71">
        <v>0.32646663981742513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>
      <selection activeCell="Z19" sqref="Z19"/>
    </sheetView>
  </sheetViews>
  <sheetFormatPr defaultColWidth="8.85546875" defaultRowHeight="15" x14ac:dyDescent="0.25"/>
  <cols>
    <col min="1" max="1" width="11.42578125" style="1" customWidth="1"/>
    <col min="2" max="2" width="11.85546875" style="1" customWidth="1"/>
    <col min="3" max="3" width="11.42578125" style="1" bestFit="1" customWidth="1"/>
    <col min="4" max="5" width="8.85546875" style="1"/>
    <col min="6" max="6" width="12.28515625" style="1" customWidth="1"/>
    <col min="7" max="7" width="12.85546875" style="1" customWidth="1"/>
    <col min="8" max="8" width="10.42578125" style="1" bestFit="1" customWidth="1"/>
    <col min="12" max="12" width="11.28515625" customWidth="1"/>
    <col min="15" max="15" width="9.42578125" bestFit="1" customWidth="1"/>
  </cols>
  <sheetData>
    <row r="1" spans="1:16" ht="30" x14ac:dyDescent="0.25">
      <c r="A1" s="3"/>
      <c r="B1" s="72" t="s">
        <v>5</v>
      </c>
      <c r="C1" s="72"/>
      <c r="D1" s="72"/>
      <c r="F1" s="72" t="s">
        <v>6</v>
      </c>
      <c r="G1" s="72"/>
      <c r="H1" s="72"/>
      <c r="L1" s="72" t="s">
        <v>15</v>
      </c>
      <c r="M1" s="72"/>
      <c r="O1" s="8" t="s">
        <v>12</v>
      </c>
      <c r="P1" t="s">
        <v>14</v>
      </c>
    </row>
    <row r="2" spans="1:16" x14ac:dyDescent="0.25">
      <c r="A2" s="3" t="s">
        <v>0</v>
      </c>
      <c r="B2" s="3" t="s">
        <v>16</v>
      </c>
      <c r="C2" s="3" t="s">
        <v>2</v>
      </c>
      <c r="D2" s="3" t="s">
        <v>3</v>
      </c>
      <c r="F2" s="3" t="s">
        <v>143</v>
      </c>
      <c r="G2" s="3" t="s">
        <v>144</v>
      </c>
      <c r="H2" s="3" t="s">
        <v>10</v>
      </c>
      <c r="L2" t="s">
        <v>5</v>
      </c>
      <c r="M2" t="s">
        <v>6</v>
      </c>
      <c r="O2" s="9" t="s">
        <v>13</v>
      </c>
    </row>
    <row r="3" spans="1:16" x14ac:dyDescent="0.25">
      <c r="A3" s="3"/>
      <c r="B3" s="3" t="s">
        <v>11</v>
      </c>
      <c r="C3" s="3" t="s">
        <v>9</v>
      </c>
      <c r="D3" s="3" t="s">
        <v>4</v>
      </c>
      <c r="F3" s="3" t="s">
        <v>8</v>
      </c>
      <c r="G3" s="3" t="s">
        <v>9</v>
      </c>
      <c r="H3" s="3" t="s">
        <v>4</v>
      </c>
      <c r="L3" t="s">
        <v>11</v>
      </c>
      <c r="M3" t="s">
        <v>11</v>
      </c>
    </row>
    <row r="4" spans="1:16" x14ac:dyDescent="0.25">
      <c r="A4" s="3">
        <v>1821</v>
      </c>
      <c r="B4" s="10">
        <f>Sterling!B4/Dollars!O4</f>
        <v>19244822.723286197</v>
      </c>
      <c r="C4" s="10">
        <f>Sterling!C4/Dollars!O4</f>
        <v>12399117.859924175</v>
      </c>
      <c r="D4" s="6">
        <f>Sterling!D4</f>
        <v>1.552112250298739</v>
      </c>
      <c r="F4" s="10">
        <f>Sterling!F4/Dollars!O4</f>
        <v>24863475.552661937</v>
      </c>
      <c r="G4" s="10"/>
      <c r="H4" s="6"/>
      <c r="L4">
        <f>Sterling!L4/Dollars!O4</f>
        <v>20845139.200000003</v>
      </c>
      <c r="M4">
        <f>Sterling!M4/Dollars!O4</f>
        <v>22035876.800000001</v>
      </c>
      <c r="O4" s="2">
        <v>0.2074344507135745</v>
      </c>
    </row>
    <row r="5" spans="1:16" x14ac:dyDescent="0.25">
      <c r="A5" s="3">
        <f t="shared" ref="A5:A32" si="0">A4+1</f>
        <v>1822</v>
      </c>
      <c r="B5" s="10">
        <f>Sterling!B5/Dollars!O5</f>
        <v>21888195.813010186</v>
      </c>
      <c r="C5" s="10">
        <f>Sterling!C5/Dollars!O5</f>
        <v>14737331.388037156</v>
      </c>
      <c r="D5" s="6">
        <f>Sterling!D5</f>
        <v>1.4852211188504354</v>
      </c>
      <c r="F5" s="10">
        <f>Sterling!F5/Dollars!O5</f>
        <v>22713280.128767394</v>
      </c>
      <c r="G5" s="10"/>
      <c r="H5" s="6"/>
      <c r="L5">
        <f>Sterling!L5/Dollars!O5</f>
        <v>20060131</v>
      </c>
      <c r="M5">
        <f>Sterling!M5/Dollars!O5</f>
        <v>22847643</v>
      </c>
      <c r="O5" s="2">
        <v>0.20089599614279688</v>
      </c>
    </row>
    <row r="6" spans="1:16" x14ac:dyDescent="0.25">
      <c r="A6" s="3">
        <f t="shared" si="0"/>
        <v>1823</v>
      </c>
      <c r="B6" s="10">
        <f>Sterling!B6/Dollars!O6</f>
        <v>25554646.553870283</v>
      </c>
      <c r="C6" s="10">
        <f>Sterling!C6/Dollars!O6</f>
        <v>16107806.048074339</v>
      </c>
      <c r="D6" s="6">
        <f>Sterling!D6</f>
        <v>1.5864759283543335</v>
      </c>
      <c r="F6" s="10">
        <f>Sterling!F6/Dollars!O6</f>
        <v>18497946.098334461</v>
      </c>
      <c r="G6" s="10"/>
      <c r="H6" s="6"/>
      <c r="L6">
        <f>Sterling!L6/Dollars!O6</f>
        <v>20916221</v>
      </c>
      <c r="M6">
        <f>Sterling!M6/Dollars!O6</f>
        <v>19663551.5</v>
      </c>
      <c r="O6" s="2">
        <v>0.20835503698301905</v>
      </c>
    </row>
    <row r="7" spans="1:16" x14ac:dyDescent="0.25">
      <c r="A7" s="3">
        <f t="shared" si="0"/>
        <v>1824</v>
      </c>
      <c r="B7" s="10">
        <f>Sterling!B7/Dollars!O7</f>
        <v>23151114.96320729</v>
      </c>
      <c r="C7" s="10">
        <f>Sterling!C7/Dollars!O7</f>
        <v>18292325.574115947</v>
      </c>
      <c r="D7" s="6">
        <f>Sterling!D7</f>
        <v>1.2656190088791464</v>
      </c>
      <c r="F7" s="10">
        <f>Sterling!F7/Dollars!O7</f>
        <v>28524294.270665985</v>
      </c>
      <c r="G7" s="10"/>
      <c r="H7" s="6"/>
      <c r="L7">
        <f>Sterling!L7/Dollars!O7</f>
        <v>18743972.300000001</v>
      </c>
      <c r="M7">
        <f>Sterling!M7/Dollars!O7</f>
        <v>23543130.099999998</v>
      </c>
      <c r="O7" s="2">
        <v>0.20545271505762949</v>
      </c>
    </row>
    <row r="8" spans="1:16" x14ac:dyDescent="0.25">
      <c r="A8" s="3">
        <f t="shared" si="0"/>
        <v>1825</v>
      </c>
      <c r="B8" s="10">
        <f>Sterling!B8/Dollars!O8</f>
        <v>24395220.108862225</v>
      </c>
      <c r="C8" s="10">
        <f>Sterling!C8/Dollars!O8</f>
        <v>17446860.516810011</v>
      </c>
      <c r="D8" s="6">
        <f>Sterling!D8</f>
        <v>1.3982584480088829</v>
      </c>
      <c r="F8" s="10">
        <f>Sterling!F8/Dollars!O8</f>
        <v>32401892.096279223</v>
      </c>
      <c r="G8" s="10"/>
      <c r="H8" s="6"/>
      <c r="L8">
        <f>Sterling!L8/Dollars!O8</f>
        <v>22321949.000000004</v>
      </c>
      <c r="M8">
        <f>Sterling!M8/Dollars!O8</f>
        <v>23823923.500000004</v>
      </c>
      <c r="O8" s="2">
        <v>0.2070607723366808</v>
      </c>
    </row>
    <row r="9" spans="1:16" x14ac:dyDescent="0.25">
      <c r="A9" s="3">
        <f t="shared" si="0"/>
        <v>1826</v>
      </c>
      <c r="B9" s="10">
        <f>Sterling!B9/Dollars!O9</f>
        <v>18029160.813164443</v>
      </c>
      <c r="C9" s="10">
        <f>Sterling!C9/Dollars!O9</f>
        <v>16094353.558400324</v>
      </c>
      <c r="D9" s="6">
        <f>Sterling!D9</f>
        <v>1.1202165248665277</v>
      </c>
      <c r="F9" s="10">
        <f>Sterling!F9/Dollars!O9</f>
        <v>32228485.943082262</v>
      </c>
      <c r="G9" s="10"/>
      <c r="H9" s="6"/>
      <c r="L9">
        <f>Sterling!L9/Dollars!O9</f>
        <v>16330807.600000001</v>
      </c>
      <c r="M9">
        <f>Sterling!M9/Dollars!O9</f>
        <v>18377694</v>
      </c>
      <c r="O9" s="2">
        <v>0.20323550930818632</v>
      </c>
    </row>
    <row r="10" spans="1:16" x14ac:dyDescent="0.25">
      <c r="A10" s="3">
        <f t="shared" si="0"/>
        <v>1827</v>
      </c>
      <c r="B10" s="10">
        <f>Sterling!B10/Dollars!O10</f>
        <v>22780474.315248564</v>
      </c>
      <c r="C10" s="10">
        <f>Sterling!C10/Dollars!O10</f>
        <v>20031388.734109689</v>
      </c>
      <c r="D10" s="6">
        <f>Sterling!D10</f>
        <v>1.1372388913035121</v>
      </c>
      <c r="F10" s="10">
        <f>Sterling!F10/Dollars!O10</f>
        <v>28496209.260835115</v>
      </c>
      <c r="G10" s="10">
        <f>Sterling!G10/Dollars!O10</f>
        <v>17396475.141465031</v>
      </c>
      <c r="H10" s="6">
        <f>Sterling!H10</f>
        <v>1.6380450079173527</v>
      </c>
      <c r="L10">
        <f>Sterling!L10/Dollars!O10</f>
        <v>18074899.600000001</v>
      </c>
      <c r="M10">
        <f>Sterling!M10/Dollars!O10</f>
        <v>19516153.199999999</v>
      </c>
      <c r="O10" s="2">
        <v>0.20260140200170185</v>
      </c>
    </row>
    <row r="11" spans="1:16" x14ac:dyDescent="0.25">
      <c r="A11" s="3">
        <f t="shared" si="0"/>
        <v>1828</v>
      </c>
      <c r="B11" s="10">
        <f>Sterling!B11/Dollars!O11</f>
        <v>25409773.452527791</v>
      </c>
      <c r="C11" s="10">
        <f>Sterling!C11/Dollars!O11</f>
        <v>22754525.691510011</v>
      </c>
      <c r="D11" s="6">
        <f>Sterling!D11</f>
        <v>1.1166909737876227</v>
      </c>
      <c r="F11" s="10">
        <f>Sterling!F11/Dollars!O11</f>
        <v>39495794.207635827</v>
      </c>
      <c r="G11" s="10">
        <f>Sterling!G11/Dollars!O11</f>
        <v>23934470.358950056</v>
      </c>
      <c r="H11" s="6">
        <f>Sterling!H11</f>
        <v>1.6501637017786259</v>
      </c>
      <c r="L11">
        <f>Sterling!L11/Dollars!O11</f>
        <v>20413432.799999997</v>
      </c>
      <c r="M11">
        <f>Sterling!M11/Dollars!O11</f>
        <v>20305008</v>
      </c>
      <c r="O11" s="2">
        <v>0.20290560831101373</v>
      </c>
    </row>
    <row r="12" spans="1:16" x14ac:dyDescent="0.25">
      <c r="A12" s="3">
        <f t="shared" si="0"/>
        <v>1829</v>
      </c>
      <c r="B12" s="10">
        <f>Sterling!B12/Dollars!O12</f>
        <v>21349143.167538192</v>
      </c>
      <c r="C12" s="10">
        <f>Sterling!C12/Dollars!O12</f>
        <v>21598401.65733977</v>
      </c>
      <c r="D12" s="6">
        <f>Sterling!D12</f>
        <v>0.98845940112809816</v>
      </c>
      <c r="F12" s="10">
        <f>Sterling!F12/Dollars!O12</f>
        <v>30163286.760210402</v>
      </c>
      <c r="G12" s="10">
        <f>Sterling!G12/Dollars!O12</f>
        <v>18679882.917231373</v>
      </c>
      <c r="H12" s="6">
        <f>Sterling!H12</f>
        <v>1.6147470995327327</v>
      </c>
      <c r="L12">
        <f>Sterling!L12/Dollars!O12</f>
        <v>16730142</v>
      </c>
      <c r="M12">
        <f>Sterling!M12/Dollars!O12</f>
        <v>17794920</v>
      </c>
      <c r="O12" s="2">
        <v>0.20567667626491157</v>
      </c>
    </row>
    <row r="13" spans="1:16" x14ac:dyDescent="0.25">
      <c r="A13" s="3">
        <f t="shared" si="0"/>
        <v>1830</v>
      </c>
      <c r="B13" s="10">
        <f>Sterling!B13/Dollars!O13</f>
        <v>22268081.369319148</v>
      </c>
      <c r="C13" s="10">
        <f>Sterling!C13/Dollars!O13</f>
        <v>23180967.608088277</v>
      </c>
      <c r="D13" s="6">
        <f>Sterling!D13</f>
        <v>0.96061914868253351</v>
      </c>
      <c r="F13" s="10">
        <f>Sterling!F13/Dollars!O13</f>
        <v>27408875.857115474</v>
      </c>
      <c r="G13" s="10">
        <f>Sterling!G13/Dollars!O13</f>
        <v>16940896.896401796</v>
      </c>
      <c r="H13" s="6">
        <f>Sterling!H13</f>
        <v>1.6179117330521651</v>
      </c>
      <c r="L13">
        <f>Sterling!L13/Dollars!O13</f>
        <v>15941836.799999999</v>
      </c>
      <c r="M13">
        <f>Sterling!M13/Dollars!O13</f>
        <v>19079731.199999999</v>
      </c>
      <c r="O13" s="2">
        <v>0.21001344086021506</v>
      </c>
    </row>
    <row r="14" spans="1:16" x14ac:dyDescent="0.25">
      <c r="A14" s="3">
        <f t="shared" si="0"/>
        <v>1831</v>
      </c>
      <c r="B14" s="10">
        <f>Sterling!B14/Dollars!O14</f>
        <v>23568060.971311565</v>
      </c>
      <c r="C14" s="10">
        <f>Sterling!C14/Dollars!O14</f>
        <v>25363394.606007814</v>
      </c>
      <c r="D14" s="6">
        <f>Sterling!D14</f>
        <v>0.92921556193148569</v>
      </c>
      <c r="F14" s="10">
        <f>Sterling!F14/Dollars!O14</f>
        <v>15985624.836405966</v>
      </c>
      <c r="G14" s="10">
        <f>Sterling!G14/Dollars!O14</f>
        <v>10686956.518667376</v>
      </c>
      <c r="H14" s="6">
        <f>Sterling!H14</f>
        <v>1.4958070437063327</v>
      </c>
      <c r="L14">
        <f>Sterling!L14/Dollars!O14</f>
        <v>16393117.300000001</v>
      </c>
      <c r="M14">
        <f>Sterling!M14/Dollars!O14</f>
        <v>16927728.300000001</v>
      </c>
      <c r="O14" s="2">
        <v>0.20575708318758873</v>
      </c>
    </row>
    <row r="15" spans="1:16" x14ac:dyDescent="0.25">
      <c r="A15" s="3">
        <f t="shared" si="0"/>
        <v>1832</v>
      </c>
      <c r="B15" s="10">
        <f>Sterling!B15/Dollars!O15</f>
        <v>29282125.853266146</v>
      </c>
      <c r="C15" s="10">
        <f>Sterling!C15/Dollars!O15</f>
        <v>28379418.406138584</v>
      </c>
      <c r="D15" s="6">
        <f>Sterling!D15</f>
        <v>1.031808525256187</v>
      </c>
      <c r="F15" s="10">
        <f>Sterling!F15/Dollars!O15</f>
        <v>25439200.932345301</v>
      </c>
      <c r="G15" s="10">
        <f>Sterling!G15/Dollars!O15</f>
        <v>20396519.611176122</v>
      </c>
      <c r="H15" s="6">
        <f>Sterling!H15</f>
        <v>1.2472324404996076</v>
      </c>
      <c r="L15">
        <f>Sterling!L15/Dollars!O15</f>
        <v>22719462.900000002</v>
      </c>
      <c r="M15">
        <f>Sterling!M15/Dollars!O15</f>
        <v>22952632.500000004</v>
      </c>
      <c r="O15" s="2">
        <v>0.20585873973279534</v>
      </c>
    </row>
    <row r="16" spans="1:16" x14ac:dyDescent="0.25">
      <c r="A16" s="3">
        <f t="shared" si="0"/>
        <v>1833</v>
      </c>
      <c r="B16" s="10">
        <f>Sterling!B16/Dollars!O16</f>
        <v>38865820.939925671</v>
      </c>
      <c r="C16" s="10">
        <f>Sterling!C16/Dollars!O16</f>
        <v>35929576.213350281</v>
      </c>
      <c r="D16" s="6">
        <f>Sterling!D16</f>
        <v>1.0817222198541929</v>
      </c>
      <c r="F16" s="10">
        <f>Sterling!F16/Dollars!O16</f>
        <v>33531760.797295097</v>
      </c>
      <c r="G16" s="10">
        <f>Sterling!G16/Dollars!O16</f>
        <v>25398972.066139314</v>
      </c>
      <c r="H16" s="6">
        <f>Sterling!H16</f>
        <v>1.3202014912248368</v>
      </c>
      <c r="L16">
        <f>Sterling!L16/Dollars!O16</f>
        <v>29101388.800000004</v>
      </c>
      <c r="M16">
        <f>Sterling!M16/Dollars!O16</f>
        <v>27090764.800000004</v>
      </c>
      <c r="O16" s="2">
        <v>0.20889037433155078</v>
      </c>
    </row>
    <row r="17" spans="1:15" x14ac:dyDescent="0.25">
      <c r="A17" s="3">
        <f t="shared" si="0"/>
        <v>1834</v>
      </c>
      <c r="B17" s="10">
        <f>Sterling!B17/Dollars!O17</f>
        <v>35075759.844758041</v>
      </c>
      <c r="C17" s="10">
        <f>Sterling!C17/Dollars!O17</f>
        <v>33133328.405889839</v>
      </c>
      <c r="D17" s="6">
        <f>Sterling!D17</f>
        <v>1.058624700032337</v>
      </c>
      <c r="F17" s="10">
        <f>Sterling!F17/Dollars!O17</f>
        <v>29720562.943938624</v>
      </c>
      <c r="G17" s="10">
        <f>Sterling!G17/Dollars!O17</f>
        <v>23524536.718658991</v>
      </c>
      <c r="H17" s="6">
        <f>Sterling!H17</f>
        <v>1.2633856853115037</v>
      </c>
      <c r="L17">
        <f>Sterling!L17/Dollars!O17</f>
        <v>25417336</v>
      </c>
      <c r="M17">
        <f>Sterling!M17/Dollars!O17</f>
        <v>26801838.699999999</v>
      </c>
      <c r="O17" s="2">
        <v>0.21560087965158897</v>
      </c>
    </row>
    <row r="18" spans="1:15" x14ac:dyDescent="0.25">
      <c r="A18" s="3">
        <f t="shared" si="0"/>
        <v>1835</v>
      </c>
      <c r="B18" s="10">
        <f>Sterling!B18/Dollars!O18</f>
        <v>43094279.02257511</v>
      </c>
      <c r="C18" s="10">
        <f>Sterling!C18/Dollars!O18</f>
        <v>38448531.766683005</v>
      </c>
      <c r="D18" s="6">
        <f>Sterling!D18</f>
        <v>1.1208302903237988</v>
      </c>
      <c r="F18" s="10">
        <f>Sterling!F18/Dollars!O18</f>
        <v>36432384.644015439</v>
      </c>
      <c r="G18" s="10">
        <f>Sterling!G18/Dollars!O18</f>
        <v>26888336.921671368</v>
      </c>
      <c r="H18" s="6">
        <f>Sterling!H18</f>
        <v>1.3549512098924867</v>
      </c>
      <c r="L18">
        <f>Sterling!L18/Dollars!O18</f>
        <v>29350989.599999998</v>
      </c>
      <c r="M18">
        <f>Sterling!M18/Dollars!O18</f>
        <v>30655585.799999997</v>
      </c>
      <c r="O18" s="2">
        <v>0.20619406985855088</v>
      </c>
    </row>
    <row r="19" spans="1:15" x14ac:dyDescent="0.25">
      <c r="A19" s="3">
        <f t="shared" si="0"/>
        <v>1836</v>
      </c>
      <c r="B19" s="10">
        <f>Sterling!B19/Dollars!O19</f>
        <v>44128363.509369887</v>
      </c>
      <c r="C19" s="10">
        <f>Sterling!C19/Dollars!O19</f>
        <v>38442765.5967457</v>
      </c>
      <c r="D19" s="6">
        <f>Sterling!D19</f>
        <v>1.1478977337963814</v>
      </c>
      <c r="F19" s="10">
        <f>Sterling!F19/Dollars!O19</f>
        <v>43574456.353637114</v>
      </c>
      <c r="G19" s="10">
        <f>Sterling!G19/Dollars!O19</f>
        <v>32024690.324759137</v>
      </c>
      <c r="H19" s="6">
        <f>Sterling!H19</f>
        <v>1.3606519192458373</v>
      </c>
      <c r="L19">
        <f>Sterling!L19/Dollars!O19</f>
        <v>29510779.800000001</v>
      </c>
      <c r="M19">
        <f>Sterling!M19/Dollars!O19</f>
        <v>33709056.75</v>
      </c>
      <c r="O19" s="2">
        <v>0.20758516181263362</v>
      </c>
    </row>
    <row r="20" spans="1:15" x14ac:dyDescent="0.25">
      <c r="A20" s="3">
        <f t="shared" si="0"/>
        <v>1837</v>
      </c>
      <c r="B20" s="10">
        <f>Sterling!B20/Dollars!O20</f>
        <v>36136154.233219363</v>
      </c>
      <c r="C20" s="10">
        <f>Sterling!C20/Dollars!O20</f>
        <v>38088614.780137978</v>
      </c>
      <c r="D20" s="6">
        <f>Sterling!D20</f>
        <v>0.94873899830201314</v>
      </c>
      <c r="F20" s="10">
        <f>Sterling!F20/Dollars!O20</f>
        <v>36168301.600900225</v>
      </c>
      <c r="G20" s="10">
        <f>Sterling!G20/Dollars!O20</f>
        <v>28587957.467413723</v>
      </c>
      <c r="H20" s="6">
        <f>Sterling!H20</f>
        <v>1.2651586473824523</v>
      </c>
      <c r="L20">
        <f>Sterling!L20/Dollars!O20</f>
        <v>24485546.25</v>
      </c>
      <c r="M20">
        <f>Sterling!M20/Dollars!O20</f>
        <v>31307339.25</v>
      </c>
      <c r="O20" s="2">
        <v>0.19613611846621556</v>
      </c>
    </row>
    <row r="21" spans="1:15" x14ac:dyDescent="0.25">
      <c r="A21" s="3">
        <f t="shared" si="0"/>
        <v>1838</v>
      </c>
      <c r="B21" s="10">
        <f>Sterling!B21/Dollars!O21</f>
        <v>36333426.556451969</v>
      </c>
      <c r="C21" s="10">
        <f>Sterling!C21/Dollars!O21</f>
        <v>37762057.069359437</v>
      </c>
      <c r="D21" s="6">
        <f>Sterling!D21</f>
        <v>0.9621675664997954</v>
      </c>
      <c r="F21" s="10">
        <f>Sterling!F21/Dollars!O21</f>
        <v>32608832.086157616</v>
      </c>
      <c r="G21" s="10">
        <f>Sterling!G21/Dollars!O21</f>
        <v>26259506.278289139</v>
      </c>
      <c r="H21" s="6">
        <f>Sterling!H21</f>
        <v>1.2417915150643171</v>
      </c>
      <c r="L21">
        <f>Sterling!L21/Dollars!O21</f>
        <v>21968804.800000001</v>
      </c>
      <c r="M21">
        <f>Sterling!M21/Dollars!O21</f>
        <v>26388463.150000002</v>
      </c>
      <c r="O21" s="2">
        <v>0.20465382804985366</v>
      </c>
    </row>
    <row r="22" spans="1:15" x14ac:dyDescent="0.25">
      <c r="A22" s="3">
        <f t="shared" si="0"/>
        <v>1839</v>
      </c>
      <c r="B22" s="10">
        <f>Sterling!B22/Dollars!O22</f>
        <v>40396898.827995695</v>
      </c>
      <c r="C22" s="10">
        <f>Sterling!C22/Dollars!O22</f>
        <v>41091804.817425683</v>
      </c>
      <c r="D22" s="6">
        <f>Sterling!D22</f>
        <v>0.98308893969205013</v>
      </c>
      <c r="F22" s="10">
        <f>Sterling!F22/Dollars!O22</f>
        <v>32296452.301138878</v>
      </c>
      <c r="G22" s="10">
        <f>Sterling!G22/Dollars!O22</f>
        <v>26132774.896642376</v>
      </c>
      <c r="H22" s="6">
        <f>Sterling!H22</f>
        <v>1.2358600427575883</v>
      </c>
      <c r="L22">
        <f>Sterling!L22/Dollars!O22</f>
        <v>26295729.749999996</v>
      </c>
      <c r="M22">
        <f>Sterling!M22/Dollars!O22</f>
        <v>31591760.999999996</v>
      </c>
      <c r="O22" s="2">
        <v>0.20062192797672787</v>
      </c>
    </row>
    <row r="23" spans="1:15" x14ac:dyDescent="0.25">
      <c r="A23" s="3">
        <f t="shared" si="0"/>
        <v>1840</v>
      </c>
      <c r="B23" s="10">
        <f>Sterling!B23/Dollars!O23</f>
        <v>43602859.272894815</v>
      </c>
      <c r="C23" s="10">
        <f>Sterling!C23/Dollars!O23</f>
        <v>42812155.652976394</v>
      </c>
      <c r="D23" s="6">
        <f>Sterling!D23</f>
        <v>1.0184691382122322</v>
      </c>
      <c r="F23" s="10">
        <f>Sterling!F23/Dollars!O23</f>
        <v>36206708.099580936</v>
      </c>
      <c r="G23" s="10">
        <f>Sterling!G23/Dollars!O23</f>
        <v>31463048.392225415</v>
      </c>
      <c r="H23" s="6">
        <f>Sterling!H23</f>
        <v>1.1507692340621289</v>
      </c>
      <c r="L23">
        <f>Sterling!L23/Dollars!O23</f>
        <v>27681660.800000001</v>
      </c>
      <c r="M23">
        <f>Sterling!M23/Dollars!O23</f>
        <v>35887153.100000001</v>
      </c>
      <c r="O23" s="2">
        <v>0.19998800071995679</v>
      </c>
    </row>
    <row r="24" spans="1:15" x14ac:dyDescent="0.25">
      <c r="A24" s="3">
        <f t="shared" si="0"/>
        <v>1841</v>
      </c>
      <c r="B24" s="10">
        <f>Sterling!B24/Dollars!O24</f>
        <v>41604383.330835767</v>
      </c>
      <c r="C24" s="10">
        <f>Sterling!C24/Dollars!O24</f>
        <v>42892072.657277264</v>
      </c>
      <c r="D24" s="6">
        <f>Sterling!D24</f>
        <v>0.96997838419396087</v>
      </c>
      <c r="F24" s="10">
        <f>Sterling!F24/Dollars!O24</f>
        <v>31711676.909995593</v>
      </c>
      <c r="G24" s="10">
        <f>Sterling!G24/Dollars!O24</f>
        <v>28657578.366691496</v>
      </c>
      <c r="H24" s="6">
        <f>Sterling!H24</f>
        <v>1.1065721082299771</v>
      </c>
      <c r="L24">
        <f>Sterling!L24/Dollars!O24</f>
        <v>25744788</v>
      </c>
      <c r="M24">
        <f>Sterling!M24/Dollars!O24</f>
        <v>36262232.399999999</v>
      </c>
      <c r="O24" s="2">
        <v>0.20042891788427233</v>
      </c>
    </row>
    <row r="25" spans="1:15" x14ac:dyDescent="0.25">
      <c r="A25" s="3">
        <f t="shared" si="0"/>
        <v>1842</v>
      </c>
      <c r="B25" s="10">
        <f>Sterling!B25/Dollars!O25</f>
        <v>36299815.603240773</v>
      </c>
      <c r="C25" s="10">
        <f>Sterling!C25/Dollars!O25</f>
        <v>42855920.791806132</v>
      </c>
      <c r="D25" s="6">
        <f>Sterling!D25</f>
        <v>0.84701985005957781</v>
      </c>
      <c r="F25" s="10">
        <f>Sterling!F25/Dollars!O25</f>
        <v>25466820.280983537</v>
      </c>
      <c r="G25" s="10">
        <f>Sterling!G25/Dollars!O25</f>
        <v>24411367.515269946</v>
      </c>
      <c r="H25" s="6">
        <f>Sterling!H25</f>
        <v>1.043236117970588</v>
      </c>
      <c r="L25">
        <f>Sterling!L25/Dollars!O25</f>
        <v>22834672</v>
      </c>
      <c r="M25">
        <f>Sterling!M25/Dollars!O25</f>
        <v>30543772.400000002</v>
      </c>
      <c r="O25" s="2">
        <v>0.20845493204369214</v>
      </c>
    </row>
    <row r="26" spans="1:15" x14ac:dyDescent="0.25">
      <c r="A26" s="3">
        <f t="shared" si="0"/>
        <v>1843</v>
      </c>
      <c r="B26" s="10">
        <f>Sterling!B26/Dollars!O26</f>
        <v>37550532.067897774</v>
      </c>
      <c r="C26" s="10">
        <f>Sterling!C26/Dollars!O26</f>
        <v>46795774.103257775</v>
      </c>
      <c r="D26" s="6">
        <f>Sterling!D26</f>
        <v>0.80243425367940702</v>
      </c>
      <c r="F26" s="10">
        <f>Sterling!F26/Dollars!O26</f>
        <v>26229815.097931709</v>
      </c>
      <c r="G26" s="10">
        <f>Sterling!G26/Dollars!O26</f>
        <v>27782182.304634407</v>
      </c>
      <c r="H26" s="6">
        <f>Sterling!H26</f>
        <v>0.94412364048004449</v>
      </c>
      <c r="L26">
        <f>Sterling!L26/Dollars!O26</f>
        <v>22244118.799999997</v>
      </c>
      <c r="M26">
        <f>Sterling!M26/Dollars!O26</f>
        <v>27769240</v>
      </c>
      <c r="O26" s="2">
        <v>0.20886419649943608</v>
      </c>
    </row>
    <row r="27" spans="1:15" x14ac:dyDescent="0.25">
      <c r="A27" s="3">
        <f t="shared" si="0"/>
        <v>1844</v>
      </c>
      <c r="B27" s="10">
        <f>Sterling!B27/Dollars!O27</f>
        <v>40422031.086392611</v>
      </c>
      <c r="C27" s="10">
        <f>Sterling!C27/Dollars!O27</f>
        <v>51703732.352270193</v>
      </c>
      <c r="D27" s="6">
        <f>Sterling!D27</f>
        <v>0.78180102765091319</v>
      </c>
      <c r="F27" s="10">
        <f>Sterling!F27/Dollars!O27</f>
        <v>31804661.97042831</v>
      </c>
      <c r="G27" s="10">
        <f>Sterling!G27/Dollars!O27</f>
        <v>33843229.780944936</v>
      </c>
      <c r="H27" s="6">
        <f>Sterling!H27</f>
        <v>0.93976438349083291</v>
      </c>
      <c r="L27">
        <f>Sterling!L27/Dollars!O27</f>
        <v>23444657.75</v>
      </c>
      <c r="M27">
        <f>Sterling!M27/Dollars!O27</f>
        <v>28532554.25</v>
      </c>
      <c r="O27" s="2">
        <v>0.20578248791027884</v>
      </c>
    </row>
    <row r="28" spans="1:15" x14ac:dyDescent="0.25">
      <c r="A28" s="3">
        <f t="shared" si="0"/>
        <v>1845</v>
      </c>
      <c r="B28" s="10">
        <f>Sterling!B28/Dollars!O28</f>
        <v>43574047.871527523</v>
      </c>
      <c r="C28" s="10">
        <f>Sterling!C28/Dollars!O28</f>
        <v>54905240.182524025</v>
      </c>
      <c r="D28" s="6">
        <f>Sterling!D28</f>
        <v>0.79362275306823726</v>
      </c>
      <c r="F28" s="10">
        <f>Sterling!F28/Dollars!O28</f>
        <v>33439479.774197336</v>
      </c>
      <c r="G28" s="10">
        <f>Sterling!G28/Dollars!O28</f>
        <v>34403817.205536604</v>
      </c>
      <c r="H28" s="6">
        <f>Sterling!H28</f>
        <v>0.97197004548715971</v>
      </c>
      <c r="L28">
        <f>Sterling!L28/Dollars!O28</f>
        <v>25881216.899999999</v>
      </c>
      <c r="M28">
        <f>Sterling!M28/Dollars!O28</f>
        <v>27598350.149999999</v>
      </c>
      <c r="O28" s="2">
        <v>0.20528401042842775</v>
      </c>
    </row>
    <row r="29" spans="1:15" x14ac:dyDescent="0.25">
      <c r="A29" s="3">
        <f t="shared" si="0"/>
        <v>1846</v>
      </c>
      <c r="B29" s="10">
        <f>Sterling!B29/Dollars!O29</f>
        <v>44385554.983270861</v>
      </c>
      <c r="C29" s="10">
        <f>Sterling!C29/Dollars!O29</f>
        <v>60321138.237404622</v>
      </c>
      <c r="D29" s="6">
        <f>Sterling!D29</f>
        <v>0.73582091253954096</v>
      </c>
      <c r="F29" s="10">
        <f>Sterling!F29/Dollars!O29</f>
        <v>49589234.213300459</v>
      </c>
      <c r="G29" s="10">
        <f>Sterling!G29/Dollars!O29</f>
        <v>51726507.819083534</v>
      </c>
      <c r="H29" s="6">
        <f>Sterling!H29</f>
        <v>0.95868127008963555</v>
      </c>
      <c r="L29">
        <f>Sterling!L29/Dollars!O29</f>
        <v>27859981.5</v>
      </c>
      <c r="M29">
        <f>Sterling!M29/Dollars!O29</f>
        <v>28380098.699999999</v>
      </c>
      <c r="O29" s="2">
        <v>0.20764550758944331</v>
      </c>
    </row>
    <row r="30" spans="1:15" x14ac:dyDescent="0.25">
      <c r="A30" s="3">
        <f t="shared" si="0"/>
        <v>1847</v>
      </c>
      <c r="B30" s="10">
        <f>Sterling!B30/Dollars!O30</f>
        <v>46699765.574732006</v>
      </c>
      <c r="C30" s="10">
        <f>Sterling!C30/Dollars!O30</f>
        <v>67196128.460674107</v>
      </c>
      <c r="D30" s="6">
        <f>Sterling!D30</f>
        <v>0.69497702686937679</v>
      </c>
      <c r="F30" s="10">
        <f>Sterling!F30/Dollars!O30</f>
        <v>32883459.238994241</v>
      </c>
      <c r="G30" s="10">
        <f>Sterling!G30/Dollars!O30</f>
        <v>31436372.326331139</v>
      </c>
      <c r="H30" s="6">
        <f>Sterling!H30</f>
        <v>1.046032248811706</v>
      </c>
      <c r="L30">
        <f>Sterling!L30/Dollars!O30</f>
        <v>30306271.5</v>
      </c>
      <c r="M30">
        <f>Sterling!M30/Dollars!O30</f>
        <v>28233126</v>
      </c>
      <c r="O30" s="2">
        <v>0.20862018608920599</v>
      </c>
    </row>
    <row r="31" spans="1:15" x14ac:dyDescent="0.25">
      <c r="A31" s="3">
        <f t="shared" si="0"/>
        <v>1848</v>
      </c>
      <c r="B31" s="10">
        <f>Sterling!B31/Dollars!O31</f>
        <v>40760823.841432042</v>
      </c>
      <c r="C31" s="10">
        <f>Sterling!C31/Dollars!O31</f>
        <v>70605463.980066642</v>
      </c>
      <c r="D31" s="6">
        <f>Sterling!D31</f>
        <v>0.57730410004726618</v>
      </c>
      <c r="F31" s="10">
        <f>Sterling!F31/Dollars!O31</f>
        <v>25503323.806373689</v>
      </c>
      <c r="G31" s="10">
        <f>Sterling!G31/Dollars!O31</f>
        <v>27065723.246251434</v>
      </c>
      <c r="H31" s="6">
        <f>Sterling!H31</f>
        <v>0.94227387069384394</v>
      </c>
      <c r="L31">
        <f>Sterling!L31/Dollars!O31</f>
        <v>30732406.250000004</v>
      </c>
      <c r="M31">
        <f>Sterling!M31/Dollars!O31</f>
        <v>26533325</v>
      </c>
      <c r="O31" s="2">
        <v>0.20540207456095305</v>
      </c>
    </row>
    <row r="32" spans="1:15" x14ac:dyDescent="0.25">
      <c r="A32" s="3">
        <f t="shared" si="0"/>
        <v>1849</v>
      </c>
      <c r="B32" s="10">
        <f>Sterling!B32/Dollars!O32</f>
        <v>41473164.372980788</v>
      </c>
      <c r="C32" s="10">
        <f>Sterling!C32/Dollars!O32</f>
        <v>60420307.828741029</v>
      </c>
      <c r="D32" s="6">
        <f>Sterling!D32</f>
        <v>0.68641100754625139</v>
      </c>
      <c r="F32" s="10">
        <f>Sterling!F32/Dollars!O32</f>
        <v>28874464.389926344</v>
      </c>
      <c r="G32" s="10">
        <f>Sterling!G32/Dollars!O32</f>
        <v>32205387.247322351</v>
      </c>
      <c r="H32" s="6">
        <f>Sterling!H32</f>
        <v>0.89657249478740708</v>
      </c>
      <c r="L32">
        <f>Sterling!L32/Dollars!O32</f>
        <v>28394789.150000002</v>
      </c>
      <c r="M32">
        <f>Sterling!M32/Dollars!O32</f>
        <v>28286476.400000002</v>
      </c>
      <c r="O32" s="2">
        <v>0.20773177672988635</v>
      </c>
    </row>
    <row r="33" spans="1:15" x14ac:dyDescent="0.25">
      <c r="A33" s="3">
        <v>1850</v>
      </c>
      <c r="B33" s="10">
        <f>Sterling!B33/Dollars!O33</f>
        <v>52725280.497797877</v>
      </c>
      <c r="C33" s="10">
        <f>Sterling!C33/Dollars!O33</f>
        <v>65177988.44722075</v>
      </c>
      <c r="D33" s="6">
        <f>Sterling!D33</f>
        <v>0.80894304586422283</v>
      </c>
      <c r="F33" s="10">
        <f>Sterling!F33/Dollars!O33</f>
        <v>31920604.624106053</v>
      </c>
      <c r="G33" s="10">
        <f>Sterling!G33/Dollars!O33</f>
        <v>34347164.076728329</v>
      </c>
      <c r="H33" s="6">
        <f>Sterling!H33</f>
        <v>0.92935197074199283</v>
      </c>
      <c r="L33">
        <f>Sterling!L33/Dollars!O33</f>
        <v>34220460.299999997</v>
      </c>
      <c r="M33">
        <f>Sterling!M33/Dollars!O33</f>
        <v>37970514.299999997</v>
      </c>
      <c r="O33" s="2">
        <v>0.20533037657591066</v>
      </c>
    </row>
    <row r="34" spans="1:15" x14ac:dyDescent="0.25">
      <c r="A34" s="3">
        <v>1851</v>
      </c>
      <c r="B34" s="10">
        <f>Sterling!B34/Dollars!O34</f>
        <v>49907272.122842431</v>
      </c>
      <c r="C34" s="10">
        <f>Sterling!C34/Dollars!O34</f>
        <v>74454250.51475504</v>
      </c>
      <c r="D34" s="6">
        <f>Sterling!D34</f>
        <v>0.67030789750481756</v>
      </c>
      <c r="F34" s="10">
        <f>Sterling!F34/Dollars!O34</f>
        <v>45856291.040062033</v>
      </c>
      <c r="G34" s="10">
        <f>Sterling!G34/Dollars!O34</f>
        <v>50589886.11408481</v>
      </c>
      <c r="H34" s="6">
        <f>Sterling!H34</f>
        <v>0.90643198794027557</v>
      </c>
      <c r="L34">
        <f>Sterling!L34/Dollars!O34</f>
        <v>39802695.399999999</v>
      </c>
      <c r="M34">
        <f>Sterling!M34/Dollars!O34</f>
        <v>50303591.649999999</v>
      </c>
      <c r="O34" s="2">
        <v>0.203554053778981</v>
      </c>
    </row>
    <row r="35" spans="1:15" x14ac:dyDescent="0.25">
      <c r="A35" s="3">
        <v>1852</v>
      </c>
      <c r="B35" s="10">
        <f>Sterling!B35/Dollars!O35</f>
        <v>52053145.228308663</v>
      </c>
      <c r="C35" s="10">
        <f>Sterling!C35/Dollars!O35</f>
        <v>76472895.086098999</v>
      </c>
      <c r="D35" s="6">
        <f>Sterling!D35</f>
        <v>0.68067444248976416</v>
      </c>
      <c r="F35" s="10">
        <f>Sterling!F35/Dollars!O35</f>
        <v>43109878.663094454</v>
      </c>
      <c r="G35" s="10">
        <f>Sterling!G35/Dollars!O35</f>
        <v>48182891.928411134</v>
      </c>
      <c r="H35" s="6">
        <f>Sterling!H35</f>
        <v>0.89471339178117348</v>
      </c>
      <c r="L35">
        <f>Sterling!L35/Dollars!O35</f>
        <v>40442300.899999999</v>
      </c>
      <c r="M35">
        <f>Sterling!M35/Dollars!O35</f>
        <v>52071821.399999991</v>
      </c>
      <c r="O35" s="2">
        <v>0.20400669141947858</v>
      </c>
    </row>
    <row r="36" spans="1:15" x14ac:dyDescent="0.25">
      <c r="A36" s="3">
        <v>1853</v>
      </c>
      <c r="B36" s="10">
        <f>Sterling!B36/Dollars!O36</f>
        <v>58014362.154141948</v>
      </c>
      <c r="C36" s="10">
        <f>Sterling!C36/Dollars!O36</f>
        <v>76754973.685975939</v>
      </c>
      <c r="D36" s="6">
        <f>Sterling!D36</f>
        <v>0.75583847362769496</v>
      </c>
      <c r="F36" s="10">
        <f>Sterling!F36/Dollars!O36</f>
        <v>44457373.204421565</v>
      </c>
      <c r="G36" s="10">
        <f>Sterling!G36/Dollars!O36</f>
        <v>46808725.510827221</v>
      </c>
      <c r="H36" s="6">
        <f>Sterling!H36</f>
        <v>0.94976679495659921</v>
      </c>
      <c r="L36">
        <f>Sterling!L36/Dollars!O36</f>
        <v>42862685.149999999</v>
      </c>
      <c r="M36">
        <f>Sterling!M36/Dollars!O36</f>
        <v>49294898.349999994</v>
      </c>
      <c r="O36" s="2">
        <v>0.20459520838021975</v>
      </c>
    </row>
    <row r="37" spans="1:15" x14ac:dyDescent="0.25">
      <c r="A37" s="3">
        <v>1854</v>
      </c>
      <c r="B37" s="10">
        <f>Sterling!B37/Dollars!O37</f>
        <v>60188857.34423431</v>
      </c>
      <c r="C37" s="10">
        <f>Sterling!C37/Dollars!O37</f>
        <v>79252205.974390969</v>
      </c>
      <c r="D37" s="6">
        <f>Sterling!D37</f>
        <v>0.75945970972320109</v>
      </c>
      <c r="F37" s="10">
        <f>Sterling!F37/Dollars!O37</f>
        <v>42903604.283641547</v>
      </c>
      <c r="G37" s="10">
        <f>Sterling!G37/Dollars!O37</f>
        <v>44792918.487965867</v>
      </c>
      <c r="H37" s="6">
        <f>Sterling!H37</f>
        <v>0.95782114074947122</v>
      </c>
      <c r="L37">
        <f>Sterling!L37/Dollars!O37</f>
        <v>47751828</v>
      </c>
      <c r="M37">
        <f>Sterling!M37/Dollars!O37</f>
        <v>48806469.600000001</v>
      </c>
      <c r="O37" s="2">
        <v>0.2048089132839061</v>
      </c>
    </row>
    <row r="38" spans="1:15" x14ac:dyDescent="0.25">
      <c r="A38" s="7">
        <v>1855</v>
      </c>
      <c r="B38" s="10">
        <f>Sterling!B38/Dollars!O38</f>
        <v>65383662.20297841</v>
      </c>
      <c r="C38" s="10">
        <f>Sterling!C38/Dollars!O38</f>
        <v>85757771.336075082</v>
      </c>
      <c r="D38" s="6">
        <f>Sterling!D38</f>
        <v>0.76242259079643249</v>
      </c>
      <c r="F38" s="10">
        <f>Sterling!F38/Dollars!O38</f>
        <v>48841080.478170238</v>
      </c>
      <c r="G38" s="10">
        <f>Sterling!G38/Dollars!O38</f>
        <v>49036853.64920605</v>
      </c>
      <c r="H38" s="6">
        <f>Sterling!H38</f>
        <v>0.99600763188363783</v>
      </c>
      <c r="L38">
        <f>Sterling!L38/Dollars!O38</f>
        <v>51989167.999999993</v>
      </c>
      <c r="M38">
        <f>Sterling!M38/Dollars!O38</f>
        <v>49971167.399999999</v>
      </c>
      <c r="O38" s="2">
        <v>0.20465801645450454</v>
      </c>
    </row>
    <row r="39" spans="1:15" x14ac:dyDescent="0.25">
      <c r="A39" s="3">
        <f t="shared" ref="A39:A70" si="1">A38+1</f>
        <v>1856</v>
      </c>
      <c r="B39" s="10">
        <f>Sterling!B39/Dollars!O39</f>
        <v>69851078.206171826</v>
      </c>
      <c r="C39" s="10">
        <f>Sterling!C39/Dollars!O39</f>
        <v>86039901.920477957</v>
      </c>
      <c r="D39" s="6">
        <f>Sterling!D39</f>
        <v>0.81184516308179211</v>
      </c>
      <c r="F39" s="10">
        <f>Sterling!F39/Dollars!O39</f>
        <v>58581601.751998611</v>
      </c>
      <c r="G39" s="10">
        <f>Sterling!G39/Dollars!O39</f>
        <v>58563185.511417821</v>
      </c>
      <c r="H39" s="6">
        <f>Sterling!H39</f>
        <v>1.0003144678763625</v>
      </c>
      <c r="L39">
        <f>Sterling!L39/Dollars!O39</f>
        <v>58884709.949999996</v>
      </c>
      <c r="M39">
        <f>Sterling!M39/Dollars!O39</f>
        <v>61427520.149999999</v>
      </c>
      <c r="O39" s="2">
        <v>0.2037116258224857</v>
      </c>
    </row>
    <row r="40" spans="1:15" x14ac:dyDescent="0.25">
      <c r="A40" s="3">
        <f t="shared" si="1"/>
        <v>1857</v>
      </c>
      <c r="B40" s="10">
        <f>Sterling!B40/Dollars!O40</f>
        <v>73430638.018400118</v>
      </c>
      <c r="C40" s="10">
        <f>Sterling!C40/Dollars!O40</f>
        <v>80677498.248273194</v>
      </c>
      <c r="D40" s="6">
        <f>Sterling!D40</f>
        <v>0.91017495104307866</v>
      </c>
      <c r="F40" s="10">
        <f>Sterling!F40/Dollars!O40</f>
        <v>75144900.538674176</v>
      </c>
      <c r="G40" s="10">
        <f>Sterling!G40/Dollars!O40</f>
        <v>73335617.044822842</v>
      </c>
      <c r="H40" s="6">
        <f>Sterling!H40</f>
        <v>1.0246712793422805</v>
      </c>
      <c r="L40">
        <f>Sterling!L40/Dollars!O40</f>
        <v>58220781.70000001</v>
      </c>
      <c r="M40">
        <f>Sterling!M40/Dollars!O40</f>
        <v>70449614.600000009</v>
      </c>
      <c r="O40" s="2">
        <v>0.20455754203657486</v>
      </c>
    </row>
    <row r="41" spans="1:15" x14ac:dyDescent="0.25">
      <c r="A41" s="3">
        <f t="shared" si="1"/>
        <v>1858</v>
      </c>
      <c r="B41" s="10">
        <f>Sterling!B41/Dollars!O41</f>
        <v>59732118.11914964</v>
      </c>
      <c r="C41" s="10">
        <f>Sterling!C41/Dollars!O41</f>
        <v>79080756.518978462</v>
      </c>
      <c r="D41" s="6">
        <f>Sterling!D41</f>
        <v>0.75533063602919159</v>
      </c>
      <c r="F41" s="10">
        <f>Sterling!F41/Dollars!O41</f>
        <v>56027236.620585203</v>
      </c>
      <c r="G41" s="10">
        <f>Sterling!G41/Dollars!O41</f>
        <v>57952173.602142416</v>
      </c>
      <c r="H41" s="6">
        <f>Sterling!H41</f>
        <v>0.96678404170355303</v>
      </c>
      <c r="L41">
        <f>Sterling!L41/Dollars!O41</f>
        <v>53532078.75</v>
      </c>
      <c r="M41">
        <f>Sterling!M41/Dollars!O41</f>
        <v>68005000</v>
      </c>
      <c r="O41" s="2">
        <v>0.2058672156459084</v>
      </c>
    </row>
    <row r="42" spans="1:15" x14ac:dyDescent="0.25">
      <c r="A42" s="3">
        <f t="shared" si="1"/>
        <v>1859</v>
      </c>
      <c r="B42" s="10">
        <f>Sterling!B42/Dollars!O42</f>
        <v>68744936.683135957</v>
      </c>
      <c r="C42" s="10">
        <f>Sterling!C42/Dollars!O42</f>
        <v>79097063.57133171</v>
      </c>
      <c r="D42" s="6">
        <f>Sterling!D42</f>
        <v>0.86912122371192768</v>
      </c>
      <c r="F42" s="10">
        <f>Sterling!F42/Dollars!O42</f>
        <v>61510407.976764224</v>
      </c>
      <c r="G42" s="10">
        <f>Sterling!G42/Dollars!O42</f>
        <v>62369601.242583685</v>
      </c>
      <c r="H42" s="6">
        <f>Sterling!H42</f>
        <v>0.98622416612096553</v>
      </c>
      <c r="L42">
        <f>Sterling!L42/Dollars!O42</f>
        <v>56629159</v>
      </c>
      <c r="M42">
        <f>Sterling!M42/Dollars!O42</f>
        <v>61980388.399999999</v>
      </c>
      <c r="O42" s="2">
        <v>0.2045324388448008</v>
      </c>
    </row>
    <row r="43" spans="1:15" x14ac:dyDescent="0.25">
      <c r="A43" s="3">
        <f t="shared" si="1"/>
        <v>1860</v>
      </c>
      <c r="B43" s="10">
        <f>Sterling!B43/Dollars!O43</f>
        <v>75613165.698533356</v>
      </c>
      <c r="C43" s="10">
        <f>Sterling!C43/Dollars!O43</f>
        <v>79483276.642931357</v>
      </c>
      <c r="D43" s="6">
        <f>Sterling!D43</f>
        <v>0.95130911673679497</v>
      </c>
      <c r="F43" s="10">
        <f>Sterling!F43/Dollars!O43</f>
        <v>64682544.462269537</v>
      </c>
      <c r="G43" s="10">
        <f>Sterling!G43/Dollars!O43</f>
        <v>65763202.432896823</v>
      </c>
      <c r="H43" s="6">
        <f>Sterling!H43</f>
        <v>0.98356743694576065</v>
      </c>
      <c r="L43">
        <f>Sterling!L43/Dollars!O43</f>
        <v>60698688.100000001</v>
      </c>
      <c r="M43">
        <f>Sterling!M43/Dollars!O43</f>
        <v>60858715</v>
      </c>
      <c r="O43" s="2">
        <v>0.20621533004763573</v>
      </c>
    </row>
    <row r="44" spans="1:15" x14ac:dyDescent="0.25">
      <c r="A44" s="3">
        <f t="shared" si="1"/>
        <v>1861</v>
      </c>
      <c r="B44" s="10">
        <f>Sterling!B44/Dollars!O44</f>
        <v>74113334.409293994</v>
      </c>
      <c r="C44" s="10">
        <f>Sterling!C44/Dollars!O44</f>
        <v>84824777.294517115</v>
      </c>
      <c r="D44" s="6">
        <f>Sterling!D44</f>
        <v>0.87372271137202873</v>
      </c>
      <c r="F44" s="10">
        <f>Sterling!F44/Dollars!O44</f>
        <v>66620423.3218446</v>
      </c>
      <c r="G44" s="10">
        <f>Sterling!G44/Dollars!O44</f>
        <v>68623279.196515739</v>
      </c>
      <c r="H44" s="6">
        <f>Sterling!H44</f>
        <v>0.97081375448504015</v>
      </c>
      <c r="L44">
        <f>Sterling!L44/Dollars!O44</f>
        <v>63278515.700000003</v>
      </c>
      <c r="M44">
        <f>Sterling!M44/Dollars!O44</f>
        <v>60788400.150000006</v>
      </c>
      <c r="O44" s="2">
        <v>0.20621533004763573</v>
      </c>
    </row>
    <row r="45" spans="1:15" x14ac:dyDescent="0.25">
      <c r="A45" s="3">
        <f t="shared" si="1"/>
        <v>1862</v>
      </c>
      <c r="B45" s="10">
        <f>Sterling!B45/Dollars!O45</f>
        <v>81203290.304191485</v>
      </c>
      <c r="C45" s="10">
        <f>Sterling!C45/Dollars!O45</f>
        <v>79050325.343935162</v>
      </c>
      <c r="D45" s="6">
        <f>Sterling!D45</f>
        <v>1.0272353712763245</v>
      </c>
      <c r="F45" s="10">
        <f>Sterling!F45/Dollars!O45</f>
        <v>59768527.835943528</v>
      </c>
      <c r="G45" s="10">
        <f>Sterling!G45/Dollars!O45</f>
        <v>57252302.408379927</v>
      </c>
      <c r="H45" s="6">
        <f>Sterling!H45</f>
        <v>1.0439497683362216</v>
      </c>
      <c r="L45">
        <f>Sterling!L45/Dollars!O45</f>
        <v>63722226.650000006</v>
      </c>
      <c r="M45">
        <f>Sterling!M45/Dollars!O45</f>
        <v>54891651.350000001</v>
      </c>
      <c r="O45" s="2">
        <v>0.20621533004763573</v>
      </c>
    </row>
    <row r="46" spans="1:15" x14ac:dyDescent="0.25">
      <c r="A46" s="3">
        <f t="shared" si="1"/>
        <v>1863</v>
      </c>
      <c r="B46" s="10">
        <f>Sterling!B46/Dollars!O46</f>
        <v>80783002.905758068</v>
      </c>
      <c r="C46" s="10">
        <f>Sterling!C46/Dollars!O46</f>
        <v>73289862.158559248</v>
      </c>
      <c r="D46" s="6">
        <f>Sterling!D46</f>
        <v>1.1022397986093595</v>
      </c>
      <c r="F46" s="10">
        <f>Sterling!F46/Dollars!O46</f>
        <v>59212180.312325619</v>
      </c>
      <c r="G46" s="10">
        <f>Sterling!G46/Dollars!O46</f>
        <v>45703128.311433561</v>
      </c>
      <c r="H46" s="6">
        <f>Sterling!H46</f>
        <v>1.2955826548423055</v>
      </c>
      <c r="L46">
        <f>Sterling!L46/Dollars!O46</f>
        <v>68656389.400000006</v>
      </c>
      <c r="M46">
        <f>Sterling!M46/Dollars!O46</f>
        <v>60943577.75</v>
      </c>
      <c r="O46" s="2">
        <v>0.20621533004763573</v>
      </c>
    </row>
    <row r="47" spans="1:15" x14ac:dyDescent="0.25">
      <c r="A47" s="3">
        <f t="shared" si="1"/>
        <v>1864</v>
      </c>
      <c r="B47" s="10">
        <f>Sterling!B47/Dollars!O47</f>
        <v>94094966.421711698</v>
      </c>
      <c r="C47" s="10">
        <f>Sterling!C47/Dollars!O47</f>
        <v>79754793.203547567</v>
      </c>
      <c r="D47" s="6">
        <f>Sterling!D47</f>
        <v>1.1798032775480418</v>
      </c>
      <c r="F47" s="10">
        <f>Sterling!F47/Dollars!O47</f>
        <v>98608451.375267282</v>
      </c>
      <c r="G47" s="10">
        <f>Sterling!G47/Dollars!O47</f>
        <v>68357840.67855379</v>
      </c>
      <c r="H47" s="6">
        <f>Sterling!H47</f>
        <v>1.4425331519607838</v>
      </c>
      <c r="L47">
        <f>Sterling!L47/Dollars!O47</f>
        <v>74254906.25</v>
      </c>
      <c r="M47">
        <f>Sterling!M47/Dollars!O47</f>
        <v>70222713.299999997</v>
      </c>
      <c r="O47" s="2">
        <v>0.20621533004763573</v>
      </c>
    </row>
    <row r="48" spans="1:15" x14ac:dyDescent="0.25">
      <c r="A48" s="3">
        <f t="shared" si="1"/>
        <v>1865</v>
      </c>
      <c r="B48" s="10">
        <f>Sterling!B48/Dollars!O48</f>
        <v>95153219.640804246</v>
      </c>
      <c r="C48" s="10">
        <f>Sterling!C48/Dollars!O48</f>
        <v>90406691.44121629</v>
      </c>
      <c r="D48" s="6">
        <f>Sterling!D48</f>
        <v>1.0525019567016696</v>
      </c>
      <c r="F48" s="10">
        <f>Sterling!F48/Dollars!O48</f>
        <v>83868380.644417956</v>
      </c>
      <c r="G48" s="10">
        <f>Sterling!G48/Dollars!O48</f>
        <v>56969474.778036863</v>
      </c>
      <c r="H48" s="6">
        <f>Sterling!H48</f>
        <v>1.4721634870460714</v>
      </c>
      <c r="L48">
        <f>Sterling!L48/Dollars!O48</f>
        <v>77838538.950000003</v>
      </c>
      <c r="M48">
        <f>Sterling!M48/Dollars!O48</f>
        <v>70445781.100000009</v>
      </c>
      <c r="O48" s="2">
        <v>0.20621533004763573</v>
      </c>
    </row>
    <row r="49" spans="1:15" x14ac:dyDescent="0.25">
      <c r="A49" s="3">
        <f t="shared" si="1"/>
        <v>1866</v>
      </c>
      <c r="B49" s="10">
        <f>Sterling!B49/Dollars!O49</f>
        <v>96563110.946912125</v>
      </c>
      <c r="C49" s="10">
        <f>Sterling!C49/Dollars!O49</f>
        <v>99401215.270285189</v>
      </c>
      <c r="D49" s="6">
        <f>Sterling!D49</f>
        <v>0.9714479917005453</v>
      </c>
      <c r="F49" s="10">
        <f>Sterling!F49/Dollars!O49</f>
        <v>119159488.77781518</v>
      </c>
      <c r="G49" s="10">
        <f>Sterling!G49/Dollars!O49</f>
        <v>82548273.42706874</v>
      </c>
      <c r="H49" s="6">
        <f>Sterling!H49</f>
        <v>1.4435127935545784</v>
      </c>
      <c r="L49">
        <f>Sterling!L49/Dollars!O49</f>
        <v>77967045.400000006</v>
      </c>
      <c r="M49">
        <f>Sterling!M49/Dollars!O49</f>
        <v>69883262.299999997</v>
      </c>
      <c r="O49" s="2">
        <v>0.20621533004763573</v>
      </c>
    </row>
    <row r="50" spans="1:15" x14ac:dyDescent="0.25">
      <c r="A50" s="3">
        <f t="shared" si="1"/>
        <v>1867</v>
      </c>
      <c r="B50" s="10">
        <f>Sterling!B50/Dollars!O50</f>
        <v>94645239.296489045</v>
      </c>
      <c r="C50" s="10">
        <f>Sterling!C50/Dollars!O50</f>
        <v>110233872.3182566</v>
      </c>
      <c r="D50" s="6">
        <f>Sterling!D50</f>
        <v>0.85858581673733125</v>
      </c>
      <c r="F50" s="10">
        <f>Sterling!F50/Dollars!O50</f>
        <v>94796434.33363919</v>
      </c>
      <c r="G50" s="10">
        <f>Sterling!G50/Dollars!O50</f>
        <v>73726459.03079848</v>
      </c>
      <c r="H50" s="6">
        <f>Sterling!H50</f>
        <v>1.2857858030865001</v>
      </c>
      <c r="L50">
        <f>Sterling!L50/Dollars!O50</f>
        <v>80285010.799999997</v>
      </c>
      <c r="M50">
        <f>Sterling!M50/Dollars!O50</f>
        <v>66942161.850000001</v>
      </c>
      <c r="O50" s="2">
        <v>0.20621533004763573</v>
      </c>
    </row>
    <row r="51" spans="1:15" x14ac:dyDescent="0.25">
      <c r="A51" s="3">
        <f t="shared" si="1"/>
        <v>1868</v>
      </c>
      <c r="B51" s="10">
        <f>Sterling!B51/Dollars!O51</f>
        <v>99983735.404607639</v>
      </c>
      <c r="C51" s="10">
        <f>Sterling!C51/Dollars!O51</f>
        <v>118360992.19702108</v>
      </c>
      <c r="D51" s="6">
        <f>Sterling!D51</f>
        <v>0.84473552940631769</v>
      </c>
      <c r="F51" s="10">
        <f>Sterling!F51/Dollars!O51</f>
        <v>86234852.876155511</v>
      </c>
      <c r="G51" s="10">
        <f>Sterling!G51/Dollars!O51</f>
        <v>73296210.76436539</v>
      </c>
      <c r="H51" s="6">
        <f>Sterling!H51</f>
        <v>1.1765253889233867</v>
      </c>
      <c r="L51">
        <f>Sterling!L51/Dollars!O51</f>
        <v>76805638.049999997</v>
      </c>
      <c r="M51">
        <f>Sterling!M51/Dollars!O51</f>
        <v>60490168.200000003</v>
      </c>
      <c r="O51" s="2">
        <v>0.20621533004763573</v>
      </c>
    </row>
    <row r="52" spans="1:15" x14ac:dyDescent="0.25">
      <c r="A52" s="3">
        <f t="shared" si="1"/>
        <v>1869</v>
      </c>
      <c r="B52" s="10">
        <f>Sterling!B52/Dollars!O52</f>
        <v>97579685.655255109</v>
      </c>
      <c r="C52" s="10">
        <f>Sterling!C52/Dollars!O52</f>
        <v>113463141.94621845</v>
      </c>
      <c r="D52" s="6">
        <f>Sterling!D52</f>
        <v>0.86001219410535878</v>
      </c>
      <c r="F52" s="10">
        <f>Sterling!F52/Dollars!O52</f>
        <v>98313822.268657774</v>
      </c>
      <c r="G52" s="10">
        <f>Sterling!G52/Dollars!O52</f>
        <v>87037670.359370396</v>
      </c>
      <c r="H52" s="6">
        <f>Sterling!H52</f>
        <v>1.1295548451920785</v>
      </c>
      <c r="L52">
        <f>Sterling!L52/Dollars!O52</f>
        <v>72264268.600000009</v>
      </c>
      <c r="M52">
        <f>Sterling!M52/Dollars!O52</f>
        <v>60608976.050000004</v>
      </c>
      <c r="O52" s="2">
        <v>0.20621533004763573</v>
      </c>
    </row>
    <row r="53" spans="1:15" x14ac:dyDescent="0.25">
      <c r="A53" s="3">
        <f t="shared" si="1"/>
        <v>1870</v>
      </c>
      <c r="B53" s="10">
        <f>Sterling!B53/Dollars!O53</f>
        <v>96631850.220350429</v>
      </c>
      <c r="C53" s="10">
        <f>Sterling!C53/Dollars!O53</f>
        <v>110873056.8849172</v>
      </c>
      <c r="D53" s="6">
        <f>Sterling!D53</f>
        <v>0.87155394588471835</v>
      </c>
      <c r="F53" s="10">
        <f>Sterling!F53/Dollars!O53</f>
        <v>69609464.126129106</v>
      </c>
      <c r="G53" s="10">
        <f>Sterling!G53/Dollars!O53</f>
        <v>64040439.006328881</v>
      </c>
      <c r="H53" s="6">
        <f>Sterling!H53</f>
        <v>1.0869610703207369</v>
      </c>
      <c r="L53">
        <f>Sterling!L53/Dollars!O53</f>
        <v>74902287.799999997</v>
      </c>
      <c r="M53">
        <f>Sterling!M53/Dollars!O53</f>
        <v>68181158</v>
      </c>
      <c r="O53" s="2">
        <v>0.20621533004763573</v>
      </c>
    </row>
    <row r="54" spans="1:15" x14ac:dyDescent="0.25">
      <c r="A54" s="3">
        <f t="shared" si="1"/>
        <v>1871</v>
      </c>
      <c r="B54" s="10">
        <f>Sterling!B54/Dollars!O54</f>
        <v>111636989.41568923</v>
      </c>
      <c r="C54" s="10">
        <f>Sterling!C54/Dollars!O54</f>
        <v>126408291.55474852</v>
      </c>
      <c r="D54" s="6">
        <f>Sterling!D54</f>
        <v>0.88314609779642739</v>
      </c>
      <c r="F54" s="10">
        <f>Sterling!F54/Dollars!O54</f>
        <v>75420712.663446918</v>
      </c>
      <c r="G54" s="10">
        <f>Sterling!G54/Dollars!O54</f>
        <v>65398673.156901695</v>
      </c>
      <c r="H54" s="6">
        <f>Sterling!H54</f>
        <v>1.1532453033489038</v>
      </c>
      <c r="L54">
        <f>Sterling!L54/Dollars!O54</f>
        <v>83718315.200000003</v>
      </c>
      <c r="M54">
        <f>Sterling!M54/Dollars!O54</f>
        <v>72666760.5</v>
      </c>
      <c r="O54" s="2">
        <v>0.20621533004763573</v>
      </c>
    </row>
    <row r="55" spans="1:15" x14ac:dyDescent="0.25">
      <c r="A55" s="3">
        <f t="shared" si="1"/>
        <v>1872</v>
      </c>
      <c r="B55" s="10">
        <f>Sterling!B55/Dollars!O55</f>
        <v>134165422.2618888</v>
      </c>
      <c r="C55" s="10">
        <f>Sterling!C55/Dollars!O55</f>
        <v>126905025.25695695</v>
      </c>
      <c r="D55" s="6">
        <f>Sterling!D55</f>
        <v>1.0572112648039824</v>
      </c>
      <c r="F55" s="10">
        <f>Sterling!F55/Dollars!O55</f>
        <v>91189438.374303937</v>
      </c>
      <c r="G55" s="10">
        <f>Sterling!G55/Dollars!O55</f>
        <v>74247649.967446148</v>
      </c>
      <c r="H55" s="6">
        <f>Sterling!H55</f>
        <v>1.2281794563772173</v>
      </c>
      <c r="L55">
        <f>Sterling!L55/Dollars!O55</f>
        <v>100576906.65000001</v>
      </c>
      <c r="M55">
        <f>Sterling!M55/Dollars!O55</f>
        <v>76524378.650000006</v>
      </c>
      <c r="O55" s="2">
        <v>0.20621533004763573</v>
      </c>
    </row>
    <row r="56" spans="1:15" x14ac:dyDescent="0.25">
      <c r="A56" s="3">
        <f t="shared" si="1"/>
        <v>1873</v>
      </c>
      <c r="B56" s="10">
        <f>Sterling!B56/Dollars!O56</f>
        <v>122741048.02657917</v>
      </c>
      <c r="C56" s="10">
        <f>Sterling!C56/Dollars!O56</f>
        <v>107435263.43621141</v>
      </c>
      <c r="D56" s="6">
        <f>Sterling!D56</f>
        <v>1.1424651841567401</v>
      </c>
      <c r="F56" s="10">
        <f>Sterling!F56/Dollars!O56</f>
        <v>95147571.092942134</v>
      </c>
      <c r="G56" s="10">
        <f>Sterling!G56/Dollars!O56</f>
        <v>72017404.44740203</v>
      </c>
      <c r="H56" s="6">
        <f>Sterling!H56</f>
        <v>1.3211746774688782</v>
      </c>
      <c r="L56">
        <f>Sterling!L56/Dollars!O56</f>
        <v>104289045.80000001</v>
      </c>
      <c r="M56">
        <f>Sterling!M56/Dollars!O56</f>
        <v>80316531.25</v>
      </c>
      <c r="O56" s="2">
        <v>0.20621533004763573</v>
      </c>
    </row>
    <row r="57" spans="1:15" x14ac:dyDescent="0.25">
      <c r="A57" s="3">
        <f t="shared" si="1"/>
        <v>1874</v>
      </c>
      <c r="B57" s="10">
        <f>Sterling!B57/Dollars!O57</f>
        <v>129184326.18728504</v>
      </c>
      <c r="C57" s="10">
        <f>Sterling!C57/Dollars!O57</f>
        <v>109747670.57926574</v>
      </c>
      <c r="D57" s="6">
        <f>Sterling!D57</f>
        <v>1.1771031267035512</v>
      </c>
      <c r="F57" s="10">
        <f>Sterling!F57/Dollars!O57</f>
        <v>96479558.879661903</v>
      </c>
      <c r="G57" s="10">
        <f>Sterling!G57/Dollars!O57</f>
        <v>78553023.767935202</v>
      </c>
      <c r="H57" s="6">
        <f>Sterling!H57</f>
        <v>1.2282093578559887</v>
      </c>
      <c r="L57">
        <f>Sterling!L57/Dollars!O57</f>
        <v>104289045.80000001</v>
      </c>
      <c r="M57">
        <f>Sterling!M57/Dollars!O57</f>
        <v>83902588.600000009</v>
      </c>
      <c r="O57" s="2">
        <v>0.20621533004763573</v>
      </c>
    </row>
    <row r="58" spans="1:15" x14ac:dyDescent="0.25">
      <c r="A58" s="3">
        <f t="shared" si="1"/>
        <v>1875</v>
      </c>
      <c r="B58" s="10">
        <f>Sterling!B58/Dollars!O58</f>
        <v>127343949.73754287</v>
      </c>
      <c r="C58" s="10">
        <f>Sterling!C58/Dollars!O58</f>
        <v>110662065.67280757</v>
      </c>
      <c r="D58" s="6">
        <f>Sterling!D58</f>
        <v>1.1507461835572299</v>
      </c>
      <c r="F58" s="10">
        <f>Sterling!F58/Dollars!O58</f>
        <v>93533975.91016379</v>
      </c>
      <c r="G58" s="10">
        <f>Sterling!G58/Dollars!O58</f>
        <v>80684665.749571398</v>
      </c>
      <c r="H58" s="6">
        <f>Sterling!H58</f>
        <v>1.1592534348530861</v>
      </c>
      <c r="L58">
        <f>Sterling!L58/Dollars!O58</f>
        <v>104773975.80000001</v>
      </c>
      <c r="M58">
        <f>Sterling!M58/Dollars!O58</f>
        <v>90965594.050000012</v>
      </c>
      <c r="O58" s="2">
        <v>0.20621533004763573</v>
      </c>
    </row>
    <row r="59" spans="1:15" x14ac:dyDescent="0.25">
      <c r="A59" s="3">
        <f t="shared" si="1"/>
        <v>1876</v>
      </c>
      <c r="B59" s="10">
        <f>Sterling!B59/Dollars!O59</f>
        <v>114313724.00522608</v>
      </c>
      <c r="C59" s="10">
        <f>Sterling!C59/Dollars!O59</f>
        <v>105720643.49268033</v>
      </c>
      <c r="D59" s="6">
        <f>Sterling!D59</f>
        <v>1.0812810084072246</v>
      </c>
      <c r="F59" s="10">
        <f>Sterling!F59/Dollars!O59</f>
        <v>87981772.612272948</v>
      </c>
      <c r="G59" s="10">
        <f>Sterling!G59/Dollars!O59</f>
        <v>80389344.789573818</v>
      </c>
      <c r="H59" s="6">
        <f>Sterling!H59</f>
        <v>1.0944456985260047</v>
      </c>
      <c r="L59">
        <f>Sterling!L59/Dollars!O59</f>
        <v>100363537.45</v>
      </c>
      <c r="M59">
        <f>Sterling!M59/Dollars!O59</f>
        <v>87350440.900000006</v>
      </c>
      <c r="O59" s="2">
        <v>0.20621533004763573</v>
      </c>
    </row>
    <row r="60" spans="1:15" x14ac:dyDescent="0.25">
      <c r="A60" s="3">
        <f t="shared" si="1"/>
        <v>1877</v>
      </c>
      <c r="B60" s="10">
        <f>Sterling!B60/Dollars!O60</f>
        <v>133210068.25645557</v>
      </c>
      <c r="C60" s="10">
        <f>Sterling!C60/Dollars!O60</f>
        <v>115338004.21320954</v>
      </c>
      <c r="D60" s="6">
        <f>Sterling!D60</f>
        <v>1.1549538173923002</v>
      </c>
      <c r="F60" s="10">
        <f>Sterling!F60/Dollars!O60</f>
        <v>92541844.969444662</v>
      </c>
      <c r="G60" s="10">
        <f>Sterling!G60/Dollars!O60</f>
        <v>87731588.288603187</v>
      </c>
      <c r="H60" s="6">
        <f>Sterling!H60</f>
        <v>1.0548292442286304</v>
      </c>
      <c r="L60">
        <f>Sterling!L60/Dollars!O60</f>
        <v>96103427.400000006</v>
      </c>
      <c r="M60">
        <f>Sterling!M60/Dollars!O60</f>
        <v>80575968.799999997</v>
      </c>
      <c r="O60" s="2">
        <v>0.20621533004763573</v>
      </c>
    </row>
    <row r="61" spans="1:15" x14ac:dyDescent="0.25">
      <c r="A61" s="3">
        <f t="shared" si="1"/>
        <v>1878</v>
      </c>
      <c r="B61" s="10">
        <f>Sterling!B61/Dollars!O61</f>
        <v>138132262.61656502</v>
      </c>
      <c r="C61" s="10">
        <f>Sterling!C61/Dollars!O61</f>
        <v>126695869.3077269</v>
      </c>
      <c r="D61" s="6">
        <f>Sterling!D61</f>
        <v>1.0902665049091749</v>
      </c>
      <c r="F61" s="10">
        <f>Sterling!F61/Dollars!O61</f>
        <v>91888833.452616066</v>
      </c>
      <c r="G61" s="10">
        <f>Sterling!G61/Dollars!O61</f>
        <v>93884308.992378265</v>
      </c>
      <c r="H61" s="6">
        <f>Sterling!H61</f>
        <v>0.97874537756970459</v>
      </c>
      <c r="L61">
        <f>Sterling!L61/Dollars!O61</f>
        <v>93521175.150000006</v>
      </c>
      <c r="M61">
        <f>Sterling!M61/Dollars!O61</f>
        <v>78459249.350000009</v>
      </c>
      <c r="O61" s="2">
        <v>0.20621533004763573</v>
      </c>
    </row>
    <row r="62" spans="1:15" x14ac:dyDescent="0.25">
      <c r="A62" s="3">
        <f t="shared" si="1"/>
        <v>1879</v>
      </c>
      <c r="B62" s="10">
        <f>Sterling!B62/Dollars!O62</f>
        <v>111144192.67642106</v>
      </c>
      <c r="C62" s="10">
        <f>Sterling!C62/Dollars!O62</f>
        <v>114473935.19606997</v>
      </c>
      <c r="D62" s="6">
        <f>Sterling!D62</f>
        <v>0.97091265785573144</v>
      </c>
      <c r="F62" s="10">
        <f>Sterling!F62/Dollars!O62</f>
        <v>90735361.89516142</v>
      </c>
      <c r="G62" s="10">
        <f>Sterling!G62/Dollars!O62</f>
        <v>96715832.868485749</v>
      </c>
      <c r="H62" s="6">
        <f>Sterling!H62</f>
        <v>0.93816450940916174</v>
      </c>
      <c r="L62">
        <f>Sterling!L62/Dollars!O62</f>
        <v>95363994.750000015</v>
      </c>
      <c r="M62">
        <f>Sterling!M62/Dollars!O62</f>
        <v>75435523.750000015</v>
      </c>
      <c r="O62" s="2">
        <v>0.20603688060162767</v>
      </c>
    </row>
    <row r="63" spans="1:15" x14ac:dyDescent="0.25">
      <c r="A63" s="3">
        <f t="shared" si="1"/>
        <v>1880</v>
      </c>
      <c r="B63" s="10">
        <f>Sterling!B63/Dollars!O63</f>
        <v>115529813.79447903</v>
      </c>
      <c r="C63" s="10">
        <f>Sterling!C63/Dollars!O63</f>
        <v>107576844.17965373</v>
      </c>
      <c r="D63" s="6">
        <f>Sterling!D63</f>
        <v>1.0739282665844316</v>
      </c>
      <c r="F63" s="10">
        <f>Sterling!F63/Dollars!O63</f>
        <v>96107310.866756991</v>
      </c>
      <c r="G63" s="10">
        <f>Sterling!G63/Dollars!O63</f>
        <v>98992593.419633418</v>
      </c>
      <c r="H63" s="6">
        <f>Sterling!H63</f>
        <v>0.97085355122836703</v>
      </c>
      <c r="L63">
        <f>Sterling!L63/Dollars!O63</f>
        <v>99404295.5</v>
      </c>
      <c r="M63">
        <f>Sterling!M63/Dollars!O63</f>
        <v>77470821.75</v>
      </c>
      <c r="O63" s="2">
        <v>0.20641965115078956</v>
      </c>
    </row>
    <row r="64" spans="1:15" x14ac:dyDescent="0.25">
      <c r="A64" s="3">
        <f t="shared" si="1"/>
        <v>1881</v>
      </c>
      <c r="B64" s="10">
        <f>Sterling!B64/Dollars!O64</f>
        <v>119597055.38715914</v>
      </c>
      <c r="C64" s="10">
        <f>Sterling!C64/Dollars!O64</f>
        <v>126748352.02286501</v>
      </c>
      <c r="D64" s="6">
        <f>Sterling!D64</f>
        <v>0.94357878014527707</v>
      </c>
      <c r="F64" s="10">
        <f>Sterling!F64/Dollars!O64</f>
        <v>97374981.873414889</v>
      </c>
      <c r="G64" s="10">
        <f>Sterling!G64/Dollars!O64</f>
        <v>101651736.11622171</v>
      </c>
      <c r="H64" s="6">
        <f>Sterling!H64</f>
        <v>0.95792738613025685</v>
      </c>
      <c r="L64">
        <f>Sterling!L64/Dollars!O64</f>
        <v>97524508.250000015</v>
      </c>
      <c r="M64">
        <f>Sterling!M64/Dollars!O64</f>
        <v>80048962.5</v>
      </c>
      <c r="O64" s="2">
        <v>0.2070607723366808</v>
      </c>
    </row>
    <row r="65" spans="1:15" x14ac:dyDescent="0.25">
      <c r="A65" s="3">
        <f t="shared" si="1"/>
        <v>1882</v>
      </c>
      <c r="B65" s="10">
        <f>Sterling!B65/Dollars!O65</f>
        <v>129785119.02807565</v>
      </c>
      <c r="C65" s="10">
        <f>Sterling!C65/Dollars!O65</f>
        <v>147767722.89719224</v>
      </c>
      <c r="D65" s="6">
        <f>Sterling!D65</f>
        <v>0.87830492670156546</v>
      </c>
      <c r="F65" s="10">
        <f>Sterling!F65/Dollars!O65</f>
        <v>99500059.007396549</v>
      </c>
      <c r="G65" s="10">
        <f>Sterling!G65/Dollars!O65</f>
        <v>102360076.30913748</v>
      </c>
      <c r="H65" s="6">
        <f>Sterling!H65</f>
        <v>0.9720592500038453</v>
      </c>
      <c r="L65">
        <f>Sterling!L65/Dollars!O65</f>
        <v>88912808.400000006</v>
      </c>
      <c r="M65">
        <f>Sterling!M65/Dollars!O65</f>
        <v>81332964.700000003</v>
      </c>
      <c r="O65" s="2">
        <v>0.20534724218653744</v>
      </c>
    </row>
    <row r="66" spans="1:15" x14ac:dyDescent="0.25">
      <c r="A66" s="3">
        <f t="shared" si="1"/>
        <v>1883</v>
      </c>
      <c r="B66" s="10">
        <f>Sterling!B66/Dollars!O66</f>
        <v>133055081.99394238</v>
      </c>
      <c r="C66" s="10">
        <f>Sterling!C66/Dollars!O66</f>
        <v>152631488.31812468</v>
      </c>
      <c r="D66" s="6">
        <f>Sterling!D66</f>
        <v>0.87174070999438935</v>
      </c>
      <c r="F66" s="10">
        <f>Sterling!F66/Dollars!O66</f>
        <v>95661426.354743958</v>
      </c>
      <c r="G66" s="10">
        <f>Sterling!G66/Dollars!O66</f>
        <v>101388861.57158439</v>
      </c>
      <c r="H66" s="6">
        <f>Sterling!H66</f>
        <v>0.94351021277818925</v>
      </c>
      <c r="L66">
        <f>Sterling!L66/Dollars!O66</f>
        <v>89393739.5</v>
      </c>
      <c r="M66">
        <f>Sterling!M66/Dollars!O66</f>
        <v>84782340.5</v>
      </c>
      <c r="O66" s="2">
        <v>0.20622808826562178</v>
      </c>
    </row>
    <row r="67" spans="1:15" x14ac:dyDescent="0.25">
      <c r="A67" s="3">
        <f t="shared" si="1"/>
        <v>1884</v>
      </c>
      <c r="B67" s="10">
        <f>Sterling!B67/Dollars!O67</f>
        <v>122748131.6755456</v>
      </c>
      <c r="C67" s="10">
        <f>Sterling!C67/Dollars!O67</f>
        <v>156020115.43707287</v>
      </c>
      <c r="D67" s="6">
        <f>Sterling!D67</f>
        <v>0.78674555092899712</v>
      </c>
      <c r="F67" s="10">
        <f>Sterling!F67/Dollars!O67</f>
        <v>92931604.46960102</v>
      </c>
      <c r="G67" s="10">
        <f>Sterling!G67/Dollars!O67</f>
        <v>107857593.32946631</v>
      </c>
      <c r="H67" s="6">
        <f>Sterling!H67</f>
        <v>0.86161392629750466</v>
      </c>
      <c r="L67">
        <f>Sterling!L67/Dollars!O67</f>
        <v>94641819.299999997</v>
      </c>
      <c r="M67">
        <f>Sterling!M67/Dollars!O67</f>
        <v>81466179.199999988</v>
      </c>
      <c r="O67" s="2">
        <v>0.20602414602991473</v>
      </c>
    </row>
    <row r="68" spans="1:15" x14ac:dyDescent="0.25">
      <c r="A68" s="3">
        <f t="shared" si="1"/>
        <v>1885</v>
      </c>
      <c r="B68" s="10">
        <f>Sterling!B68/Dollars!O68</f>
        <v>113884179.77568619</v>
      </c>
      <c r="C68" s="10">
        <f>Sterling!C68/Dollars!O68</f>
        <v>151514066.13943389</v>
      </c>
      <c r="D68" s="6">
        <f>Sterling!D68</f>
        <v>0.75164097088439286</v>
      </c>
      <c r="F68" s="10">
        <f>Sterling!F68/Dollars!O68</f>
        <v>81685093.163950086</v>
      </c>
      <c r="G68" s="10">
        <f>Sterling!G68/Dollars!O68</f>
        <v>102401803.38312145</v>
      </c>
      <c r="H68" s="6">
        <f>Sterling!H68</f>
        <v>0.79769193964619167</v>
      </c>
      <c r="L68">
        <f>Sterling!L68/Dollars!O68</f>
        <v>84042792</v>
      </c>
      <c r="M68">
        <f>Sterling!M68/Dollars!O68</f>
        <v>74508036</v>
      </c>
      <c r="O68" s="2">
        <v>0.20593080724876442</v>
      </c>
    </row>
    <row r="69" spans="1:15" x14ac:dyDescent="0.25">
      <c r="A69" s="3">
        <f t="shared" si="1"/>
        <v>1886</v>
      </c>
      <c r="B69" s="10">
        <f>Sterling!B69/Dollars!O69</f>
        <v>115887972.23992456</v>
      </c>
      <c r="C69" s="10">
        <f>Sterling!C69/Dollars!O69</f>
        <v>146887486.35430849</v>
      </c>
      <c r="D69" s="6">
        <f>Sterling!D69</f>
        <v>0.78895741983350609</v>
      </c>
      <c r="F69" s="10">
        <f>Sterling!F69/Dollars!O69</f>
        <v>89063235.75019829</v>
      </c>
      <c r="G69" s="10">
        <f>Sterling!G69/Dollars!O69</f>
        <v>114941556.75862545</v>
      </c>
      <c r="H69" s="6">
        <f>Sterling!H69</f>
        <v>0.77485670336994805</v>
      </c>
      <c r="L69">
        <f>Sterling!L69/Dollars!O69</f>
        <v>86562088.399999991</v>
      </c>
      <c r="M69">
        <f>Sterling!M69/Dollars!O69</f>
        <v>76387178.199999988</v>
      </c>
      <c r="O69" s="2">
        <v>0.20570206113465259</v>
      </c>
    </row>
    <row r="70" spans="1:15" x14ac:dyDescent="0.25">
      <c r="A70" s="3">
        <f t="shared" si="1"/>
        <v>1887</v>
      </c>
      <c r="B70" s="10">
        <f>Sterling!B70/Dollars!O70</f>
        <v>132846022.23419331</v>
      </c>
      <c r="C70" s="10">
        <f>Sterling!C70/Dollars!O70</f>
        <v>139746748.95807225</v>
      </c>
      <c r="D70" s="6">
        <f>Sterling!D70</f>
        <v>0.95061976915148605</v>
      </c>
      <c r="F70" s="10">
        <f>Sterling!F70/Dollars!O70</f>
        <v>91855184.250854939</v>
      </c>
      <c r="G70" s="10">
        <f>Sterling!G70/Dollars!O70</f>
        <v>114848193.74098693</v>
      </c>
      <c r="H70" s="6">
        <f>Sterling!H70</f>
        <v>0.79979650753596265</v>
      </c>
      <c r="L70">
        <f>Sterling!L70/Dollars!O70</f>
        <v>106516417.2</v>
      </c>
      <c r="M70">
        <f>Sterling!M70/Dollars!O70</f>
        <v>86119450</v>
      </c>
      <c r="O70" s="2">
        <v>0.20610907292139</v>
      </c>
    </row>
    <row r="71" spans="1:15" x14ac:dyDescent="0.25">
      <c r="A71" s="7">
        <v>1888</v>
      </c>
      <c r="B71" s="10">
        <f>Sterling!B71/Dollars!O71</f>
        <v>108046149.97230811</v>
      </c>
      <c r="C71" s="10">
        <f>Sterling!C71/Dollars!O71</f>
        <v>123207690.68314739</v>
      </c>
      <c r="D71" s="6">
        <f>Sterling!D71</f>
        <v>0.87694322792048651</v>
      </c>
      <c r="F71" s="10">
        <f>Sterling!F71/Dollars!O71</f>
        <v>102087167.93472527</v>
      </c>
      <c r="G71" s="10">
        <f>Sterling!G71/Dollars!O71</f>
        <v>122373704.83765185</v>
      </c>
      <c r="H71" s="6">
        <f>Sterling!H71</f>
        <v>0.83422470595427423</v>
      </c>
      <c r="L71">
        <f>Sterling!L71/Dollars!O71</f>
        <v>105753694.2</v>
      </c>
      <c r="M71">
        <f>Sterling!M71/Dollars!O71</f>
        <v>96061797.200000003</v>
      </c>
      <c r="O71" s="2">
        <v>0.20532616060612283</v>
      </c>
    </row>
    <row r="72" spans="1:15" x14ac:dyDescent="0.25">
      <c r="A72" s="3">
        <v>1889</v>
      </c>
      <c r="B72" s="10">
        <f>Sterling!B72/Dollars!O72</f>
        <v>161467663.48287573</v>
      </c>
      <c r="C72" s="10">
        <f>Sterling!C72/Dollars!O72</f>
        <v>153583129.61868548</v>
      </c>
      <c r="D72" s="6">
        <f>Sterling!D72</f>
        <v>1.0513372392121836</v>
      </c>
      <c r="F72" s="10">
        <f>Sterling!F72/Dollars!O72</f>
        <v>122412407.64140567</v>
      </c>
      <c r="G72" s="10">
        <f>Sterling!G72/Dollars!O72</f>
        <v>135427846.11074033</v>
      </c>
      <c r="H72" s="6">
        <f>Sterling!H72</f>
        <v>0.90389392696468174</v>
      </c>
      <c r="L72">
        <f>Sterling!L72/Dollars!O72</f>
        <v>139011122.40000001</v>
      </c>
      <c r="M72">
        <f>Sterling!M72/Dollars!O72</f>
        <v>116858537.39999999</v>
      </c>
      <c r="O72" s="2">
        <v>0.20539363690512868</v>
      </c>
    </row>
    <row r="73" spans="1:15" x14ac:dyDescent="0.25">
      <c r="A73" s="3">
        <v>1890</v>
      </c>
      <c r="B73" s="10">
        <f>Sterling!B73/Dollars!O73</f>
        <v>145382015.07459083</v>
      </c>
      <c r="C73" s="10">
        <f>Sterling!C73/Dollars!O73</f>
        <v>141381403.48003516</v>
      </c>
      <c r="D73" s="6">
        <f>Sterling!D73</f>
        <v>1.0282965899056207</v>
      </c>
      <c r="F73" s="10">
        <f>Sterling!F73/Dollars!O73</f>
        <v>139134684.89281473</v>
      </c>
      <c r="G73" s="10">
        <f>Sterling!G73/Dollars!O73</f>
        <v>161871948.19339573</v>
      </c>
      <c r="H73" s="6">
        <f>Sterling!H73</f>
        <v>0.85953549361489257</v>
      </c>
      <c r="L73">
        <f>Sterling!L73/Dollars!O73</f>
        <v>128229711</v>
      </c>
      <c r="M73">
        <f>Sterling!M73/Dollars!O73</f>
        <v>116744349.5</v>
      </c>
      <c r="O73" s="2">
        <v>0.20574015019030964</v>
      </c>
    </row>
    <row r="74" spans="1:15" x14ac:dyDescent="0.25">
      <c r="A74" s="3">
        <v>1891</v>
      </c>
      <c r="B74" s="10">
        <f>Sterling!B74/Dollars!O74</f>
        <v>159584757.68832287</v>
      </c>
      <c r="C74" s="10">
        <f>Sterling!C74/Dollars!O74</f>
        <v>154264335.80212986</v>
      </c>
      <c r="D74" s="6">
        <f>Sterling!D74</f>
        <v>1.0344889948705795</v>
      </c>
      <c r="F74" s="10">
        <f>Sterling!F74/Dollars!O74</f>
        <v>159360006.02227375</v>
      </c>
      <c r="G74" s="10">
        <f>Sterling!G74/Dollars!O74</f>
        <v>200731704.18790814</v>
      </c>
      <c r="H74" s="6">
        <f>Sterling!H74</f>
        <v>0.793895546630214</v>
      </c>
      <c r="L74">
        <f>Sterling!L74/Dollars!O74</f>
        <v>131910809.60000001</v>
      </c>
      <c r="M74">
        <f>Sterling!M74/Dollars!O74</f>
        <v>124274021.50000001</v>
      </c>
      <c r="O74" s="2">
        <v>0.20571475591944208</v>
      </c>
    </row>
    <row r="75" spans="1:15" x14ac:dyDescent="0.25">
      <c r="A75" s="3">
        <v>1892</v>
      </c>
      <c r="B75" s="10">
        <f>Sterling!B75/Dollars!O75</f>
        <v>188278774.73808926</v>
      </c>
      <c r="C75" s="10">
        <f>Sterling!C75/Dollars!O75</f>
        <v>189015024.52940747</v>
      </c>
      <c r="D75" s="6">
        <f>Sterling!D75</f>
        <v>0.99610480810638602</v>
      </c>
      <c r="F75" s="10">
        <f>Sterling!F75/Dollars!O75</f>
        <v>148184721.49319714</v>
      </c>
      <c r="G75" s="10">
        <f>Sterling!G75/Dollars!O75</f>
        <v>200396022.87464434</v>
      </c>
      <c r="H75" s="6">
        <f>Sterling!H75</f>
        <v>0.73945939329291277</v>
      </c>
      <c r="L75">
        <f>Sterling!L75/Dollars!O75</f>
        <v>150354627.40000001</v>
      </c>
      <c r="M75">
        <f>Sterling!M75/Dollars!O75</f>
        <v>128172276.2</v>
      </c>
      <c r="O75" s="2">
        <v>0.20520818370236604</v>
      </c>
    </row>
    <row r="76" spans="1:15" x14ac:dyDescent="0.25">
      <c r="A76" s="3">
        <v>1893</v>
      </c>
      <c r="B76" s="10">
        <f>Sterling!B76/Dollars!O76</f>
        <v>157773686.45615235</v>
      </c>
      <c r="C76" s="10">
        <f>Sterling!C76/Dollars!O76</f>
        <v>152433481.97747824</v>
      </c>
      <c r="D76" s="6">
        <f>Sterling!D76</f>
        <v>1.0350330151184444</v>
      </c>
      <c r="F76" s="10">
        <f>Sterling!F76/Dollars!O76</f>
        <v>149597358.79053953</v>
      </c>
      <c r="G76" s="10">
        <f>Sterling!G76/Dollars!O76</f>
        <v>193153152.76999909</v>
      </c>
      <c r="H76" s="6">
        <f>Sterling!H76</f>
        <v>0.77450125273738379</v>
      </c>
      <c r="L76">
        <f>Sterling!L76/Dollars!O76</f>
        <v>155678847.29999998</v>
      </c>
      <c r="M76">
        <f>Sterling!M76/Dollars!O76</f>
        <v>127507138.5</v>
      </c>
      <c r="O76" s="2">
        <v>0.20559633216143425</v>
      </c>
    </row>
    <row r="77" spans="1:15" x14ac:dyDescent="0.25">
      <c r="A77" s="3">
        <v>1894</v>
      </c>
      <c r="B77" s="10">
        <f>Sterling!B77/Dollars!O77</f>
        <v>161964924.02851507</v>
      </c>
      <c r="C77" s="10">
        <f>Sterling!C77/Dollars!O77</f>
        <v>162607010.20158261</v>
      </c>
      <c r="D77" s="6">
        <f>Sterling!D77</f>
        <v>0.99605130078788395</v>
      </c>
      <c r="F77" s="10">
        <f>Sterling!F77/Dollars!O77</f>
        <v>147858259.20782548</v>
      </c>
      <c r="G77" s="10">
        <f>Sterling!G77/Dollars!O77</f>
        <v>210126716.60831851</v>
      </c>
      <c r="H77" s="6">
        <f>Sterling!H77</f>
        <v>0.7036623500068151</v>
      </c>
      <c r="L77">
        <f>Sterling!L77/Dollars!O77</f>
        <v>148701557.90000001</v>
      </c>
      <c r="M77">
        <f>Sterling!M77/Dollars!O77</f>
        <v>132383450.5</v>
      </c>
      <c r="O77" s="2">
        <v>0.20504828887202936</v>
      </c>
    </row>
    <row r="78" spans="1:15" x14ac:dyDescent="0.25">
      <c r="A78" s="3">
        <v>1895</v>
      </c>
      <c r="B78" s="10">
        <f>Sterling!B78/Dollars!O78</f>
        <v>199993908.58326548</v>
      </c>
      <c r="C78" s="10">
        <f>Sterling!C78/Dollars!O78</f>
        <v>198213234.57493523</v>
      </c>
      <c r="D78" s="6">
        <f>Sterling!D78</f>
        <v>1.008983628223155</v>
      </c>
      <c r="F78" s="10">
        <f>Sterling!F78/Dollars!O78</f>
        <v>154802517.31423986</v>
      </c>
      <c r="G78" s="10">
        <f>Sterling!G78/Dollars!O78</f>
        <v>241045152.75780582</v>
      </c>
      <c r="H78" s="6">
        <f>Sterling!H78</f>
        <v>0.64221377423747783</v>
      </c>
      <c r="L78">
        <f>Sterling!L78/Dollars!O78</f>
        <v>159290143.80000001</v>
      </c>
      <c r="M78">
        <f>Sterling!M78/Dollars!O78</f>
        <v>142797019.59999999</v>
      </c>
      <c r="O78" s="2">
        <v>0.204570095943375</v>
      </c>
    </row>
    <row r="79" spans="1:15" x14ac:dyDescent="0.25">
      <c r="A79" s="3">
        <v>1896</v>
      </c>
      <c r="B79" s="10">
        <f>Sterling!B79/Dollars!O79</f>
        <v>209978936.78665078</v>
      </c>
      <c r="C79" s="10">
        <f>Sterling!C79/Dollars!O79</f>
        <v>194454302.52951044</v>
      </c>
      <c r="D79" s="6">
        <f>Sterling!D79</f>
        <v>1.0798369285492375</v>
      </c>
      <c r="F79" s="10">
        <f>Sterling!F79/Dollars!O79</f>
        <v>145601117.69519347</v>
      </c>
      <c r="G79" s="10">
        <f>Sterling!G79/Dollars!O79</f>
        <v>210853053.7052063</v>
      </c>
      <c r="H79" s="6">
        <f>Sterling!H79</f>
        <v>0.69053359738748876</v>
      </c>
      <c r="L79">
        <f>Sterling!L79/Dollars!O79</f>
        <v>138015709.59999999</v>
      </c>
      <c r="M79">
        <f>Sterling!M79/Dollars!O79</f>
        <v>135809056</v>
      </c>
      <c r="O79" s="2">
        <v>0.20528822466743307</v>
      </c>
    </row>
    <row r="80" spans="1:15" x14ac:dyDescent="0.25">
      <c r="A80" s="3">
        <v>1897</v>
      </c>
      <c r="B80" s="10">
        <f>Sterling!B80/Dollars!O80</f>
        <v>226645721.03076661</v>
      </c>
      <c r="C80" s="10">
        <f>Sterling!C80/Dollars!O80</f>
        <v>262884348.24530146</v>
      </c>
      <c r="D80" s="6">
        <f>Sterling!D80</f>
        <v>0.86214992464777696</v>
      </c>
      <c r="F80" s="10">
        <f>Sterling!F80/Dollars!O80</f>
        <v>121891334.28036572</v>
      </c>
      <c r="G80" s="10">
        <f>Sterling!G80/Dollars!O80</f>
        <v>182243385.45516467</v>
      </c>
      <c r="H80" s="6">
        <f>Sterling!H80</f>
        <v>0.6688381801947666</v>
      </c>
      <c r="L80">
        <f>Sterling!L80/Dollars!O80</f>
        <v>125876793.89999999</v>
      </c>
      <c r="M80">
        <f>Sterling!M80/Dollars!O80</f>
        <v>111807267</v>
      </c>
      <c r="O80" s="2">
        <v>0.20562169720148871</v>
      </c>
    </row>
    <row r="81" spans="1:15" x14ac:dyDescent="0.25">
      <c r="A81" s="3">
        <v>1898</v>
      </c>
      <c r="B81" s="10">
        <f>Sterling!B81/Dollars!O81</f>
        <v>160121057.82995453</v>
      </c>
      <c r="C81" s="10">
        <f>Sterling!C81/Dollars!O81</f>
        <v>265780415.25753671</v>
      </c>
      <c r="D81" s="6">
        <f>Sterling!D81</f>
        <v>0.60245619555827667</v>
      </c>
      <c r="F81" s="10">
        <f>Sterling!F81/Dollars!O81</f>
        <v>122785595.11040919</v>
      </c>
      <c r="G81" s="10">
        <f>Sterling!G81/Dollars!O81</f>
        <v>173688477.11623517</v>
      </c>
      <c r="H81" s="6">
        <f>Sterling!H81</f>
        <v>0.70692999989998806</v>
      </c>
      <c r="L81">
        <f>Sterling!L81/Dollars!O81</f>
        <v>121284606.3</v>
      </c>
      <c r="M81">
        <f>Sterling!M81/Dollars!O81</f>
        <v>114095467.19999999</v>
      </c>
      <c r="O81" s="2">
        <v>0.2062833921241001</v>
      </c>
    </row>
    <row r="82" spans="1:15" x14ac:dyDescent="0.25">
      <c r="A82" s="3">
        <v>1899</v>
      </c>
      <c r="B82" s="10">
        <f>Sterling!B82/Dollars!O82</f>
        <v>140644236.59683442</v>
      </c>
      <c r="C82" s="10">
        <f>Sterling!C82/Dollars!O82</f>
        <v>251947304.00625479</v>
      </c>
      <c r="D82" s="6">
        <f>Sterling!D82</f>
        <v>0.55822878181440205</v>
      </c>
      <c r="F82" s="10">
        <f>Sterling!F82/Dollars!O82</f>
        <v>117466182.72012047</v>
      </c>
      <c r="G82" s="10">
        <f>Sterling!G82/Dollars!O82</f>
        <v>169870552.29421991</v>
      </c>
      <c r="H82" s="6">
        <f>Sterling!H82</f>
        <v>0.69150409611117414</v>
      </c>
      <c r="L82">
        <f>Sterling!L82/Dollars!O82</f>
        <v>124245771</v>
      </c>
      <c r="M82">
        <f>Sterling!M82/Dollars!O82</f>
        <v>109741919.40000001</v>
      </c>
      <c r="O82" s="2">
        <v>0.20560055923352111</v>
      </c>
    </row>
    <row r="83" spans="1:15" x14ac:dyDescent="0.25">
      <c r="A83" s="3">
        <v>1900</v>
      </c>
      <c r="B83" s="10">
        <f>Sterling!B83/Dollars!O83</f>
        <v>157615458.52147034</v>
      </c>
      <c r="C83" s="10">
        <f>Sterling!C83/Dollars!O83</f>
        <v>243179787.07475489</v>
      </c>
      <c r="D83" s="6">
        <f>Sterling!D83</f>
        <v>0.64814374754353421</v>
      </c>
      <c r="F83" s="10">
        <f>Sterling!F83/Dollars!O83</f>
        <v>109372195.58788571</v>
      </c>
      <c r="G83" s="10">
        <f>Sterling!G83/Dollars!O83</f>
        <v>136143131.37493035</v>
      </c>
      <c r="H83" s="6">
        <f>Sterling!H83</f>
        <v>0.80336183311871212</v>
      </c>
      <c r="L83">
        <f>Sterling!L83/Dollars!O83</f>
        <v>161344627.59999999</v>
      </c>
      <c r="M83">
        <f>Sterling!M83/Dollars!O83</f>
        <v>104159066.8</v>
      </c>
      <c r="O83" s="2">
        <v>0.2055413960371619</v>
      </c>
    </row>
    <row r="84" spans="1:15" x14ac:dyDescent="0.25">
      <c r="A84" s="3">
        <v>1901</v>
      </c>
      <c r="B84" s="10">
        <f>Sterling!B84/Dollars!O84</f>
        <v>238037077.28243282</v>
      </c>
      <c r="C84" s="10">
        <f>Sterling!C84/Dollars!O84</f>
        <v>373419351.03921115</v>
      </c>
      <c r="D84" s="6">
        <f>Sterling!D84</f>
        <v>0.63745244219397068</v>
      </c>
      <c r="F84" s="10">
        <f>Sterling!F84/Dollars!O84</f>
        <v>92366299.24051927</v>
      </c>
      <c r="G84" s="10">
        <f>Sterling!G84/Dollars!O84</f>
        <v>117931745.34831226</v>
      </c>
      <c r="H84" s="6">
        <f>Sterling!H84</f>
        <v>0.78321828416695383</v>
      </c>
      <c r="L84">
        <f>Sterling!L84/Dollars!O84</f>
        <v>197938819.40000001</v>
      </c>
      <c r="M84">
        <f>Sterling!M84/Dollars!O84</f>
        <v>104163707.89999999</v>
      </c>
      <c r="O84" s="2">
        <v>0.20522502924456668</v>
      </c>
    </row>
    <row r="85" spans="1:15" x14ac:dyDescent="0.25">
      <c r="A85" s="3">
        <v>1902</v>
      </c>
      <c r="B85" s="10">
        <f>Sterling!B85/Dollars!O85</f>
        <v>208858780.79171082</v>
      </c>
      <c r="C85" s="10">
        <f>Sterling!C85/Dollars!O85</f>
        <v>351699932.74392849</v>
      </c>
      <c r="D85" s="6">
        <f>Sterling!D85</f>
        <v>0.59385504899649844</v>
      </c>
      <c r="F85" s="10">
        <f>Sterling!F85/Dollars!O85</f>
        <v>105477271.51072821</v>
      </c>
      <c r="G85" s="10">
        <f>Sterling!G85/Dollars!O85</f>
        <v>146352961.69615674</v>
      </c>
      <c r="H85" s="6">
        <f>Sterling!H85</f>
        <v>0.7207047284065865</v>
      </c>
      <c r="L85">
        <f>Sterling!L85/Dollars!O85</f>
        <v>177517420.30000001</v>
      </c>
      <c r="M85">
        <f>Sterling!M85/Dollars!O85</f>
        <v>113412960.09999999</v>
      </c>
      <c r="O85" s="2">
        <v>0.20525872862743488</v>
      </c>
    </row>
    <row r="86" spans="1:15" x14ac:dyDescent="0.25">
      <c r="A86" s="3">
        <v>1903</v>
      </c>
      <c r="B86" s="10">
        <f>Sterling!B86/Dollars!O86</f>
        <v>229509766.33774015</v>
      </c>
      <c r="C86" s="10">
        <f>Sterling!C86/Dollars!O86</f>
        <v>348554461.83150178</v>
      </c>
      <c r="D86" s="6">
        <f>Sterling!D86</f>
        <v>0.65846170819838701</v>
      </c>
      <c r="F86" s="10">
        <f>Sterling!F86/Dollars!O86</f>
        <v>110200787.24947177</v>
      </c>
      <c r="G86" s="10">
        <f>Sterling!G86/Dollars!O86</f>
        <v>154760953.23535171</v>
      </c>
      <c r="H86" s="6">
        <f>Sterling!H86</f>
        <v>0.71207100334852969</v>
      </c>
      <c r="L86">
        <f>Sterling!L86/Dollars!O86</f>
        <v>179365717.30000001</v>
      </c>
      <c r="M86">
        <f>Sterling!M86/Dollars!O86</f>
        <v>117725924.80000001</v>
      </c>
      <c r="O86" s="2">
        <v>0.20563015360572473</v>
      </c>
    </row>
    <row r="87" spans="1:15" x14ac:dyDescent="0.25">
      <c r="A87" s="3">
        <v>1904</v>
      </c>
      <c r="B87" s="10">
        <f>Sterling!B87/Dollars!O87</f>
        <v>202430268.80883858</v>
      </c>
      <c r="C87" s="10">
        <f>Sterling!C87/Dollars!O87</f>
        <v>275179917.51668924</v>
      </c>
      <c r="D87" s="6">
        <f>Sterling!D87</f>
        <v>0.73562878656129216</v>
      </c>
      <c r="F87" s="10">
        <f>Sterling!F87/Dollars!O87</f>
        <v>118094971.41709213</v>
      </c>
      <c r="G87" s="10">
        <f>Sterling!G87/Dollars!O87</f>
        <v>159363314.24848998</v>
      </c>
      <c r="H87" s="6">
        <f>Sterling!H87</f>
        <v>0.74104239092913515</v>
      </c>
      <c r="L87">
        <f>Sterling!L87/Dollars!O87</f>
        <v>191929468.00000003</v>
      </c>
      <c r="M87">
        <f>Sterling!M87/Dollars!O87</f>
        <v>126143854.00000001</v>
      </c>
      <c r="O87" s="2">
        <v>0.20544005259265344</v>
      </c>
    </row>
    <row r="88" spans="1:15" x14ac:dyDescent="0.25">
      <c r="A88" s="3">
        <v>1905</v>
      </c>
      <c r="B88" s="10">
        <f>Sterling!B88/Dollars!O88</f>
        <v>238210721.85323519</v>
      </c>
      <c r="C88" s="10">
        <f>Sterling!C88/Dollars!O88</f>
        <v>306702036.17628384</v>
      </c>
      <c r="D88" s="6">
        <f>Sterling!D88</f>
        <v>0.77668451381365555</v>
      </c>
      <c r="F88" s="10">
        <f>Sterling!F88/Dollars!O88</f>
        <v>138154643.58419025</v>
      </c>
      <c r="G88" s="10">
        <f>Sterling!G88/Dollars!O88</f>
        <v>167577118.99532664</v>
      </c>
      <c r="H88" s="6">
        <f>Sterling!H88</f>
        <v>0.82442426754002796</v>
      </c>
      <c r="L88">
        <f>Sterling!L88/Dollars!O88</f>
        <v>217197123.59999999</v>
      </c>
      <c r="M88">
        <f>Sterling!M88/Dollars!O88</f>
        <v>145128916</v>
      </c>
      <c r="O88" s="2">
        <v>0.2055413960371619</v>
      </c>
    </row>
    <row r="89" spans="1:15" x14ac:dyDescent="0.25">
      <c r="A89" s="3">
        <v>1906</v>
      </c>
      <c r="B89" s="10">
        <f>Sterling!B89/Dollars!O89</f>
        <v>256435010.87170479</v>
      </c>
      <c r="C89" s="10">
        <f>Sterling!C89/Dollars!O89</f>
        <v>363073008.45876467</v>
      </c>
      <c r="D89" s="6">
        <f>Sterling!D89</f>
        <v>0.70629048400007655</v>
      </c>
      <c r="F89" s="10">
        <f>Sterling!F89/Dollars!O89</f>
        <v>160268267.66608062</v>
      </c>
      <c r="G89" s="10">
        <f>Sterling!G89/Dollars!O89</f>
        <v>199151878.37139732</v>
      </c>
      <c r="H89" s="6">
        <f>Sterling!H89</f>
        <v>0.80475398463075076</v>
      </c>
      <c r="L89">
        <f>Sterling!L89/Dollars!O89</f>
        <v>257378597.19999999</v>
      </c>
      <c r="M89">
        <f>Sterling!M89/Dollars!O89</f>
        <v>161065963.19999999</v>
      </c>
      <c r="O89" s="2">
        <v>0.20615156262884474</v>
      </c>
    </row>
    <row r="90" spans="1:15" x14ac:dyDescent="0.25">
      <c r="A90" s="3">
        <v>1907</v>
      </c>
      <c r="B90" s="10">
        <f>Sterling!B90/Dollars!O90</f>
        <v>265738070.84755108</v>
      </c>
      <c r="C90" s="10">
        <f>Sterling!C90/Dollars!O90</f>
        <v>367254881.13452256</v>
      </c>
      <c r="D90" s="6">
        <f>Sterling!D90</f>
        <v>0.72357941173343676</v>
      </c>
      <c r="F90" s="10">
        <f>Sterling!F90/Dollars!O90</f>
        <v>184096083.42416194</v>
      </c>
      <c r="G90" s="10">
        <f>Sterling!G90/Dollars!O90</f>
        <v>224434915.80560717</v>
      </c>
      <c r="H90" s="6">
        <f>Sterling!H90</f>
        <v>0.82026489845998629</v>
      </c>
      <c r="L90">
        <f>Sterling!L90/Dollars!O90</f>
        <v>263186448.29999998</v>
      </c>
      <c r="M90">
        <f>Sterling!M90/Dollars!O90</f>
        <v>196880971.19999999</v>
      </c>
      <c r="O90" s="2">
        <v>0.20585026451758992</v>
      </c>
    </row>
    <row r="91" spans="1:15" x14ac:dyDescent="0.25">
      <c r="A91" s="3">
        <v>1908</v>
      </c>
      <c r="B91" s="10">
        <f>Sterling!B91/Dollars!O91</f>
        <v>234493746.5021573</v>
      </c>
      <c r="C91" s="10">
        <f>Sterling!C91/Dollars!O91</f>
        <v>337833261.97980773</v>
      </c>
      <c r="D91" s="6">
        <f>Sterling!D91</f>
        <v>0.69411089105895385</v>
      </c>
      <c r="F91" s="10">
        <f>Sterling!F91/Dollars!O91</f>
        <v>160428014.86201549</v>
      </c>
      <c r="G91" s="10">
        <f>Sterling!G91/Dollars!O91</f>
        <v>194350738.57065704</v>
      </c>
      <c r="H91" s="6">
        <f>Sterling!H91</f>
        <v>0.82545616261546229</v>
      </c>
      <c r="L91">
        <f>Sterling!L91/Dollars!O91</f>
        <v>214840568</v>
      </c>
      <c r="M91">
        <f>Sterling!M91/Dollars!O91</f>
        <v>172685009.59999999</v>
      </c>
      <c r="O91" s="2">
        <v>0.20552449852022361</v>
      </c>
    </row>
    <row r="92" spans="1:15" x14ac:dyDescent="0.25">
      <c r="A92" s="3">
        <v>1909</v>
      </c>
      <c r="B92" s="10">
        <f>Sterling!B92/Dollars!O92</f>
        <v>313186941.05595118</v>
      </c>
      <c r="C92" s="10">
        <f>Sterling!C92/Dollars!O92</f>
        <v>409198248.45649666</v>
      </c>
      <c r="D92" s="6">
        <f>Sterling!D92</f>
        <v>0.76536725716030818</v>
      </c>
      <c r="F92" s="10">
        <f>Sterling!F92/Dollars!O92</f>
        <v>162096849.23956278</v>
      </c>
      <c r="G92" s="10">
        <f>Sterling!G92/Dollars!O92</f>
        <v>198785675.56446394</v>
      </c>
      <c r="H92" s="6">
        <f>Sterling!H92</f>
        <v>0.8154352610130432</v>
      </c>
      <c r="L92">
        <f>Sterling!L92/Dollars!O92</f>
        <v>310520679.59999996</v>
      </c>
      <c r="M92">
        <f>Sterling!M92/Dollars!O92</f>
        <v>180974633.09999999</v>
      </c>
      <c r="O92" s="2">
        <v>0.20521660612776788</v>
      </c>
    </row>
    <row r="93" spans="1:15" x14ac:dyDescent="0.25">
      <c r="A93" s="3">
        <v>1910</v>
      </c>
      <c r="B93" s="10">
        <f>Sterling!B93/Dollars!O93</f>
        <v>248945835.21508411</v>
      </c>
      <c r="C93" s="10">
        <f>Sterling!C93/Dollars!O93</f>
        <v>277209338.91482788</v>
      </c>
      <c r="D93" s="6">
        <f>Sterling!D93</f>
        <v>0.89804274339968138</v>
      </c>
      <c r="F93" s="10">
        <f>Sterling!F93/Dollars!O93</f>
        <v>257007945.4424209</v>
      </c>
      <c r="G93" s="10">
        <f>Sterling!G93/Dollars!O93</f>
        <v>282704705.70001817</v>
      </c>
      <c r="H93" s="6">
        <f>Sterling!H93</f>
        <v>0.90910388210918402</v>
      </c>
      <c r="L93">
        <f>Sterling!L93/Dollars!O93</f>
        <v>306816396</v>
      </c>
      <c r="M93">
        <f>Sterling!M93/Dollars!O93</f>
        <v>232801536.00000003</v>
      </c>
      <c r="O93" s="2">
        <v>0.20563438206868187</v>
      </c>
    </row>
    <row r="94" spans="1:15" x14ac:dyDescent="0.25">
      <c r="A94" s="3">
        <v>1911</v>
      </c>
      <c r="B94" s="10">
        <f>Sterling!B94/Dollars!O94</f>
        <v>294530968.26550025</v>
      </c>
      <c r="C94" s="10">
        <f>Sterling!C94/Dollars!O94</f>
        <v>295240863.74290407</v>
      </c>
      <c r="D94" s="6">
        <f>Sterling!D94</f>
        <v>0.99759553786557809</v>
      </c>
      <c r="F94" s="10">
        <f>Sterling!F94/Dollars!O94</f>
        <v>238157844.63385752</v>
      </c>
      <c r="G94" s="10">
        <f>Sterling!G94/Dollars!O94</f>
        <v>264018586.82221073</v>
      </c>
      <c r="H94" s="6">
        <f>Sterling!H94</f>
        <v>0.90204953939183175</v>
      </c>
      <c r="L94">
        <f>Sterling!L94/Dollars!O94</f>
        <v>324991269.70000005</v>
      </c>
      <c r="M94">
        <f>Sterling!M94/Dollars!O94</f>
        <v>256836410.60000002</v>
      </c>
      <c r="O94" s="2">
        <v>0.20566398617938011</v>
      </c>
    </row>
    <row r="95" spans="1:15" x14ac:dyDescent="0.25">
      <c r="A95" s="3">
        <v>1912</v>
      </c>
      <c r="B95" s="10">
        <f>Sterling!B95/Dollars!O95</f>
        <v>362134799.19635904</v>
      </c>
      <c r="C95" s="10">
        <f>Sterling!C95/Dollars!O95</f>
        <v>324945553.94361711</v>
      </c>
      <c r="D95" s="6">
        <f>Sterling!D95</f>
        <v>1.114447619920951</v>
      </c>
      <c r="F95" s="10">
        <f>Sterling!F95/Dollars!O95</f>
        <v>287486637.80900866</v>
      </c>
      <c r="G95" s="10">
        <f>Sterling!G95/Dollars!O95</f>
        <v>288458043.12861806</v>
      </c>
      <c r="H95" s="6">
        <f>Sterling!H95</f>
        <v>0.99663242075321046</v>
      </c>
      <c r="L95">
        <f>Sterling!L95/Dollars!O95</f>
        <v>363227104.20000005</v>
      </c>
      <c r="M95">
        <f>Sterling!M95/Dollars!O95</f>
        <v>308613365</v>
      </c>
      <c r="O95" s="2">
        <v>0.20551605080356775</v>
      </c>
    </row>
    <row r="96" spans="1:15" x14ac:dyDescent="0.25">
      <c r="A96" s="3">
        <v>1913</v>
      </c>
      <c r="B96" s="10">
        <f>Sterling!B96/Dollars!O96</f>
        <v>362477061.38883948</v>
      </c>
      <c r="C96" s="10">
        <f>Sterling!C96/Dollars!O96</f>
        <v>362477061.38883948</v>
      </c>
      <c r="D96" s="6">
        <f>Sterling!D96</f>
        <v>1</v>
      </c>
      <c r="F96" s="10">
        <f>Sterling!F96/Dollars!O96</f>
        <v>286781369.77326685</v>
      </c>
      <c r="G96" s="10">
        <f>Sterling!G96/Dollars!O96</f>
        <v>286781369.77326685</v>
      </c>
      <c r="H96" s="6">
        <f>Sterling!H96</f>
        <v>1</v>
      </c>
      <c r="L96">
        <f>Sterling!L96/Dollars!O96</f>
        <v>318334028.69999999</v>
      </c>
      <c r="M96">
        <f>Sterling!M96/Dollars!O96</f>
        <v>326675274.19999999</v>
      </c>
      <c r="O96" s="2">
        <v>0.20560478647942926</v>
      </c>
    </row>
  </sheetData>
  <mergeCells count="3">
    <mergeCell ref="B1:D1"/>
    <mergeCell ref="F1:H1"/>
    <mergeCell ref="L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D10" workbookViewId="0">
      <selection activeCell="U28" sqref="U28"/>
    </sheetView>
  </sheetViews>
  <sheetFormatPr defaultColWidth="8.85546875" defaultRowHeight="15" x14ac:dyDescent="0.25"/>
  <cols>
    <col min="1" max="1" width="11.42578125" style="1" customWidth="1"/>
    <col min="2" max="2" width="13" customWidth="1"/>
    <col min="3" max="3" width="18.42578125" customWidth="1"/>
    <col min="10" max="10" width="10" bestFit="1" customWidth="1"/>
  </cols>
  <sheetData>
    <row r="1" spans="1:11" x14ac:dyDescent="0.25">
      <c r="A1" s="3"/>
      <c r="B1" s="72" t="s">
        <v>5</v>
      </c>
      <c r="C1" s="72"/>
      <c r="D1" s="72"/>
      <c r="E1" s="72"/>
      <c r="F1" s="72"/>
      <c r="J1" s="20" t="s">
        <v>6</v>
      </c>
    </row>
    <row r="2" spans="1:11" x14ac:dyDescent="0.25">
      <c r="A2" s="3" t="s">
        <v>0</v>
      </c>
    </row>
    <row r="3" spans="1:11" x14ac:dyDescent="0.25">
      <c r="A3" s="3"/>
      <c r="B3" s="73" t="s">
        <v>17</v>
      </c>
      <c r="C3" s="73"/>
      <c r="E3" t="s">
        <v>20</v>
      </c>
      <c r="J3" t="s">
        <v>21</v>
      </c>
    </row>
    <row r="4" spans="1:11" x14ac:dyDescent="0.25">
      <c r="A4" s="3"/>
      <c r="B4" t="s">
        <v>11</v>
      </c>
      <c r="C4" t="s">
        <v>11</v>
      </c>
      <c r="E4" t="s">
        <v>11</v>
      </c>
      <c r="F4" t="s">
        <v>11</v>
      </c>
      <c r="J4" t="s">
        <v>11</v>
      </c>
      <c r="K4" t="s">
        <v>11</v>
      </c>
    </row>
    <row r="5" spans="1:11" x14ac:dyDescent="0.25">
      <c r="A5" s="3"/>
      <c r="B5" t="s">
        <v>18</v>
      </c>
      <c r="C5" t="s">
        <v>19</v>
      </c>
      <c r="E5" t="s">
        <v>18</v>
      </c>
      <c r="F5" t="s">
        <v>19</v>
      </c>
      <c r="J5" t="s">
        <v>18</v>
      </c>
      <c r="K5" t="s">
        <v>19</v>
      </c>
    </row>
    <row r="6" spans="1:11" x14ac:dyDescent="0.25">
      <c r="A6" s="3">
        <v>1821</v>
      </c>
      <c r="B6" s="11">
        <v>3467828.5864049024</v>
      </c>
      <c r="C6" s="11">
        <v>16717708.049340755</v>
      </c>
      <c r="E6">
        <v>4120533.6808565673</v>
      </c>
      <c r="F6">
        <v>19864268.768673342</v>
      </c>
      <c r="J6" s="11">
        <v>2676753.6960746516</v>
      </c>
      <c r="K6">
        <v>12904094.218036681</v>
      </c>
    </row>
    <row r="7" spans="1:11" x14ac:dyDescent="0.25">
      <c r="A7" s="3">
        <f t="shared" ref="A7:A34" si="0">A6+1</f>
        <v>1822</v>
      </c>
      <c r="B7" s="11">
        <v>3831786.9539088416</v>
      </c>
      <c r="C7" s="11">
        <v>19073485.920472041</v>
      </c>
      <c r="E7">
        <v>4537780.6692268485</v>
      </c>
      <c r="F7">
        <v>22587710.837210484</v>
      </c>
      <c r="J7" s="11">
        <v>2368191.5506982943</v>
      </c>
      <c r="K7">
        <v>11788147.081910899</v>
      </c>
    </row>
    <row r="8" spans="1:11" x14ac:dyDescent="0.25">
      <c r="A8" s="3">
        <f t="shared" si="0"/>
        <v>1823</v>
      </c>
      <c r="B8" s="11">
        <v>4490222.3187593045</v>
      </c>
      <c r="C8" s="11">
        <v>21550822.018885285</v>
      </c>
      <c r="E8">
        <v>5408005.4945024075</v>
      </c>
      <c r="F8">
        <v>25955722.370864306</v>
      </c>
      <c r="J8" s="11">
        <v>2000291.0986996691</v>
      </c>
      <c r="K8">
        <v>9600397.1282090619</v>
      </c>
    </row>
    <row r="9" spans="1:11" x14ac:dyDescent="0.25">
      <c r="A9" s="3">
        <f t="shared" si="0"/>
        <v>1824</v>
      </c>
      <c r="B9" s="11">
        <v>4104671.868523743</v>
      </c>
      <c r="C9" s="11">
        <v>19978669.385665614</v>
      </c>
      <c r="E9">
        <v>4949652.5925016282</v>
      </c>
      <c r="F9">
        <v>24091444.063483175</v>
      </c>
      <c r="J9" s="11">
        <v>3041532.6424606754</v>
      </c>
      <c r="K9">
        <v>14804051.830648845</v>
      </c>
    </row>
    <row r="10" spans="1:11" x14ac:dyDescent="0.25">
      <c r="A10" s="3">
        <f t="shared" si="0"/>
        <v>1825</v>
      </c>
      <c r="B10" s="11">
        <v>4380299.5447019618</v>
      </c>
      <c r="C10" s="11">
        <v>21154656.651138127</v>
      </c>
      <c r="E10">
        <v>5240943.4598265011</v>
      </c>
      <c r="F10">
        <v>25311136.439232089</v>
      </c>
      <c r="J10" s="11">
        <v>3482041.0741718449</v>
      </c>
      <c r="K10">
        <v>16816517.367712926</v>
      </c>
    </row>
    <row r="11" spans="1:11" x14ac:dyDescent="0.25">
      <c r="A11" s="3">
        <f t="shared" si="0"/>
        <v>1826</v>
      </c>
      <c r="B11" s="11">
        <v>3212908.6282973411</v>
      </c>
      <c r="C11" s="11">
        <v>15808795.614674237</v>
      </c>
      <c r="E11">
        <v>3834528.5218393025</v>
      </c>
      <c r="F11">
        <v>18867414.138858106</v>
      </c>
      <c r="J11" s="11">
        <v>3399422.7949124724</v>
      </c>
      <c r="K11">
        <v>16726519.92008733</v>
      </c>
    </row>
    <row r="12" spans="1:11" x14ac:dyDescent="0.25">
      <c r="A12" s="3">
        <f t="shared" si="0"/>
        <v>1827</v>
      </c>
      <c r="B12" s="11">
        <v>3968419.724447838</v>
      </c>
      <c r="C12" s="11">
        <v>19587326.075929638</v>
      </c>
      <c r="E12">
        <v>4812415.0547187887</v>
      </c>
      <c r="F12">
        <v>23753118.227080997</v>
      </c>
      <c r="J12" s="11">
        <v>3557140.7072030446</v>
      </c>
      <c r="K12">
        <v>17557335.102612786</v>
      </c>
    </row>
    <row r="13" spans="1:11" x14ac:dyDescent="0.25">
      <c r="A13" s="3">
        <f t="shared" si="0"/>
        <v>1828</v>
      </c>
      <c r="B13" s="11">
        <v>4382544.0482121641</v>
      </c>
      <c r="C13" s="11">
        <v>21598930.08720883</v>
      </c>
      <c r="E13">
        <v>5239820.1275043869</v>
      </c>
      <c r="F13">
        <v>25823929.516392618</v>
      </c>
      <c r="J13" s="11">
        <v>4953579.411951934</v>
      </c>
      <c r="K13">
        <v>24413220.773863912</v>
      </c>
    </row>
    <row r="14" spans="1:11" x14ac:dyDescent="0.25">
      <c r="A14" s="3">
        <f t="shared" si="0"/>
        <v>1829</v>
      </c>
      <c r="B14" s="11">
        <v>3781203.4028412225</v>
      </c>
      <c r="C14" s="11">
        <v>18384210.944614023</v>
      </c>
      <c r="E14">
        <v>4578914.1973880837</v>
      </c>
      <c r="F14">
        <v>22262680.827700861</v>
      </c>
      <c r="J14" s="11">
        <v>3834513.6233491753</v>
      </c>
      <c r="K14">
        <v>18643405.236723691</v>
      </c>
    </row>
    <row r="15" spans="1:11" x14ac:dyDescent="0.25">
      <c r="A15" s="3">
        <f t="shared" si="0"/>
        <v>1830</v>
      </c>
      <c r="B15" s="11">
        <v>3899436.1410933165</v>
      </c>
      <c r="C15" s="11">
        <v>18567555.129429936</v>
      </c>
      <c r="E15">
        <v>4841141.4980734894</v>
      </c>
      <c r="F15">
        <v>23051579.357226726</v>
      </c>
      <c r="J15" s="11">
        <v>3558096.6813851562</v>
      </c>
      <c r="K15">
        <v>16942233.158083558</v>
      </c>
    </row>
    <row r="16" spans="1:11" x14ac:dyDescent="0.25">
      <c r="A16" s="3">
        <f t="shared" si="0"/>
        <v>1831</v>
      </c>
      <c r="B16" s="11">
        <v>4128363.4977191081</v>
      </c>
      <c r="C16" s="11">
        <v>20064259.43526464</v>
      </c>
      <c r="E16">
        <v>4934237.6917817481</v>
      </c>
      <c r="F16">
        <v>23980888.605828475</v>
      </c>
      <c r="J16" s="11">
        <v>2220269.2467525275</v>
      </c>
      <c r="K16">
        <v>10790730.566141959</v>
      </c>
    </row>
    <row r="17" spans="1:11" x14ac:dyDescent="0.25">
      <c r="A17" s="3">
        <f t="shared" si="0"/>
        <v>1832</v>
      </c>
      <c r="B17" s="11">
        <v>5094273.1729428768</v>
      </c>
      <c r="C17" s="11">
        <v>24746450.792204615</v>
      </c>
      <c r="E17">
        <v>6198181.087333994</v>
      </c>
      <c r="F17">
        <v>30108904.267942347</v>
      </c>
      <c r="J17" s="11">
        <v>3542313.7180854608</v>
      </c>
      <c r="K17">
        <v>17207497.348343745</v>
      </c>
    </row>
    <row r="18" spans="1:11" x14ac:dyDescent="0.25">
      <c r="A18" s="3">
        <f t="shared" si="0"/>
        <v>1833</v>
      </c>
      <c r="B18" s="11">
        <v>6935264.2249750206</v>
      </c>
      <c r="C18" s="11">
        <v>33200496.897800423</v>
      </c>
      <c r="E18">
        <v>8317612.2893870715</v>
      </c>
      <c r="F18">
        <v>39818073.551753797</v>
      </c>
      <c r="J18" s="11">
        <v>4738285.3077646382</v>
      </c>
      <c r="K18">
        <v>22683119.425330877</v>
      </c>
    </row>
    <row r="19" spans="1:11" x14ac:dyDescent="0.25">
      <c r="A19" s="3">
        <f t="shared" si="0"/>
        <v>1834</v>
      </c>
      <c r="B19" s="11">
        <v>6465958.9712099498</v>
      </c>
      <c r="C19" s="11">
        <v>29990410.900265992</v>
      </c>
      <c r="E19">
        <v>7763714.3290947257</v>
      </c>
      <c r="F19">
        <v>36009659.801207155</v>
      </c>
      <c r="J19" s="11">
        <v>4456533.6605177205</v>
      </c>
      <c r="K19">
        <v>20670294.42421329</v>
      </c>
    </row>
    <row r="20" spans="1:11" x14ac:dyDescent="0.25">
      <c r="A20" s="3">
        <f t="shared" si="0"/>
        <v>1835</v>
      </c>
      <c r="B20" s="11">
        <v>7585949.8285414539</v>
      </c>
      <c r="C20" s="11">
        <v>36790339.478460342</v>
      </c>
      <c r="E20">
        <v>9090262.1613719985</v>
      </c>
      <c r="F20">
        <v>44085953.430221915</v>
      </c>
      <c r="J20" s="11">
        <v>5229862.7560350141</v>
      </c>
      <c r="K20">
        <v>25363788.394218609</v>
      </c>
    </row>
    <row r="21" spans="1:11" x14ac:dyDescent="0.25">
      <c r="A21" s="3">
        <f t="shared" si="0"/>
        <v>1836</v>
      </c>
      <c r="B21" s="11">
        <v>7713496.3568126382</v>
      </c>
      <c r="C21" s="11">
        <v>37158225.999673523</v>
      </c>
      <c r="E21">
        <v>9759501.6525856983</v>
      </c>
      <c r="F21">
        <v>47014447.311001085</v>
      </c>
      <c r="J21" s="11">
        <v>6301247.0171922352</v>
      </c>
      <c r="K21">
        <v>30354997.255920157</v>
      </c>
    </row>
    <row r="22" spans="1:11" x14ac:dyDescent="0.25">
      <c r="A22" s="3">
        <f t="shared" si="0"/>
        <v>1837</v>
      </c>
      <c r="B22" s="11">
        <v>5790496.03290156</v>
      </c>
      <c r="C22" s="11">
        <v>29522844.023748603</v>
      </c>
      <c r="E22">
        <v>7476025.5797235984</v>
      </c>
      <c r="F22">
        <v>38116516.418220766</v>
      </c>
      <c r="J22" s="11">
        <v>4930547.6550182756</v>
      </c>
      <c r="K22">
        <v>25138397.219110675</v>
      </c>
    </row>
    <row r="23" spans="1:11" x14ac:dyDescent="0.25">
      <c r="A23" s="3">
        <f t="shared" si="0"/>
        <v>1838</v>
      </c>
      <c r="B23" s="11">
        <v>6019674.3172703581</v>
      </c>
      <c r="C23" s="11">
        <v>29413934.616478153</v>
      </c>
      <c r="E23">
        <v>7818111.8925989997</v>
      </c>
      <c r="F23">
        <v>38201640.140806496</v>
      </c>
      <c r="J23" s="11">
        <v>4970790.9032638641</v>
      </c>
      <c r="K23">
        <v>24288775.590618219</v>
      </c>
    </row>
    <row r="24" spans="1:11" x14ac:dyDescent="0.25">
      <c r="A24" s="3">
        <f t="shared" si="0"/>
        <v>1839</v>
      </c>
      <c r="B24" s="11">
        <v>6725507.0256584566</v>
      </c>
      <c r="C24" s="11">
        <v>33523289.769394573</v>
      </c>
      <c r="E24">
        <v>8644512.5534795392</v>
      </c>
      <c r="F24">
        <v>43088572.822818764</v>
      </c>
      <c r="J24" s="11">
        <v>5165618.1852695681</v>
      </c>
      <c r="K24">
        <v>25748023.84447616</v>
      </c>
    </row>
    <row r="25" spans="1:11" x14ac:dyDescent="0.25">
      <c r="A25" s="3">
        <f t="shared" si="0"/>
        <v>1840</v>
      </c>
      <c r="B25" s="11">
        <v>7169899.9040041314</v>
      </c>
      <c r="C25" s="11">
        <v>35851650.489991859</v>
      </c>
      <c r="E25">
        <v>9214316.8906003945</v>
      </c>
      <c r="F25">
        <v>46074348.748069152</v>
      </c>
      <c r="J25" s="11">
        <v>6204663.607903624</v>
      </c>
      <c r="K25">
        <v>31025179.438600492</v>
      </c>
    </row>
    <row r="26" spans="1:11" x14ac:dyDescent="0.25">
      <c r="A26" s="3">
        <f t="shared" si="0"/>
        <v>1841</v>
      </c>
      <c r="B26" s="11">
        <v>6896585.8336022673</v>
      </c>
      <c r="C26" s="11">
        <v>34409135.699591793</v>
      </c>
      <c r="E26">
        <v>8836992.4362612143</v>
      </c>
      <c r="F26">
        <v>44090406.362238079</v>
      </c>
      <c r="J26" s="11">
        <v>5554110.7026766157</v>
      </c>
      <c r="K26">
        <v>27711124.52886444</v>
      </c>
    </row>
    <row r="27" spans="1:11" x14ac:dyDescent="0.25">
      <c r="A27" s="3">
        <f t="shared" si="0"/>
        <v>1842</v>
      </c>
      <c r="B27" s="11">
        <v>6320328.4048515735</v>
      </c>
      <c r="C27" s="11">
        <v>30319879.423753969</v>
      </c>
      <c r="E27">
        <v>8038599.6837863959</v>
      </c>
      <c r="F27">
        <v>38562770.403060101</v>
      </c>
      <c r="J27" s="11">
        <v>4551228.2221327396</v>
      </c>
      <c r="K27">
        <v>21833152.027215179</v>
      </c>
    </row>
    <row r="28" spans="1:11" x14ac:dyDescent="0.25">
      <c r="A28" s="3">
        <f t="shared" si="0"/>
        <v>1843</v>
      </c>
      <c r="B28" s="11">
        <v>6626976.9936320446</v>
      </c>
      <c r="C28" s="11">
        <v>31728640.450111501</v>
      </c>
      <c r="E28">
        <v>8397662.9035790339</v>
      </c>
      <c r="F28">
        <v>40206330.449755698</v>
      </c>
      <c r="J28" s="11">
        <v>4683490.7556928489</v>
      </c>
      <c r="K28">
        <v>22423617.040106222</v>
      </c>
    </row>
    <row r="29" spans="1:11" x14ac:dyDescent="0.25">
      <c r="A29" s="3">
        <f t="shared" si="0"/>
        <v>1844</v>
      </c>
      <c r="B29" s="11">
        <v>6915079.9168803105</v>
      </c>
      <c r="C29" s="11">
        <v>33603830.856079869</v>
      </c>
      <c r="E29">
        <v>8788743.938413227</v>
      </c>
      <c r="F29">
        <v>42708901.168719076</v>
      </c>
      <c r="J29" s="11">
        <v>5587658.3519044016</v>
      </c>
      <c r="K29">
        <v>27153225.761079438</v>
      </c>
    </row>
    <row r="30" spans="1:11" x14ac:dyDescent="0.25">
      <c r="A30" s="3">
        <f t="shared" si="0"/>
        <v>1845</v>
      </c>
      <c r="B30" s="11">
        <v>7506133.3939972166</v>
      </c>
      <c r="C30" s="11">
        <v>36564627.602178633</v>
      </c>
      <c r="E30">
        <v>9558312.5349277779</v>
      </c>
      <c r="F30">
        <v>46561407.851393677</v>
      </c>
      <c r="J30" s="11">
        <v>5269632.8830914209</v>
      </c>
      <c r="K30">
        <v>25669962.663403235</v>
      </c>
    </row>
    <row r="31" spans="1:11" x14ac:dyDescent="0.25">
      <c r="A31" s="3">
        <f t="shared" si="0"/>
        <v>1846</v>
      </c>
      <c r="B31" s="11">
        <v>8056270.5227312241</v>
      </c>
      <c r="C31" s="11">
        <v>38798193.210421301</v>
      </c>
      <c r="E31">
        <v>10287136.618525151</v>
      </c>
      <c r="F31">
        <v>49541821.241155274</v>
      </c>
      <c r="J31" s="11">
        <v>8119227.3575057536</v>
      </c>
      <c r="K31">
        <v>39101387.031011961</v>
      </c>
    </row>
    <row r="32" spans="1:11" x14ac:dyDescent="0.25">
      <c r="A32" s="3">
        <f t="shared" si="0"/>
        <v>1847</v>
      </c>
      <c r="B32" s="11">
        <v>8263758.6690079579</v>
      </c>
      <c r="C32" s="11">
        <v>39611500.804022744</v>
      </c>
      <c r="E32">
        <v>10641248.265999138</v>
      </c>
      <c r="F32">
        <v>51007759.438240267</v>
      </c>
      <c r="J32" s="11">
        <v>5184672.6066919137</v>
      </c>
      <c r="K32">
        <v>24852209.67291702</v>
      </c>
    </row>
    <row r="33" spans="1:11" x14ac:dyDescent="0.25">
      <c r="A33" s="3">
        <f t="shared" si="0"/>
        <v>1848</v>
      </c>
      <c r="B33" s="11">
        <v>7385232.3864053311</v>
      </c>
      <c r="C33" s="11">
        <v>35955003.873214357</v>
      </c>
      <c r="E33">
        <v>9437261.1688085143</v>
      </c>
      <c r="F33">
        <v>45945306.000344254</v>
      </c>
      <c r="J33" s="11">
        <v>4626766.7513795597</v>
      </c>
      <c r="K33">
        <v>22525413.929091386</v>
      </c>
    </row>
    <row r="34" spans="1:11" x14ac:dyDescent="0.25">
      <c r="A34" s="3">
        <f t="shared" si="0"/>
        <v>1849</v>
      </c>
      <c r="B34" s="11">
        <v>7448806.5396699337</v>
      </c>
      <c r="C34" s="11">
        <v>35857809.801317096</v>
      </c>
      <c r="E34">
        <v>9502226.156363219</v>
      </c>
      <c r="F34">
        <v>45742766.494116902</v>
      </c>
      <c r="J34" s="11">
        <v>4903242.3341856059</v>
      </c>
      <c r="K34">
        <v>23603718.272536092</v>
      </c>
    </row>
    <row r="35" spans="1:11" x14ac:dyDescent="0.25">
      <c r="A35" s="3">
        <v>1850</v>
      </c>
      <c r="B35" s="11">
        <v>9653194.3499430008</v>
      </c>
      <c r="C35" s="11">
        <v>47012987.123092398</v>
      </c>
      <c r="E35">
        <v>12298169.64564704</v>
      </c>
      <c r="F35">
        <v>59894545.808230206</v>
      </c>
      <c r="J35" s="11">
        <v>5311429.5353100998</v>
      </c>
      <c r="K35">
        <v>25867724.122867245</v>
      </c>
    </row>
    <row r="36" spans="1:11" x14ac:dyDescent="0.25">
      <c r="A36" s="3">
        <v>1851</v>
      </c>
      <c r="B36" s="11">
        <v>8713040.4417610597</v>
      </c>
      <c r="C36" s="11">
        <v>42804553.778239556</v>
      </c>
      <c r="E36">
        <v>10928415.30642546</v>
      </c>
      <c r="F36">
        <v>53688025.87587636</v>
      </c>
      <c r="J36" s="11">
        <v>7937776.3792914012</v>
      </c>
      <c r="K36">
        <v>38995914.018544868</v>
      </c>
    </row>
    <row r="37" spans="1:11" x14ac:dyDescent="0.25">
      <c r="A37" s="3">
        <v>1852</v>
      </c>
      <c r="B37" s="11">
        <v>9187789.3165885229</v>
      </c>
      <c r="C37" s="11">
        <v>45036705.67205362</v>
      </c>
      <c r="E37">
        <v>11468682.754540524</v>
      </c>
      <c r="F37">
        <v>56217189.126206733</v>
      </c>
      <c r="J37" s="11">
        <v>7194343.0632703612</v>
      </c>
      <c r="K37">
        <v>35265230.827538654</v>
      </c>
    </row>
    <row r="38" spans="1:11" x14ac:dyDescent="0.25">
      <c r="A38" s="3">
        <v>1853</v>
      </c>
      <c r="B38" s="11">
        <v>10329525.027938796</v>
      </c>
      <c r="C38" s="11">
        <v>50487619.479056455</v>
      </c>
      <c r="E38">
        <v>12655354.750708228</v>
      </c>
      <c r="F38">
        <v>61855577.415036604</v>
      </c>
      <c r="J38" s="11">
        <v>7497221.2684335932</v>
      </c>
      <c r="K38">
        <v>36644168.393722869</v>
      </c>
    </row>
    <row r="39" spans="1:11" x14ac:dyDescent="0.25">
      <c r="A39" s="3">
        <v>1854</v>
      </c>
      <c r="B39" s="11">
        <v>10359115.054526474</v>
      </c>
      <c r="C39" s="11">
        <v>50579415.165230967</v>
      </c>
      <c r="E39">
        <v>13436605.281501759</v>
      </c>
      <c r="F39">
        <v>65605568.947460495</v>
      </c>
      <c r="J39" s="11">
        <v>7266248.419931639</v>
      </c>
      <c r="K39">
        <v>35478184.535158224</v>
      </c>
    </row>
    <row r="40" spans="1:11" x14ac:dyDescent="0.25">
      <c r="A40" s="7">
        <v>1855</v>
      </c>
      <c r="B40" s="11">
        <v>11777916.455810443</v>
      </c>
      <c r="C40" s="11">
        <v>57549255.386380978</v>
      </c>
      <c r="E40">
        <v>15070236.161914522</v>
      </c>
      <c r="F40">
        <v>73636187.934346735</v>
      </c>
      <c r="J40" s="11">
        <v>8713037.2557753343</v>
      </c>
      <c r="K40">
        <v>42573642.639169432</v>
      </c>
    </row>
    <row r="41" spans="1:11" x14ac:dyDescent="0.25">
      <c r="A41" s="3">
        <f t="shared" ref="A41:A72" si="1">A40+1</f>
        <v>1856</v>
      </c>
      <c r="B41" s="11">
        <v>12311719.394124078</v>
      </c>
      <c r="C41" s="11">
        <v>60436999.333815679</v>
      </c>
      <c r="E41">
        <v>15716144.823637033</v>
      </c>
      <c r="F41">
        <v>77148983.324751824</v>
      </c>
      <c r="J41" s="11">
        <v>11153976.119265461</v>
      </c>
      <c r="K41">
        <v>54753753.371862218</v>
      </c>
    </row>
    <row r="42" spans="1:11" x14ac:dyDescent="0.25">
      <c r="A42" s="3">
        <f t="shared" si="1"/>
        <v>1857</v>
      </c>
      <c r="B42" s="11">
        <v>13126408.558103748</v>
      </c>
      <c r="C42" s="11">
        <v>64169760.877145991</v>
      </c>
      <c r="E42">
        <v>16599277.789039088</v>
      </c>
      <c r="F42">
        <v>81147229.399496496</v>
      </c>
      <c r="J42" s="11">
        <v>12002301.336946877</v>
      </c>
      <c r="K42">
        <v>58674450.315798506</v>
      </c>
    </row>
    <row r="43" spans="1:11" x14ac:dyDescent="0.25">
      <c r="A43" s="3">
        <f t="shared" si="1"/>
        <v>1858</v>
      </c>
      <c r="B43" s="11">
        <v>10632130.154307501</v>
      </c>
      <c r="C43" s="11">
        <v>51645572.224548683</v>
      </c>
      <c r="E43">
        <v>13861889.469769988</v>
      </c>
      <c r="F43">
        <v>67334128.099407718</v>
      </c>
      <c r="J43" s="11">
        <v>9237164.6097331308</v>
      </c>
      <c r="K43">
        <v>44869527.091778681</v>
      </c>
    </row>
    <row r="44" spans="1:11" x14ac:dyDescent="0.25">
      <c r="A44" s="3">
        <f t="shared" si="1"/>
        <v>1859</v>
      </c>
      <c r="B44" s="11">
        <v>12001014.200428013</v>
      </c>
      <c r="C44" s="11">
        <v>58675358.628732637</v>
      </c>
      <c r="E44">
        <v>15412617.517393148</v>
      </c>
      <c r="F44">
        <v>75355369.566038579</v>
      </c>
      <c r="J44" s="11">
        <v>9786859.2852064036</v>
      </c>
      <c r="K44">
        <v>47849912.417231143</v>
      </c>
    </row>
    <row r="45" spans="1:11" x14ac:dyDescent="0.25">
      <c r="A45" s="3">
        <f t="shared" si="1"/>
        <v>1860</v>
      </c>
      <c r="B45" s="11">
        <v>13579503.379400631</v>
      </c>
      <c r="C45" s="11">
        <v>65851085.737727486</v>
      </c>
      <c r="E45">
        <v>16993838.057807237</v>
      </c>
      <c r="F45">
        <v>82408218.893724635</v>
      </c>
      <c r="J45" s="11">
        <v>10444545.694554057</v>
      </c>
      <c r="K45">
        <v>50648735.436600991</v>
      </c>
    </row>
    <row r="46" spans="1:11" x14ac:dyDescent="0.25">
      <c r="A46" s="3">
        <f t="shared" si="1"/>
        <v>1861</v>
      </c>
      <c r="B46" s="11">
        <v>13292014.649760453</v>
      </c>
      <c r="C46" s="11">
        <v>64456966.641083367</v>
      </c>
      <c r="E46">
        <v>16947144.452365469</v>
      </c>
      <c r="F46">
        <v>82181787.592855871</v>
      </c>
      <c r="J46" s="11">
        <v>11384408.294345075</v>
      </c>
      <c r="K46">
        <v>55206411.141767576</v>
      </c>
    </row>
    <row r="47" spans="1:11" x14ac:dyDescent="0.25">
      <c r="A47" s="3">
        <f t="shared" si="1"/>
        <v>1862</v>
      </c>
      <c r="B47" s="11">
        <v>13746087.086482637</v>
      </c>
      <c r="C47" s="11">
        <v>66658900.108480252</v>
      </c>
      <c r="E47">
        <v>18145938.979849707</v>
      </c>
      <c r="F47">
        <v>87995101.894985184</v>
      </c>
      <c r="J47" s="11">
        <v>9503548.8974905144</v>
      </c>
      <c r="K47">
        <v>46085559.668600753</v>
      </c>
    </row>
    <row r="48" spans="1:11" x14ac:dyDescent="0.25">
      <c r="A48" s="3">
        <f t="shared" si="1"/>
        <v>1863</v>
      </c>
      <c r="B48" s="11">
        <v>13758180.332949609</v>
      </c>
      <c r="C48" s="11">
        <v>66717543.888572544</v>
      </c>
      <c r="E48">
        <v>17991687.532293934</v>
      </c>
      <c r="F48">
        <v>87247090.350352988</v>
      </c>
      <c r="J48" s="11">
        <v>9577479.2021954898</v>
      </c>
      <c r="K48">
        <v>46444069.895206593</v>
      </c>
    </row>
    <row r="49" spans="1:11" x14ac:dyDescent="0.25">
      <c r="A49" s="3">
        <f t="shared" si="1"/>
        <v>1864</v>
      </c>
      <c r="B49" s="11">
        <v>16001885.657280782</v>
      </c>
      <c r="C49" s="11">
        <v>77597944.117851704</v>
      </c>
      <c r="E49">
        <v>21068937.127530675</v>
      </c>
      <c r="F49">
        <v>102169596.81253451</v>
      </c>
      <c r="J49" s="11">
        <v>14347511.564160282</v>
      </c>
      <c r="K49">
        <v>69575387.828082457</v>
      </c>
    </row>
    <row r="50" spans="1:11" x14ac:dyDescent="0.25">
      <c r="A50" s="3">
        <f t="shared" si="1"/>
        <v>1865</v>
      </c>
      <c r="B50" s="11">
        <v>16198648.832166383</v>
      </c>
      <c r="C50" s="11">
        <v>78552107.78182444</v>
      </c>
      <c r="E50">
        <v>21421694.499643765</v>
      </c>
      <c r="F50">
        <v>103880223.13712251</v>
      </c>
      <c r="J50" s="11">
        <v>13950390.900457811</v>
      </c>
      <c r="K50">
        <v>67649630.593590066</v>
      </c>
    </row>
    <row r="51" spans="1:11" x14ac:dyDescent="0.25">
      <c r="A51" s="3">
        <f t="shared" si="1"/>
        <v>1866</v>
      </c>
      <c r="B51" s="11">
        <v>16428476.602838004</v>
      </c>
      <c r="C51" s="11">
        <v>79666611.590142339</v>
      </c>
      <c r="E51">
        <v>21670100.173391487</v>
      </c>
      <c r="F51">
        <v>105084816.77082734</v>
      </c>
      <c r="J51" s="11">
        <v>15404287.155443329</v>
      </c>
      <c r="K51">
        <v>74700009.702891335</v>
      </c>
    </row>
    <row r="52" spans="1:11" x14ac:dyDescent="0.25">
      <c r="A52" s="3">
        <f t="shared" si="1"/>
        <v>1867</v>
      </c>
      <c r="B52" s="11">
        <v>16259390.320453359</v>
      </c>
      <c r="C52" s="11">
        <v>78846661.480974481</v>
      </c>
      <c r="E52">
        <v>21557740.132772785</v>
      </c>
      <c r="F52">
        <v>104539949.22585507</v>
      </c>
      <c r="J52" s="11">
        <v>12911314.916399552</v>
      </c>
      <c r="K52">
        <v>62610839.424096346</v>
      </c>
    </row>
    <row r="53" spans="1:11" x14ac:dyDescent="0.25">
      <c r="A53" s="3">
        <f t="shared" si="1"/>
        <v>1868</v>
      </c>
      <c r="B53" s="11">
        <v>17016440.133117009</v>
      </c>
      <c r="C53" s="11">
        <v>82517823.137524322</v>
      </c>
      <c r="E53">
        <v>23006074.977856584</v>
      </c>
      <c r="F53">
        <v>111563359.39011994</v>
      </c>
      <c r="J53" s="11">
        <v>11727488.308969632</v>
      </c>
      <c r="K53">
        <v>56870109.056686439</v>
      </c>
    </row>
    <row r="54" spans="1:11" x14ac:dyDescent="0.25">
      <c r="A54" s="3">
        <f t="shared" si="1"/>
        <v>1869</v>
      </c>
      <c r="B54" s="11">
        <v>16423963.190408655</v>
      </c>
      <c r="C54" s="11">
        <v>79644724.699248686</v>
      </c>
      <c r="E54">
        <v>22484527.592231583</v>
      </c>
      <c r="F54">
        <v>109034219.65300862</v>
      </c>
      <c r="J54" s="11">
        <v>14702486.687584212</v>
      </c>
      <c r="K54">
        <v>71296768.694102123</v>
      </c>
    </row>
    <row r="55" spans="1:11" x14ac:dyDescent="0.25">
      <c r="A55" s="3">
        <f t="shared" si="1"/>
        <v>1870</v>
      </c>
      <c r="B55" s="11">
        <v>16279841.400539223</v>
      </c>
      <c r="C55" s="11">
        <v>78945834.903634861</v>
      </c>
      <c r="E55">
        <v>22149980.324916616</v>
      </c>
      <c r="F55">
        <v>107411899.58961815</v>
      </c>
      <c r="J55" s="11">
        <v>11396234.020103915</v>
      </c>
      <c r="K55">
        <v>55263757.633689918</v>
      </c>
    </row>
    <row r="56" spans="1:11" x14ac:dyDescent="0.25">
      <c r="A56" s="3">
        <f t="shared" si="1"/>
        <v>1871</v>
      </c>
      <c r="B56" s="11">
        <v>18803069.208589338</v>
      </c>
      <c r="C56" s="11">
        <v>91181723.513212278</v>
      </c>
      <c r="E56">
        <v>25673617.746104676</v>
      </c>
      <c r="F56">
        <v>124499074.53618541</v>
      </c>
      <c r="J56" s="11">
        <v>12662953.069145098</v>
      </c>
      <c r="K56">
        <v>61406458.318205327</v>
      </c>
    </row>
    <row r="57" spans="1:11" x14ac:dyDescent="0.25">
      <c r="A57" s="3">
        <f t="shared" si="1"/>
        <v>1872</v>
      </c>
      <c r="B57" s="11">
        <v>22475841.670253798</v>
      </c>
      <c r="C57" s="11">
        <v>108992099.01156175</v>
      </c>
      <c r="E57">
        <v>31062429.76929947</v>
      </c>
      <c r="F57">
        <v>150631040.68026394</v>
      </c>
      <c r="J57" s="11">
        <v>15519758.879486626</v>
      </c>
      <c r="K57">
        <v>75259966.734294504</v>
      </c>
    </row>
    <row r="58" spans="1:11" x14ac:dyDescent="0.25">
      <c r="A58" s="3">
        <f t="shared" si="1"/>
        <v>1873</v>
      </c>
      <c r="B58" s="11">
        <v>20694152.294312611</v>
      </c>
      <c r="C58" s="11">
        <v>100352152.72081015</v>
      </c>
      <c r="E58">
        <v>28151272.2099852</v>
      </c>
      <c r="F58">
        <v>136513964.32788125</v>
      </c>
      <c r="J58" s="11">
        <v>15879358.977566527</v>
      </c>
      <c r="K58">
        <v>77003775.489913359</v>
      </c>
    </row>
    <row r="59" spans="1:11" x14ac:dyDescent="0.25">
      <c r="A59" s="3">
        <f t="shared" si="1"/>
        <v>1874</v>
      </c>
      <c r="B59" s="11">
        <v>21777333.210087042</v>
      </c>
      <c r="C59" s="11">
        <v>105604821.9356751</v>
      </c>
      <c r="E59">
        <v>29502616.052264392</v>
      </c>
      <c r="F59">
        <v>143067036.02224573</v>
      </c>
      <c r="J59" s="11">
        <v>16031313.197139263</v>
      </c>
      <c r="K59">
        <v>77740647.086887434</v>
      </c>
    </row>
    <row r="60" spans="1:11" x14ac:dyDescent="0.25">
      <c r="A60" s="3">
        <f t="shared" si="1"/>
        <v>1875</v>
      </c>
      <c r="B60" s="11">
        <v>21451439.397077836</v>
      </c>
      <c r="C60" s="11">
        <v>104024465.06824955</v>
      </c>
      <c r="E60">
        <v>29060297.270743784</v>
      </c>
      <c r="F60">
        <v>140922099.55501783</v>
      </c>
      <c r="J60" s="11">
        <v>15312571.176046336</v>
      </c>
      <c r="K60">
        <v>74255251.404001504</v>
      </c>
    </row>
    <row r="61" spans="1:11" x14ac:dyDescent="0.25">
      <c r="A61" s="3">
        <f t="shared" si="1"/>
        <v>1876</v>
      </c>
      <c r="B61" s="11">
        <v>19266227.405854456</v>
      </c>
      <c r="C61" s="11">
        <v>93427716.559210017</v>
      </c>
      <c r="E61">
        <v>25950099.233681645</v>
      </c>
      <c r="F61">
        <v>125839816.21389242</v>
      </c>
      <c r="J61" s="11">
        <v>14021801.998248903</v>
      </c>
      <c r="K61">
        <v>67995924.430108413</v>
      </c>
    </row>
    <row r="62" spans="1:11" x14ac:dyDescent="0.25">
      <c r="A62" s="3">
        <f t="shared" si="1"/>
        <v>1877</v>
      </c>
      <c r="B62" s="11">
        <v>22502813.411316607</v>
      </c>
      <c r="C62" s="11">
        <v>109122893.07549763</v>
      </c>
      <c r="E62">
        <v>29944125.592368294</v>
      </c>
      <c r="F62">
        <v>145208048.23507157</v>
      </c>
      <c r="J62" s="11">
        <v>14821578.16547318</v>
      </c>
      <c r="K62">
        <v>71874278.997829095</v>
      </c>
    </row>
    <row r="63" spans="1:11" x14ac:dyDescent="0.25">
      <c r="A63" s="3">
        <f t="shared" si="1"/>
        <v>1878</v>
      </c>
      <c r="B63" s="11">
        <v>23402755.698004793</v>
      </c>
      <c r="C63" s="11">
        <v>113486983.20633465</v>
      </c>
      <c r="E63">
        <v>31264945.704286762</v>
      </c>
      <c r="F63">
        <v>151613101.20379779</v>
      </c>
      <c r="J63" s="11">
        <v>14545902.845846381</v>
      </c>
      <c r="K63">
        <v>70537446.67036286</v>
      </c>
    </row>
    <row r="64" spans="1:11" x14ac:dyDescent="0.25">
      <c r="A64" s="3">
        <f t="shared" si="1"/>
        <v>1879</v>
      </c>
      <c r="B64" s="11">
        <v>18641491.23162052</v>
      </c>
      <c r="C64" s="11">
        <v>90476477.692670211</v>
      </c>
      <c r="E64">
        <v>25207581.733869482</v>
      </c>
      <c r="F64">
        <v>122344997.94533554</v>
      </c>
      <c r="J64" s="11">
        <v>14128275.5103612</v>
      </c>
      <c r="K64">
        <v>68571585.189538091</v>
      </c>
    </row>
    <row r="65" spans="1:11" x14ac:dyDescent="0.25">
      <c r="A65" s="3">
        <f t="shared" si="1"/>
        <v>1880</v>
      </c>
      <c r="B65" s="11">
        <v>19513297.028516289</v>
      </c>
      <c r="C65" s="11">
        <v>94532167.454647154</v>
      </c>
      <c r="E65">
        <v>26280816.399794232</v>
      </c>
      <c r="F65">
        <v>127317415.04880315</v>
      </c>
      <c r="J65" s="11">
        <v>16594733.481408296</v>
      </c>
      <c r="K65">
        <v>80393186.350682497</v>
      </c>
    </row>
    <row r="66" spans="1:11" x14ac:dyDescent="0.25">
      <c r="A66" s="3">
        <f t="shared" si="1"/>
        <v>1881</v>
      </c>
      <c r="B66" s="11">
        <v>20098493.769266408</v>
      </c>
      <c r="C66" s="11">
        <v>97065675.658672124</v>
      </c>
      <c r="E66">
        <v>27620289.244528554</v>
      </c>
      <c r="F66">
        <v>133392186.90645066</v>
      </c>
      <c r="J66" s="11">
        <v>16575602.552755361</v>
      </c>
      <c r="K66">
        <v>80051872.528532028</v>
      </c>
    </row>
    <row r="67" spans="1:11" x14ac:dyDescent="0.25">
      <c r="A67" s="3">
        <f t="shared" si="1"/>
        <v>1882</v>
      </c>
      <c r="B67" s="11">
        <v>21496879.949123062</v>
      </c>
      <c r="C67" s="11">
        <v>104685505.97623949</v>
      </c>
      <c r="E67">
        <v>29458904.896706995</v>
      </c>
      <c r="F67">
        <v>143458975.06598371</v>
      </c>
      <c r="J67" s="11">
        <v>16519226.091533408</v>
      </c>
      <c r="K67">
        <v>80445327.22054939</v>
      </c>
    </row>
    <row r="68" spans="1:11" x14ac:dyDescent="0.25">
      <c r="A68" s="3">
        <f t="shared" si="1"/>
        <v>1883</v>
      </c>
      <c r="B68" s="11">
        <v>22282378.273894858</v>
      </c>
      <c r="C68" s="11">
        <v>108047252.25011617</v>
      </c>
      <c r="E68">
        <v>29899232.403510887</v>
      </c>
      <c r="F68">
        <v>144981377.92462429</v>
      </c>
      <c r="J68" s="11">
        <v>15820209.250775125</v>
      </c>
      <c r="K68">
        <v>76712194.657008573</v>
      </c>
    </row>
    <row r="69" spans="1:11" x14ac:dyDescent="0.25">
      <c r="A69" s="3">
        <f t="shared" si="1"/>
        <v>1884</v>
      </c>
      <c r="B69" s="11">
        <v>20649401.073700018</v>
      </c>
      <c r="C69" s="11">
        <v>100228062.93152514</v>
      </c>
      <c r="E69">
        <v>27442330.436414074</v>
      </c>
      <c r="F69">
        <v>133199583.47226661</v>
      </c>
      <c r="J69" s="11">
        <v>15260551.626294388</v>
      </c>
      <c r="K69">
        <v>74071665.483707696</v>
      </c>
    </row>
    <row r="70" spans="1:11" x14ac:dyDescent="0.25">
      <c r="A70" s="3">
        <f t="shared" si="1"/>
        <v>1885</v>
      </c>
      <c r="B70" s="11">
        <v>19337775.572815996</v>
      </c>
      <c r="C70" s="11">
        <v>93904238.181594476</v>
      </c>
      <c r="E70">
        <v>25737956.103119273</v>
      </c>
      <c r="F70">
        <v>124983514.83674718</v>
      </c>
      <c r="J70" s="11">
        <v>12965864.178066757</v>
      </c>
      <c r="K70">
        <v>62962236.448692165</v>
      </c>
    </row>
    <row r="71" spans="1:11" x14ac:dyDescent="0.25">
      <c r="A71" s="3">
        <f t="shared" si="1"/>
        <v>1886</v>
      </c>
      <c r="B71" s="11">
        <v>19631688.735730801</v>
      </c>
      <c r="C71" s="11">
        <v>95437491.619881704</v>
      </c>
      <c r="E71">
        <v>26136721.556820933</v>
      </c>
      <c r="F71">
        <v>127061058.17632927</v>
      </c>
      <c r="J71" s="11">
        <v>13901132.957568027</v>
      </c>
      <c r="K71">
        <v>67578967.759921208</v>
      </c>
    </row>
    <row r="72" spans="1:11" x14ac:dyDescent="0.25">
      <c r="A72" s="3">
        <f t="shared" si="1"/>
        <v>1887</v>
      </c>
      <c r="B72" s="11">
        <v>21750633.139455758</v>
      </c>
      <c r="C72" s="11">
        <v>105529721.86601146</v>
      </c>
      <c r="E72">
        <v>29965651.934946202</v>
      </c>
      <c r="F72">
        <v>145387350.05797198</v>
      </c>
      <c r="J72" s="11">
        <v>14141896.811758215</v>
      </c>
      <c r="K72">
        <v>68613654.951288506</v>
      </c>
    </row>
    <row r="73" spans="1:11" x14ac:dyDescent="0.25">
      <c r="A73" s="7">
        <v>1888</v>
      </c>
      <c r="B73" s="11">
        <v>17091996.991179567</v>
      </c>
      <c r="C73" s="11">
        <v>83243152.946141839</v>
      </c>
      <c r="E73">
        <v>24044677.123787891</v>
      </c>
      <c r="F73">
        <v>117104790.99598417</v>
      </c>
      <c r="J73" s="11">
        <v>15365114.1051412</v>
      </c>
      <c r="K73">
        <v>74832715.226269186</v>
      </c>
    </row>
    <row r="74" spans="1:11" x14ac:dyDescent="0.25">
      <c r="A74" s="3">
        <v>1889</v>
      </c>
      <c r="B74" s="11">
        <v>26980242.734309811</v>
      </c>
      <c r="C74" s="11">
        <v>131358707.80053417</v>
      </c>
      <c r="E74">
        <v>35673896.910857901</v>
      </c>
      <c r="F74">
        <v>173685501.88989386</v>
      </c>
      <c r="J74" s="11">
        <v>18482286.158722412</v>
      </c>
      <c r="K74">
        <v>89984706.620971799</v>
      </c>
    </row>
    <row r="75" spans="1:11" x14ac:dyDescent="0.25">
      <c r="A75" s="3">
        <v>1890</v>
      </c>
      <c r="B75" s="11">
        <v>24620948.410037771</v>
      </c>
      <c r="C75" s="11">
        <v>119670119.74698858</v>
      </c>
      <c r="E75">
        <v>32335177.450699661</v>
      </c>
      <c r="F75">
        <v>157165129.99912569</v>
      </c>
      <c r="J75" s="11">
        <v>20501903.610643916</v>
      </c>
      <c r="K75">
        <v>99649502.499534756</v>
      </c>
    </row>
    <row r="76" spans="1:11" x14ac:dyDescent="0.25">
      <c r="A76" s="3">
        <v>1891</v>
      </c>
      <c r="B76" s="11">
        <v>27424212.407666396</v>
      </c>
      <c r="C76" s="11">
        <v>133311838.93490714</v>
      </c>
      <c r="E76">
        <v>35245709.786995947</v>
      </c>
      <c r="F76">
        <v>171332919.84556603</v>
      </c>
      <c r="J76" s="11">
        <v>23495991.300574455</v>
      </c>
      <c r="K76">
        <v>114216363.31122249</v>
      </c>
    </row>
    <row r="77" spans="1:11" x14ac:dyDescent="0.25">
      <c r="A77" s="3">
        <v>1892</v>
      </c>
      <c r="B77" s="11">
        <v>42924399.611775555</v>
      </c>
      <c r="C77" s="11">
        <v>209174891.74814346</v>
      </c>
      <c r="E77">
        <v>43668377.379316606</v>
      </c>
      <c r="F77">
        <v>212800369.80714777</v>
      </c>
      <c r="J77" s="11">
        <v>21547770.197714575</v>
      </c>
      <c r="K77">
        <v>105004438.9504829</v>
      </c>
    </row>
    <row r="78" spans="1:11" x14ac:dyDescent="0.25">
      <c r="A78" s="3">
        <v>1893</v>
      </c>
      <c r="B78" s="11">
        <v>36083029.632100731</v>
      </c>
      <c r="C78" s="11">
        <v>175504247.82757473</v>
      </c>
      <c r="E78">
        <v>36547683.675611444</v>
      </c>
      <c r="F78">
        <v>177764278.62980649</v>
      </c>
      <c r="J78" s="11">
        <v>22266791.854469929</v>
      </c>
      <c r="K78">
        <v>108303448.90095629</v>
      </c>
    </row>
    <row r="79" spans="1:11" x14ac:dyDescent="0.25">
      <c r="A79" s="3">
        <v>1894</v>
      </c>
      <c r="B79" s="11">
        <v>37025948.660552941</v>
      </c>
      <c r="C79" s="11">
        <v>180571849.02265063</v>
      </c>
      <c r="E79">
        <v>37594026.246921346</v>
      </c>
      <c r="F79">
        <v>183342306.60361072</v>
      </c>
      <c r="J79" s="11">
        <v>22224860.423274014</v>
      </c>
      <c r="K79">
        <v>108388421.79826504</v>
      </c>
    </row>
    <row r="80" spans="1:11" x14ac:dyDescent="0.25">
      <c r="A80" s="3">
        <v>1895</v>
      </c>
      <c r="B80" s="11">
        <v>45673983.445281304</v>
      </c>
      <c r="C80" s="11">
        <v>223268133.2755686</v>
      </c>
      <c r="E80">
        <v>46297206.423254505</v>
      </c>
      <c r="F80">
        <v>226314634.158795</v>
      </c>
      <c r="J80" s="11">
        <v>23912436.897367377</v>
      </c>
      <c r="K80">
        <v>116891165.28540094</v>
      </c>
    </row>
    <row r="81" spans="1:11" x14ac:dyDescent="0.25">
      <c r="A81" s="3">
        <v>1896</v>
      </c>
      <c r="B81" s="11">
        <v>48002277.85128843</v>
      </c>
      <c r="C81" s="11">
        <v>233828695.86919621</v>
      </c>
      <c r="E81">
        <v>48527137.697468996</v>
      </c>
      <c r="F81">
        <v>236385393.15191099</v>
      </c>
      <c r="J81" s="11">
        <v>22387496.198276099</v>
      </c>
      <c r="K81">
        <v>109053971.48104253</v>
      </c>
    </row>
    <row r="82" spans="1:11" x14ac:dyDescent="0.25">
      <c r="A82" s="3">
        <v>1897</v>
      </c>
      <c r="B82" s="11">
        <v>52058401.566076234</v>
      </c>
      <c r="C82" s="11">
        <v>253175624.33629856</v>
      </c>
      <c r="E82">
        <v>53034201.130349964</v>
      </c>
      <c r="F82">
        <v>257921230.35723096</v>
      </c>
      <c r="J82" s="11">
        <v>17886758.408341415</v>
      </c>
      <c r="K82">
        <v>86988672.167286798</v>
      </c>
    </row>
    <row r="83" spans="1:11" x14ac:dyDescent="0.25">
      <c r="A83" s="3">
        <v>1898</v>
      </c>
      <c r="B83" s="11">
        <v>36490653.833229072</v>
      </c>
      <c r="C83" s="11">
        <v>176895742.58734456</v>
      </c>
      <c r="E83">
        <v>37438873.728181355</v>
      </c>
      <c r="F83">
        <v>181492428.17210475</v>
      </c>
      <c r="J83" s="11">
        <v>18473429.945240155</v>
      </c>
      <c r="K83">
        <v>89553646.345540687</v>
      </c>
    </row>
    <row r="84" spans="1:11" x14ac:dyDescent="0.25">
      <c r="A84" s="3">
        <v>1899</v>
      </c>
      <c r="B84" s="11">
        <v>32241337.892351724</v>
      </c>
      <c r="C84" s="11">
        <v>156815419.24082032</v>
      </c>
      <c r="E84">
        <v>33508931.2003869</v>
      </c>
      <c r="F84">
        <v>162980739.57244182</v>
      </c>
      <c r="J84" s="11">
        <v>17702344.835680839</v>
      </c>
      <c r="K84">
        <v>86100664.811784461</v>
      </c>
    </row>
    <row r="85" spans="1:11" x14ac:dyDescent="0.25">
      <c r="A85" s="3">
        <v>1900</v>
      </c>
      <c r="B85" s="11">
        <v>36149816.382337362</v>
      </c>
      <c r="C85" s="11">
        <v>175876086.66334772</v>
      </c>
      <c r="E85">
        <v>36796814.347276717</v>
      </c>
      <c r="F85">
        <v>179023861.16237068</v>
      </c>
      <c r="J85" s="11">
        <v>16282332.956926785</v>
      </c>
      <c r="K85">
        <v>79216806.30204019</v>
      </c>
    </row>
    <row r="86" spans="1:11" x14ac:dyDescent="0.25">
      <c r="A86" s="3">
        <v>1901</v>
      </c>
      <c r="B86" s="11">
        <v>48678042.893253885</v>
      </c>
      <c r="C86" s="11">
        <v>237193499.60595819</v>
      </c>
      <c r="E86">
        <v>50252855.882738195</v>
      </c>
      <c r="F86">
        <v>244867090.8598184</v>
      </c>
      <c r="J86" s="11">
        <v>13023060.699878784</v>
      </c>
      <c r="K86">
        <v>63457467.872299351</v>
      </c>
    </row>
    <row r="87" spans="1:11" x14ac:dyDescent="0.25">
      <c r="A87" s="3">
        <v>1902</v>
      </c>
      <c r="B87" s="11">
        <v>42647031.399583146</v>
      </c>
      <c r="C87" s="11">
        <v>207772072.27562913</v>
      </c>
      <c r="E87">
        <v>44164531.652360633</v>
      </c>
      <c r="F87">
        <v>215165181.75713578</v>
      </c>
      <c r="J87" s="11">
        <v>14804380.241380921</v>
      </c>
      <c r="K87">
        <v>72125460.097983703</v>
      </c>
    </row>
    <row r="88" spans="1:11" x14ac:dyDescent="0.25">
      <c r="A88" s="3">
        <v>1903</v>
      </c>
      <c r="B88" s="11">
        <v>46910282.063113868</v>
      </c>
      <c r="C88" s="11">
        <v>228129392.70112908</v>
      </c>
      <c r="E88">
        <v>48486733.968578443</v>
      </c>
      <c r="F88">
        <v>235795835.96259385</v>
      </c>
      <c r="J88" s="11">
        <v>15775279.081183176</v>
      </c>
      <c r="K88">
        <v>76716759.699701905</v>
      </c>
    </row>
    <row r="89" spans="1:11" x14ac:dyDescent="0.25">
      <c r="A89" s="3">
        <v>1904</v>
      </c>
      <c r="B89" s="11">
        <v>41195295.986595817</v>
      </c>
      <c r="C89" s="11">
        <v>200522222.74435383</v>
      </c>
      <c r="E89">
        <v>42559149.617047958</v>
      </c>
      <c r="F89">
        <v>207160916.67594266</v>
      </c>
      <c r="J89" s="11">
        <v>16951389.448693082</v>
      </c>
      <c r="K89">
        <v>82512583.28045845</v>
      </c>
    </row>
    <row r="90" spans="1:11" x14ac:dyDescent="0.25">
      <c r="A90" s="3">
        <v>1905</v>
      </c>
      <c r="B90" s="11">
        <v>48588183.922148839</v>
      </c>
      <c r="C90" s="11">
        <v>236391232.41803852</v>
      </c>
      <c r="E90">
        <v>50717121.926933818</v>
      </c>
      <c r="F90">
        <v>246748941.59891838</v>
      </c>
      <c r="J90" s="11">
        <v>19458633.293586526</v>
      </c>
      <c r="K90">
        <v>94670142.699957162</v>
      </c>
    </row>
    <row r="91" spans="1:11" x14ac:dyDescent="0.25">
      <c r="A91" s="3">
        <v>1906</v>
      </c>
      <c r="B91" s="11">
        <v>52425440.960362695</v>
      </c>
      <c r="C91" s="11">
        <v>254305329.01052734</v>
      </c>
      <c r="E91">
        <v>54619386.636740021</v>
      </c>
      <c r="F91">
        <v>264947720.69749847</v>
      </c>
      <c r="J91" s="11">
        <v>23888755.891303889</v>
      </c>
      <c r="K91">
        <v>115879577.0775369</v>
      </c>
    </row>
    <row r="92" spans="1:11" x14ac:dyDescent="0.25">
      <c r="A92" s="3">
        <v>1907</v>
      </c>
      <c r="B92" s="11">
        <v>54192244.738412976</v>
      </c>
      <c r="C92" s="11">
        <v>263260505.71473637</v>
      </c>
      <c r="E92">
        <v>55017290.17271284</v>
      </c>
      <c r="F92">
        <v>267268493.93002167</v>
      </c>
      <c r="J92" s="11">
        <v>28560863.428701863</v>
      </c>
      <c r="K92">
        <v>138745818.45029077</v>
      </c>
    </row>
    <row r="93" spans="1:11" x14ac:dyDescent="0.25">
      <c r="A93" s="3">
        <v>1908</v>
      </c>
      <c r="B93" s="11">
        <v>47683939.763146386</v>
      </c>
      <c r="C93" s="11">
        <v>232010977.31156504</v>
      </c>
      <c r="E93">
        <v>51126772.198915496</v>
      </c>
      <c r="F93">
        <v>248762422.81104323</v>
      </c>
      <c r="J93" s="11">
        <v>24279487.874628466</v>
      </c>
      <c r="K93">
        <v>118134276.20279226</v>
      </c>
    </row>
    <row r="94" spans="1:11" x14ac:dyDescent="0.25">
      <c r="A94" s="3">
        <v>1909</v>
      </c>
      <c r="B94" s="11">
        <v>63666314.513076894</v>
      </c>
      <c r="C94" s="11">
        <v>310239583.99077237</v>
      </c>
      <c r="E94">
        <v>67562519.682826802</v>
      </c>
      <c r="F94">
        <v>329225402.16244668</v>
      </c>
      <c r="J94" s="11">
        <v>24497982.044920333</v>
      </c>
      <c r="K94">
        <v>119376216.70669228</v>
      </c>
    </row>
    <row r="95" spans="1:11" x14ac:dyDescent="0.25">
      <c r="A95" s="3">
        <v>1910</v>
      </c>
      <c r="B95" s="11">
        <v>50455028.824583292</v>
      </c>
      <c r="C95" s="11">
        <v>245362805.17394856</v>
      </c>
      <c r="E95">
        <v>52848427.456187256</v>
      </c>
      <c r="F95">
        <v>257001902.71943864</v>
      </c>
      <c r="J95" s="11">
        <v>39290902.619919211</v>
      </c>
      <c r="K95">
        <v>191071659.44066712</v>
      </c>
    </row>
    <row r="96" spans="1:11" x14ac:dyDescent="0.25">
      <c r="A96" s="3">
        <v>1911</v>
      </c>
      <c r="B96" s="11">
        <v>60091704.866056673</v>
      </c>
      <c r="C96" s="11">
        <v>292183896.57022738</v>
      </c>
      <c r="E96">
        <v>62242522.353658468</v>
      </c>
      <c r="F96">
        <v>302641816.44019359</v>
      </c>
      <c r="J96" s="11">
        <v>37346648.150844008</v>
      </c>
      <c r="K96">
        <v>181590607.30384883</v>
      </c>
    </row>
    <row r="97" spans="1:11" x14ac:dyDescent="0.25">
      <c r="A97" s="3">
        <v>1912</v>
      </c>
      <c r="B97" s="11">
        <v>73826573.36469765</v>
      </c>
      <c r="C97" s="11">
        <v>359225340.67794585</v>
      </c>
      <c r="E97">
        <v>76046485.803308949</v>
      </c>
      <c r="F97">
        <v>370026990.6217407</v>
      </c>
      <c r="J97" s="11">
        <v>44793920.266415961</v>
      </c>
      <c r="K97">
        <v>217958257.23232681</v>
      </c>
    </row>
    <row r="98" spans="1:11" x14ac:dyDescent="0.25">
      <c r="A98" s="3">
        <v>1913</v>
      </c>
      <c r="B98" s="11">
        <v>73516487.263974905</v>
      </c>
      <c r="C98" s="11">
        <v>357562139.10579473</v>
      </c>
      <c r="E98">
        <v>75961734.712718427</v>
      </c>
      <c r="F98">
        <v>369455089.12224859</v>
      </c>
      <c r="J98" s="11">
        <v>44704542.874152586</v>
      </c>
      <c r="K98">
        <v>217429485.1770159</v>
      </c>
    </row>
  </sheetData>
  <mergeCells count="2">
    <mergeCell ref="B3:C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G4" workbookViewId="0">
      <selection activeCell="X26" sqref="X26"/>
    </sheetView>
  </sheetViews>
  <sheetFormatPr defaultColWidth="8.85546875" defaultRowHeight="15" x14ac:dyDescent="0.25"/>
  <cols>
    <col min="1" max="1" width="11.42578125" style="13" customWidth="1"/>
    <col min="2" max="4" width="12.140625" customWidth="1"/>
  </cols>
  <sheetData>
    <row r="1" spans="1:8" x14ac:dyDescent="0.25">
      <c r="A1" s="3"/>
    </row>
    <row r="2" spans="1:8" x14ac:dyDescent="0.25">
      <c r="A2" s="3" t="s">
        <v>0</v>
      </c>
      <c r="B2" t="s">
        <v>147</v>
      </c>
      <c r="C2" t="s">
        <v>148</v>
      </c>
      <c r="D2" t="s">
        <v>149</v>
      </c>
      <c r="E2" t="s">
        <v>41</v>
      </c>
    </row>
    <row r="3" spans="1:8" x14ac:dyDescent="0.25">
      <c r="A3" s="3"/>
      <c r="B3" t="s">
        <v>97</v>
      </c>
      <c r="C3" t="s">
        <v>97</v>
      </c>
      <c r="D3" t="s">
        <v>97</v>
      </c>
      <c r="E3" t="s">
        <v>97</v>
      </c>
      <c r="G3" t="s">
        <v>18</v>
      </c>
    </row>
    <row r="4" spans="1:8" x14ac:dyDescent="0.25">
      <c r="A4" s="3">
        <v>1821</v>
      </c>
      <c r="B4" s="11">
        <f>Dollars!$B4-Dollars!$F4</f>
        <v>-5618652.8293757401</v>
      </c>
      <c r="C4" s="11">
        <f>'Alternative series'!C6-Dollars!F4</f>
        <v>-8145767.503321182</v>
      </c>
      <c r="D4" s="11">
        <f>'Alternative series'!F6-Dollars!F4</f>
        <v>-4999206.783988595</v>
      </c>
      <c r="E4">
        <f>Dollars!$L4-Dollars!$M4</f>
        <v>-1190737.5999999978</v>
      </c>
      <c r="G4" s="11">
        <f>Sterling!B4-Sterling!F4</f>
        <v>-1165502.1634118278</v>
      </c>
      <c r="H4">
        <f>Sterling!L4-Sterling!M4</f>
        <v>-247000</v>
      </c>
    </row>
    <row r="5" spans="1:8" x14ac:dyDescent="0.25">
      <c r="A5" s="3">
        <f t="shared" ref="A5:A32" si="0">A4+1</f>
        <v>1822</v>
      </c>
      <c r="B5" s="11">
        <f>Dollars!$B5-Dollars!$F5</f>
        <v>-825084.31575720757</v>
      </c>
      <c r="C5" s="11">
        <f>'Alternative series'!C7-Dollars!F5</f>
        <v>-3639794.2082953528</v>
      </c>
      <c r="D5" s="11">
        <f>'Alternative series'!F7-Dollars!F5</f>
        <v>-125569.29155690968</v>
      </c>
      <c r="E5">
        <f>Dollars!$L5-Dollars!$M5</f>
        <v>-2787512</v>
      </c>
      <c r="G5" s="11">
        <f>Sterling!B5-Sterling!F5</f>
        <v>-165756.13551584259</v>
      </c>
      <c r="H5">
        <f>Sterling!L5-Sterling!M5</f>
        <v>-560000</v>
      </c>
    </row>
    <row r="6" spans="1:8" x14ac:dyDescent="0.25">
      <c r="A6" s="3">
        <f t="shared" si="0"/>
        <v>1823</v>
      </c>
      <c r="B6" s="11">
        <f>Dollars!$B6-Dollars!$F6</f>
        <v>7056700.4555358216</v>
      </c>
      <c r="C6" s="11">
        <f>'Alternative series'!C8-Dollars!F6</f>
        <v>3052875.9205508232</v>
      </c>
      <c r="D6" s="11">
        <f>'Alternative series'!F8-Dollars!F6</f>
        <v>7457776.2725298442</v>
      </c>
      <c r="E6">
        <f>Dollars!$L6-Dollars!$M6</f>
        <v>1252669.5</v>
      </c>
      <c r="G6" s="11">
        <f>Sterling!B6-Sterling!F6</f>
        <v>1470299.0843912531</v>
      </c>
      <c r="H6">
        <f>Sterling!L6-Sterling!M6</f>
        <v>261000</v>
      </c>
    </row>
    <row r="7" spans="1:8" x14ac:dyDescent="0.25">
      <c r="A7" s="3">
        <f t="shared" si="0"/>
        <v>1824</v>
      </c>
      <c r="B7" s="11">
        <f>Dollars!$B7-Dollars!$F7</f>
        <v>-5373179.307458695</v>
      </c>
      <c r="C7" s="11">
        <f>'Alternative series'!C9-Dollars!F7</f>
        <v>-8545624.8850003704</v>
      </c>
      <c r="D7" s="11">
        <f>'Alternative series'!F9-Dollars!F7</f>
        <v>-4432850.2071828097</v>
      </c>
      <c r="E7">
        <f>Dollars!$L7-Dollars!$M7</f>
        <v>-4799157.799999997</v>
      </c>
      <c r="G7" s="11">
        <f>Sterling!B7-Sterling!F7</f>
        <v>-1103934.2772088628</v>
      </c>
      <c r="H7">
        <f>Sterling!L7-Sterling!M7</f>
        <v>-986000</v>
      </c>
    </row>
    <row r="8" spans="1:8" x14ac:dyDescent="0.25">
      <c r="A8" s="3">
        <f t="shared" si="0"/>
        <v>1825</v>
      </c>
      <c r="B8" s="11">
        <f>Dollars!$B8-Dollars!$F8</f>
        <v>-8006671.9874169976</v>
      </c>
      <c r="C8" s="11">
        <f>'Alternative series'!C10-Dollars!F8</f>
        <v>-11247235.445141096</v>
      </c>
      <c r="D8" s="11">
        <f>'Alternative series'!F10-Dollars!F8</f>
        <v>-7090755.6570471339</v>
      </c>
      <c r="E8">
        <f>Dollars!$L8-Dollars!$M8</f>
        <v>-1501974.5</v>
      </c>
      <c r="G8" s="11">
        <f>Sterling!B8-Sterling!F8</f>
        <v>-1657867.6855610311</v>
      </c>
      <c r="H8">
        <f>Sterling!L8-Sterling!M8</f>
        <v>-311000</v>
      </c>
    </row>
    <row r="9" spans="1:8" x14ac:dyDescent="0.25">
      <c r="A9" s="3">
        <f t="shared" si="0"/>
        <v>1826</v>
      </c>
      <c r="B9" s="11">
        <f>Dollars!$B9-Dollars!$F9</f>
        <v>-14199325.129917819</v>
      </c>
      <c r="C9" s="11">
        <f>'Alternative series'!C11-Dollars!F9</f>
        <v>-16419690.328408025</v>
      </c>
      <c r="D9" s="11">
        <f>'Alternative series'!F11-Dollars!F9</f>
        <v>-13361071.804224156</v>
      </c>
      <c r="E9">
        <f>Dollars!$L9-Dollars!$M9</f>
        <v>-2046886.3999999985</v>
      </c>
      <c r="G9" s="11">
        <f>Sterling!B9-Sterling!F9</f>
        <v>-2885807.0746113765</v>
      </c>
      <c r="H9">
        <f>Sterling!L9-Sterling!M9</f>
        <v>-416000</v>
      </c>
    </row>
    <row r="10" spans="1:8" x14ac:dyDescent="0.25">
      <c r="A10" s="3">
        <f t="shared" si="0"/>
        <v>1827</v>
      </c>
      <c r="B10" s="11">
        <f>Dollars!$B10-Dollars!$F10</f>
        <v>-5715734.945586551</v>
      </c>
      <c r="C10" s="11">
        <f>'Alternative series'!C12-Dollars!F10</f>
        <v>-8908883.1849054769</v>
      </c>
      <c r="D10" s="11">
        <f>'Alternative series'!F12-Dollars!F10</f>
        <v>-4743091.0337541178</v>
      </c>
      <c r="E10">
        <f>Dollars!$L10-Dollars!$M10</f>
        <v>-1441253.5999999978</v>
      </c>
      <c r="G10" s="11">
        <f>Sterling!B10-Sterling!F10</f>
        <v>-1158015.9134459561</v>
      </c>
      <c r="H10">
        <f>Sterling!L10-Sterling!M10</f>
        <v>-292000</v>
      </c>
    </row>
    <row r="11" spans="1:8" x14ac:dyDescent="0.25">
      <c r="A11" s="3">
        <f t="shared" si="0"/>
        <v>1828</v>
      </c>
      <c r="B11" s="11">
        <f>Dollars!$B11-Dollars!$F11</f>
        <v>-14086020.755108036</v>
      </c>
      <c r="C11" s="11">
        <f>'Alternative series'!C13-Dollars!F11</f>
        <v>-17896864.120426998</v>
      </c>
      <c r="D11" s="11">
        <f>'Alternative series'!F13-Dollars!F11</f>
        <v>-13671864.691243209</v>
      </c>
      <c r="E11">
        <f>Dollars!$L11-Dollars!$M11</f>
        <v>108424.79999999702</v>
      </c>
      <c r="G11" s="11">
        <f>Sterling!B11-Sterling!F11</f>
        <v>-2858132.6099967603</v>
      </c>
      <c r="H11">
        <f>Sterling!L11-Sterling!M11</f>
        <v>22000</v>
      </c>
    </row>
    <row r="12" spans="1:8" x14ac:dyDescent="0.25">
      <c r="A12" s="3">
        <f t="shared" si="0"/>
        <v>1829</v>
      </c>
      <c r="B12" s="11">
        <f>Dollars!$B12-Dollars!$F12</f>
        <v>-8814143.5926722102</v>
      </c>
      <c r="C12" s="11">
        <f>'Alternative series'!C14-Dollars!F12</f>
        <v>-11779075.815596379</v>
      </c>
      <c r="D12" s="11">
        <f>'Alternative series'!F14-Dollars!F12</f>
        <v>-7900605.9325095415</v>
      </c>
      <c r="E12">
        <f>Dollars!$L12-Dollars!$M12</f>
        <v>-1064778</v>
      </c>
      <c r="G12" s="11">
        <f>Sterling!B12-Sterling!F12</f>
        <v>-1812863.7582624871</v>
      </c>
      <c r="H12">
        <f>Sterling!L12-Sterling!M12</f>
        <v>-219000</v>
      </c>
    </row>
    <row r="13" spans="1:8" x14ac:dyDescent="0.25">
      <c r="A13" s="3">
        <f t="shared" si="0"/>
        <v>1830</v>
      </c>
      <c r="B13" s="11">
        <f>Dollars!$B13-Dollars!$F13</f>
        <v>-5140794.4877963252</v>
      </c>
      <c r="C13" s="11">
        <f>'Alternative series'!C15-Dollars!F13</f>
        <v>-8841320.7276855372</v>
      </c>
      <c r="D13" s="11">
        <f>'Alternative series'!F15-Dollars!F13</f>
        <v>-4357296.4998887479</v>
      </c>
      <c r="E13">
        <f>Dollars!$L13-Dollars!$M13</f>
        <v>-3137894.4000000004</v>
      </c>
      <c r="G13" s="11">
        <f>Sterling!B13-Sterling!F13</f>
        <v>-1079635.9391373331</v>
      </c>
      <c r="H13">
        <f>Sterling!L13-Sterling!M13</f>
        <v>-659000</v>
      </c>
    </row>
    <row r="14" spans="1:8" x14ac:dyDescent="0.25">
      <c r="A14" s="3">
        <f t="shared" si="0"/>
        <v>1831</v>
      </c>
      <c r="B14" s="11">
        <f>Dollars!$B14-Dollars!$F14</f>
        <v>7582436.1349055991</v>
      </c>
      <c r="C14" s="11">
        <f>'Alternative series'!C16-Dollars!F14</f>
        <v>4078634.5988586731</v>
      </c>
      <c r="D14" s="11">
        <f>'Alternative series'!F16-Dollars!F14</f>
        <v>7995263.7694225088</v>
      </c>
      <c r="E14">
        <f>Dollars!$L14-Dollars!$M14</f>
        <v>-534611</v>
      </c>
      <c r="G14" s="11">
        <f>Sterling!B14-Sterling!F14</f>
        <v>1560139.9425743502</v>
      </c>
      <c r="H14">
        <f>Sterling!L14-Sterling!M14</f>
        <v>-110000</v>
      </c>
    </row>
    <row r="15" spans="1:8" x14ac:dyDescent="0.25">
      <c r="A15" s="3">
        <f t="shared" si="0"/>
        <v>1832</v>
      </c>
      <c r="B15" s="11">
        <f>Dollars!$B15-Dollars!$F15</f>
        <v>3842924.9209208451</v>
      </c>
      <c r="C15" s="11">
        <f>'Alternative series'!C17-Dollars!F15</f>
        <v>-692750.14014068618</v>
      </c>
      <c r="D15" s="11">
        <f>'Alternative series'!F17-Dollars!F15</f>
        <v>4669703.3355970457</v>
      </c>
      <c r="E15">
        <f>Dollars!$L15-Dollars!$M15</f>
        <v>-233169.60000000149</v>
      </c>
      <c r="G15" s="11">
        <f>Sterling!B15-Sterling!F15</f>
        <v>791099.68110851664</v>
      </c>
      <c r="H15">
        <f>Sterling!L15-Sterling!M15</f>
        <v>-48000</v>
      </c>
    </row>
    <row r="16" spans="1:8" x14ac:dyDescent="0.25">
      <c r="A16" s="3">
        <f t="shared" si="0"/>
        <v>1833</v>
      </c>
      <c r="B16" s="11">
        <f>Dollars!$B16-Dollars!$F16</f>
        <v>5334060.1426305734</v>
      </c>
      <c r="C16" s="11">
        <f>'Alternative series'!C18-Dollars!F16</f>
        <v>-331263.89949467406</v>
      </c>
      <c r="D16" s="11">
        <f>'Alternative series'!F18-Dollars!F16</f>
        <v>6286312.7544586994</v>
      </c>
      <c r="E16">
        <f>Dollars!$L16-Dollars!$M16</f>
        <v>2010624</v>
      </c>
      <c r="G16" s="11">
        <f>Sterling!B16-Sterling!F16</f>
        <v>1114233.8199011059</v>
      </c>
      <c r="H16">
        <f>Sterling!L16-Sterling!M16</f>
        <v>420000</v>
      </c>
    </row>
    <row r="17" spans="1:8" x14ac:dyDescent="0.25">
      <c r="A17" s="3">
        <f t="shared" si="0"/>
        <v>1834</v>
      </c>
      <c r="B17" s="11">
        <f>Dollars!$B17-Dollars!$F17</f>
        <v>5355196.9008194171</v>
      </c>
      <c r="C17" s="11">
        <f>'Alternative series'!C19-Dollars!F17</f>
        <v>269847.95632736757</v>
      </c>
      <c r="D17" s="11">
        <f>'Alternative series'!F19-Dollars!F17</f>
        <v>6289096.8572685309</v>
      </c>
      <c r="E17">
        <f>Dollars!$L17-Dollars!$M17</f>
        <v>-1384502.6999999993</v>
      </c>
      <c r="G17" s="11">
        <f>Sterling!B17-Sterling!F17</f>
        <v>1154585.1625241293</v>
      </c>
      <c r="H17">
        <f>Sterling!L17-Sterling!M17</f>
        <v>-298500</v>
      </c>
    </row>
    <row r="18" spans="1:8" x14ac:dyDescent="0.25">
      <c r="A18" s="3">
        <f t="shared" si="0"/>
        <v>1835</v>
      </c>
      <c r="B18" s="11">
        <f>Dollars!$B18-Dollars!$F18</f>
        <v>6661894.3785596713</v>
      </c>
      <c r="C18" s="11">
        <f>'Alternative series'!C20-Dollars!F18</f>
        <v>357954.83444490284</v>
      </c>
      <c r="D18" s="11">
        <f>'Alternative series'!F20-Dollars!F18</f>
        <v>7653568.7862064764</v>
      </c>
      <c r="E18">
        <f>Dollars!$L18-Dollars!$M18</f>
        <v>-1304596.1999999993</v>
      </c>
      <c r="G18" s="11">
        <f>Sterling!B18-Sterling!F18</f>
        <v>1373643.1148830205</v>
      </c>
      <c r="H18">
        <f>Sterling!L18-Sterling!M18</f>
        <v>-269000</v>
      </c>
    </row>
    <row r="19" spans="1:8" x14ac:dyDescent="0.25">
      <c r="A19" s="3">
        <f t="shared" si="0"/>
        <v>1836</v>
      </c>
      <c r="B19" s="11">
        <f>Dollars!$B19-Dollars!$F19</f>
        <v>553907.15573277324</v>
      </c>
      <c r="C19" s="11">
        <f>'Alternative series'!C21-Dollars!F19</f>
        <v>-6416230.3539635912</v>
      </c>
      <c r="D19" s="11">
        <f>'Alternative series'!F21-Dollars!F19</f>
        <v>3439990.9573639706</v>
      </c>
      <c r="E19">
        <f>Dollars!$L19-Dollars!$M19</f>
        <v>-4198276.9499999993</v>
      </c>
      <c r="G19" s="11">
        <f>Sterling!B19-Sterling!F19</f>
        <v>114982.90655196272</v>
      </c>
      <c r="H19">
        <f>Sterling!L19-Sterling!M19</f>
        <v>-871500</v>
      </c>
    </row>
    <row r="20" spans="1:8" x14ac:dyDescent="0.25">
      <c r="A20" s="3">
        <f t="shared" si="0"/>
        <v>1837</v>
      </c>
      <c r="B20" s="11">
        <f>Dollars!$B20-Dollars!$F20</f>
        <v>-32147.367680862546</v>
      </c>
      <c r="C20" s="11">
        <f>'Alternative series'!C22-Dollars!F20</f>
        <v>-6645457.5771516226</v>
      </c>
      <c r="D20" s="11">
        <f>'Alternative series'!F22-Dollars!F20</f>
        <v>1948214.8173205405</v>
      </c>
      <c r="E20">
        <f>Dollars!$L20-Dollars!$M20</f>
        <v>-6821793</v>
      </c>
      <c r="G20" s="11">
        <f>Sterling!B20-Sterling!F20</f>
        <v>-6305.2599158305675</v>
      </c>
      <c r="H20">
        <f>Sterling!L20-Sterling!M20</f>
        <v>-1338000</v>
      </c>
    </row>
    <row r="21" spans="1:8" x14ac:dyDescent="0.25">
      <c r="A21" s="3">
        <f t="shared" si="0"/>
        <v>1838</v>
      </c>
      <c r="B21" s="11">
        <f>Dollars!$B21-Dollars!$F21</f>
        <v>3724594.4702943526</v>
      </c>
      <c r="C21" s="11">
        <f>'Alternative series'!C23-Dollars!F21</f>
        <v>-3194897.4696794637</v>
      </c>
      <c r="D21" s="11">
        <f>'Alternative series'!F23-Dollars!F21</f>
        <v>5592808.0546488799</v>
      </c>
      <c r="E21">
        <f>Dollars!$L21-Dollars!$M21</f>
        <v>-4419658.3500000015</v>
      </c>
      <c r="G21" s="11">
        <f>Sterling!B21-Sterling!F21</f>
        <v>762252.51627905574</v>
      </c>
      <c r="H21">
        <f>Sterling!L21-Sterling!M21</f>
        <v>-904500</v>
      </c>
    </row>
    <row r="22" spans="1:8" x14ac:dyDescent="0.25">
      <c r="A22" s="3">
        <f t="shared" si="0"/>
        <v>1839</v>
      </c>
      <c r="B22" s="11">
        <f>Dollars!$B22-Dollars!$F22</f>
        <v>8100446.5268568173</v>
      </c>
      <c r="C22" s="11">
        <f>'Alternative series'!C24-Dollars!F22</f>
        <v>1226837.468255695</v>
      </c>
      <c r="D22" s="11">
        <f>'Alternative series'!F24-Dollars!F22</f>
        <v>10792120.521679886</v>
      </c>
      <c r="E22">
        <f>Dollars!$L22-Dollars!$M22</f>
        <v>-5296031.25</v>
      </c>
      <c r="G22" s="11">
        <f>Sterling!B22-Sterling!F22</f>
        <v>1625127.1996904034</v>
      </c>
      <c r="H22">
        <f>Sterling!L22-Sterling!M22</f>
        <v>-1062500</v>
      </c>
    </row>
    <row r="23" spans="1:8" x14ac:dyDescent="0.25">
      <c r="A23" s="3">
        <f t="shared" si="0"/>
        <v>1840</v>
      </c>
      <c r="B23" s="11">
        <f>Dollars!$B23-Dollars!$F23</f>
        <v>7396151.1733138785</v>
      </c>
      <c r="C23" s="11">
        <f>'Alternative series'!C25-Dollars!F23</f>
        <v>-355057.60958907753</v>
      </c>
      <c r="D23" s="11">
        <f>'Alternative series'!F25-Dollars!F23</f>
        <v>9867640.6484882161</v>
      </c>
      <c r="E23">
        <f>Dollars!$L23-Dollars!$M23</f>
        <v>-8205492.3000000007</v>
      </c>
      <c r="G23" s="11">
        <f>Sterling!B23-Sterling!F23</f>
        <v>1479141.4861736055</v>
      </c>
      <c r="H23">
        <f>Sterling!L23-Sterling!M23</f>
        <v>-1641000</v>
      </c>
    </row>
    <row r="24" spans="1:8" x14ac:dyDescent="0.25">
      <c r="A24" s="3">
        <f t="shared" si="0"/>
        <v>1841</v>
      </c>
      <c r="B24" s="11">
        <f>Dollars!$B24-Dollars!$F24</f>
        <v>9892706.420840174</v>
      </c>
      <c r="C24" s="11">
        <f>'Alternative series'!C26-Dollars!F24</f>
        <v>2697458.7895962</v>
      </c>
      <c r="D24" s="11">
        <f>'Alternative series'!F26-Dollars!F24</f>
        <v>12378729.452242486</v>
      </c>
      <c r="E24">
        <f>Dollars!$L24-Dollars!$M24</f>
        <v>-10517444.399999999</v>
      </c>
      <c r="G24" s="11">
        <f>Sterling!B24-Sterling!F24</f>
        <v>1982784.4428757895</v>
      </c>
      <c r="H24">
        <f>Sterling!L24-Sterling!M24</f>
        <v>-2108000</v>
      </c>
    </row>
    <row r="25" spans="1:8" x14ac:dyDescent="0.25">
      <c r="A25" s="3">
        <f t="shared" si="0"/>
        <v>1842</v>
      </c>
      <c r="B25" s="11">
        <f>Dollars!$B25-Dollars!$F25</f>
        <v>10832995.322257236</v>
      </c>
      <c r="C25" s="11">
        <f>'Alternative series'!C27-Dollars!F25</f>
        <v>4853059.1427704319</v>
      </c>
      <c r="D25" s="11">
        <f>'Alternative series'!F27-Dollars!F25</f>
        <v>13095950.122076564</v>
      </c>
      <c r="E25">
        <f>Dollars!$L25-Dollars!$M25</f>
        <v>-7709100.4000000022</v>
      </c>
      <c r="G25" s="11">
        <f>Sterling!B25-Sterling!F25</f>
        <v>2258191.3037307672</v>
      </c>
      <c r="H25">
        <f>Sterling!L25-Sterling!M25</f>
        <v>-1607000</v>
      </c>
    </row>
    <row r="26" spans="1:8" x14ac:dyDescent="0.25">
      <c r="A26" s="3">
        <f t="shared" si="0"/>
        <v>1843</v>
      </c>
      <c r="B26" s="11">
        <f>Dollars!$B26-Dollars!$F26</f>
        <v>11320716.969966065</v>
      </c>
      <c r="C26" s="11">
        <f>'Alternative series'!C28-Dollars!F26</f>
        <v>5498825.3521797918</v>
      </c>
      <c r="D26" s="11">
        <f>'Alternative series'!F28-Dollars!F26</f>
        <v>13976515.351823989</v>
      </c>
      <c r="E26">
        <f>Dollars!$L26-Dollars!$M26</f>
        <v>-5525121.200000003</v>
      </c>
      <c r="G26" s="11">
        <f>Sterling!B26-Sterling!F26</f>
        <v>2364492.4537294926</v>
      </c>
      <c r="H26">
        <f>Sterling!L26-Sterling!M26</f>
        <v>-1154000</v>
      </c>
    </row>
    <row r="27" spans="1:8" x14ac:dyDescent="0.25">
      <c r="A27" s="3">
        <f t="shared" si="0"/>
        <v>1844</v>
      </c>
      <c r="B27" s="11">
        <f>Dollars!$B27-Dollars!$F27</f>
        <v>8617369.1159643009</v>
      </c>
      <c r="C27" s="11">
        <f>'Alternative series'!C29-Dollars!F27</f>
        <v>1799168.8856515586</v>
      </c>
      <c r="D27" s="11">
        <f>'Alternative series'!F29-Dollars!F27</f>
        <v>10904239.198290765</v>
      </c>
      <c r="E27">
        <f>Dollars!$L27-Dollars!$M27</f>
        <v>-5087896.5</v>
      </c>
      <c r="G27" s="11">
        <f>Sterling!B27-Sterling!F27</f>
        <v>1773303.6559243333</v>
      </c>
      <c r="H27">
        <f>Sterling!L27-Sterling!M27</f>
        <v>-1047000</v>
      </c>
    </row>
    <row r="28" spans="1:8" x14ac:dyDescent="0.25">
      <c r="A28" s="3">
        <f t="shared" si="0"/>
        <v>1845</v>
      </c>
      <c r="B28" s="11">
        <f>Dollars!$B28-Dollars!$F28</f>
        <v>10134568.097330187</v>
      </c>
      <c r="C28" s="11">
        <f>'Alternative series'!C30-Dollars!F28</f>
        <v>3125147.8279812969</v>
      </c>
      <c r="D28" s="11">
        <f>'Alternative series'!F30-Dollars!F28</f>
        <v>13121928.077196341</v>
      </c>
      <c r="E28">
        <f>Dollars!$L28-Dollars!$M28</f>
        <v>-1717133.25</v>
      </c>
      <c r="G28" s="11">
        <f>Sterling!B28-Sterling!F28</f>
        <v>2080464.782979941</v>
      </c>
      <c r="H28">
        <f>Sterling!L28-Sterling!M28</f>
        <v>-352500</v>
      </c>
    </row>
    <row r="29" spans="1:8" x14ac:dyDescent="0.25">
      <c r="A29" s="3">
        <f t="shared" si="0"/>
        <v>1846</v>
      </c>
      <c r="B29" s="11">
        <f>Dollars!$B29-Dollars!$F29</f>
        <v>-5203679.2300295979</v>
      </c>
      <c r="C29" s="11">
        <f>'Alternative series'!C31-Dollars!F29</f>
        <v>-10791041.002879158</v>
      </c>
      <c r="D29" s="11">
        <f>'Alternative series'!F31-Dollars!F29</f>
        <v>-47412.972145184875</v>
      </c>
      <c r="E29">
        <f>Dollars!$L29-Dollars!$M29</f>
        <v>-520117.19999999925</v>
      </c>
      <c r="G29" s="11">
        <f>Sterling!B29-Sterling!F29</f>
        <v>-1080520.6150521394</v>
      </c>
      <c r="H29">
        <f>Sterling!L29-Sterling!M29</f>
        <v>-108000</v>
      </c>
    </row>
    <row r="30" spans="1:8" x14ac:dyDescent="0.25">
      <c r="A30" s="3">
        <f t="shared" si="0"/>
        <v>1847</v>
      </c>
      <c r="B30" s="11">
        <f>Dollars!$B30-Dollars!$F30</f>
        <v>13816306.335737765</v>
      </c>
      <c r="C30" s="11">
        <f>'Alternative series'!C32-Dollars!F30</f>
        <v>6728041.5650285035</v>
      </c>
      <c r="D30" s="11">
        <f>'Alternative series'!F32-Dollars!F30</f>
        <v>18124300.199246027</v>
      </c>
      <c r="E30">
        <f>Dollars!$L30-Dollars!$M30</f>
        <v>2073145.5</v>
      </c>
      <c r="G30" s="11">
        <f>Sterling!B30-Sterling!F30</f>
        <v>2882360.398827089</v>
      </c>
      <c r="H30">
        <f>Sterling!L30-Sterling!M30</f>
        <v>432500</v>
      </c>
    </row>
    <row r="31" spans="1:8" x14ac:dyDescent="0.25">
      <c r="A31" s="3">
        <f t="shared" si="0"/>
        <v>1848</v>
      </c>
      <c r="B31" s="11">
        <f>Dollars!$B31-Dollars!$F31</f>
        <v>15257500.035058353</v>
      </c>
      <c r="C31" s="11">
        <f>'Alternative series'!C33-Dollars!F31</f>
        <v>10451680.066840667</v>
      </c>
      <c r="D31" s="11">
        <f>'Alternative series'!F33-Dollars!F31</f>
        <v>20441982.193970565</v>
      </c>
      <c r="E31">
        <f>Dollars!$L31-Dollars!$M31</f>
        <v>4199081.2500000037</v>
      </c>
      <c r="G31" s="11">
        <f>Sterling!B31-Sterling!F31</f>
        <v>3133922.1598147992</v>
      </c>
      <c r="H31">
        <f>Sterling!L31-Sterling!M31</f>
        <v>862500</v>
      </c>
    </row>
    <row r="32" spans="1:8" x14ac:dyDescent="0.25">
      <c r="A32" s="3">
        <f t="shared" si="0"/>
        <v>1849</v>
      </c>
      <c r="B32" s="11">
        <f>Dollars!$B32-Dollars!$F32</f>
        <v>12598699.983054444</v>
      </c>
      <c r="C32" s="11">
        <f>'Alternative series'!C34-Dollars!F32</f>
        <v>6983345.4113907516</v>
      </c>
      <c r="D32" s="11">
        <f>'Alternative series'!F34-Dollars!F32</f>
        <v>16868302.104190558</v>
      </c>
      <c r="E32">
        <f>Dollars!$L32-Dollars!$M32</f>
        <v>108312.75</v>
      </c>
      <c r="G32" s="11">
        <f>Sterling!B32-Sterling!F32</f>
        <v>2617150.3319666889</v>
      </c>
      <c r="H32">
        <f>Sterling!L32-Sterling!M32</f>
        <v>22500</v>
      </c>
    </row>
    <row r="33" spans="1:8" x14ac:dyDescent="0.25">
      <c r="A33" s="3">
        <v>1850</v>
      </c>
      <c r="B33" s="11">
        <f>Dollars!$B33-Dollars!$F33</f>
        <v>20804675.873691823</v>
      </c>
      <c r="C33" s="11">
        <f>'Alternative series'!C35-Dollars!F33</f>
        <v>15092382.498986345</v>
      </c>
      <c r="D33" s="11">
        <f>'Alternative series'!F35-Dollars!F33</f>
        <v>27973941.184124153</v>
      </c>
      <c r="E33">
        <f>Dollars!$L33-Dollars!$M33</f>
        <v>-3750054</v>
      </c>
      <c r="G33" s="11">
        <f>Sterling!B33-Sterling!F33</f>
        <v>4271831.9316849057</v>
      </c>
      <c r="H33">
        <f>Sterling!L33-Sterling!M33</f>
        <v>-770000</v>
      </c>
    </row>
    <row r="34" spans="1:8" x14ac:dyDescent="0.25">
      <c r="A34" s="3">
        <v>1851</v>
      </c>
      <c r="B34" s="11">
        <f>Dollars!$B34-Dollars!$F34</f>
        <v>4050981.0827803984</v>
      </c>
      <c r="C34" s="11">
        <f>'Alternative series'!C36-Dollars!F34</f>
        <v>-3051737.261822477</v>
      </c>
      <c r="D34" s="11">
        <f>'Alternative series'!F36-Dollars!F34</f>
        <v>7831734.835814327</v>
      </c>
      <c r="E34">
        <f>Dollars!$L34-Dollars!$M34</f>
        <v>-10500896.25</v>
      </c>
      <c r="G34" s="11">
        <f>Sterling!B34-Sterling!F34</f>
        <v>824593.62118191645</v>
      </c>
      <c r="H34">
        <f>Sterling!L34-Sterling!M34</f>
        <v>-2137500</v>
      </c>
    </row>
    <row r="35" spans="1:8" x14ac:dyDescent="0.25">
      <c r="A35" s="3">
        <v>1852</v>
      </c>
      <c r="B35" s="11">
        <f>Dollars!$B35-Dollars!$F35</f>
        <v>8943266.5652142093</v>
      </c>
      <c r="C35" s="11">
        <f>'Alternative series'!C37-Dollars!F35</f>
        <v>1926827.0089591667</v>
      </c>
      <c r="D35" s="11">
        <f>'Alternative series'!F37-Dollars!F35</f>
        <v>13107310.46311228</v>
      </c>
      <c r="E35">
        <f>Dollars!$L35-Dollars!$M35</f>
        <v>-11629520.499999993</v>
      </c>
      <c r="G35" s="11">
        <f>Sterling!B35-Sterling!F35</f>
        <v>1824486.2224517949</v>
      </c>
      <c r="H35">
        <f>Sterling!L35-Sterling!M35</f>
        <v>-2372500</v>
      </c>
    </row>
    <row r="36" spans="1:8" x14ac:dyDescent="0.25">
      <c r="A36" s="3">
        <v>1853</v>
      </c>
      <c r="B36" s="11">
        <f>Dollars!$B36-Dollars!$F36</f>
        <v>13556988.949720383</v>
      </c>
      <c r="C36" s="11">
        <f>'Alternative series'!C38-Dollars!F36</f>
        <v>6030246.2746348903</v>
      </c>
      <c r="D36" s="11">
        <f>'Alternative series'!F38-Dollars!F36</f>
        <v>17398204.210615039</v>
      </c>
      <c r="E36">
        <f>Dollars!$L36-Dollars!$M36</f>
        <v>-6432213.1999999955</v>
      </c>
      <c r="G36" s="11">
        <f>Sterling!B36-Sterling!F36</f>
        <v>2773694.9791763779</v>
      </c>
      <c r="H36">
        <f>Sterling!L36-Sterling!M36</f>
        <v>-1316000</v>
      </c>
    </row>
    <row r="37" spans="1:8" x14ac:dyDescent="0.25">
      <c r="A37" s="3">
        <v>1854</v>
      </c>
      <c r="B37" s="11">
        <f>Dollars!$B37-Dollars!$F37</f>
        <v>17285253.060592763</v>
      </c>
      <c r="C37" s="11">
        <f>'Alternative series'!C39-Dollars!F37</f>
        <v>7675810.8815894201</v>
      </c>
      <c r="D37" s="11">
        <f>'Alternative series'!F39-Dollars!F37</f>
        <v>22701964.663818948</v>
      </c>
      <c r="E37">
        <f>Dollars!$L37-Dollars!$M37</f>
        <v>-1054641.6000000015</v>
      </c>
      <c r="G37" s="11">
        <f>Sterling!B37-Sterling!F37</f>
        <v>3540173.8951773159</v>
      </c>
      <c r="H37">
        <f>Sterling!L37-Sterling!M37</f>
        <v>-216000</v>
      </c>
    </row>
    <row r="38" spans="1:8" x14ac:dyDescent="0.25">
      <c r="A38" s="7">
        <v>1855</v>
      </c>
      <c r="B38" s="11">
        <f>Dollars!$B38-Dollars!$F38</f>
        <v>16542581.724808171</v>
      </c>
      <c r="C38" s="11">
        <f>'Alternative series'!C40-Dollars!F38</f>
        <v>8708174.9082107395</v>
      </c>
      <c r="D38" s="11">
        <f>'Alternative series'!F40-Dollars!F38</f>
        <v>24795107.456176497</v>
      </c>
      <c r="E38">
        <f>Dollars!$L38-Dollars!$M38</f>
        <v>2018000.599999994</v>
      </c>
      <c r="G38" s="11">
        <f>Sterling!B38-Sterling!F38</f>
        <v>3385571.9628357776</v>
      </c>
      <c r="H38">
        <f>Sterling!L38-Sterling!M38</f>
        <v>413000</v>
      </c>
    </row>
    <row r="39" spans="1:8" x14ac:dyDescent="0.25">
      <c r="A39" s="3">
        <f t="shared" ref="A39:A70" si="1">A38+1</f>
        <v>1856</v>
      </c>
      <c r="B39" s="11">
        <f>Dollars!$B39-Dollars!$F39</f>
        <v>11269476.454173215</v>
      </c>
      <c r="C39" s="11">
        <f>'Alternative series'!C41-Dollars!F39</f>
        <v>1855397.5818170682</v>
      </c>
      <c r="D39" s="11">
        <f>'Alternative series'!F41-Dollars!F39</f>
        <v>18567381.572753213</v>
      </c>
      <c r="E39">
        <f>Dollars!$L39-Dollars!$M39</f>
        <v>-2542810.200000003</v>
      </c>
      <c r="G39" s="11">
        <f>Sterling!B39-Sterling!F39</f>
        <v>2295723.3706478458</v>
      </c>
      <c r="H39">
        <f>Sterling!L39-Sterling!M39</f>
        <v>-518000</v>
      </c>
    </row>
    <row r="40" spans="1:8" x14ac:dyDescent="0.25">
      <c r="A40" s="3">
        <f t="shared" si="1"/>
        <v>1857</v>
      </c>
      <c r="B40" s="11">
        <f>Dollars!$B40-Dollars!$F40</f>
        <v>-1714262.520274058</v>
      </c>
      <c r="C40" s="11">
        <f>'Alternative series'!C42-Dollars!F40</f>
        <v>-10975139.661528185</v>
      </c>
      <c r="D40" s="11">
        <f>'Alternative series'!F42-Dollars!F40</f>
        <v>6002328.86082232</v>
      </c>
      <c r="E40">
        <f>Dollars!$L40-Dollars!$M40</f>
        <v>-12228832.899999999</v>
      </c>
      <c r="G40" s="11">
        <f>Sterling!B40-Sterling!F40</f>
        <v>-350665.32755268365</v>
      </c>
      <c r="H40">
        <f>Sterling!L40-Sterling!M40</f>
        <v>-2501500</v>
      </c>
    </row>
    <row r="41" spans="1:8" x14ac:dyDescent="0.25">
      <c r="A41" s="3">
        <f t="shared" si="1"/>
        <v>1858</v>
      </c>
      <c r="B41" s="11">
        <f>Dollars!$B41-Dollars!$F41</f>
        <v>3704881.498564437</v>
      </c>
      <c r="C41" s="11">
        <f>'Alternative series'!C43-Dollars!F41</f>
        <v>-4381664.3960365206</v>
      </c>
      <c r="D41" s="11">
        <f>'Alternative series'!F43-Dollars!F41</f>
        <v>11306891.478822514</v>
      </c>
      <c r="E41">
        <f>Dollars!$L41-Dollars!$M41</f>
        <v>-14472921.25</v>
      </c>
      <c r="G41" s="11">
        <f>Sterling!B41-Sterling!F41</f>
        <v>762713.63840750046</v>
      </c>
      <c r="H41">
        <f>Sterling!L41-Sterling!M41</f>
        <v>-2979500</v>
      </c>
    </row>
    <row r="42" spans="1:8" x14ac:dyDescent="0.25">
      <c r="A42" s="3">
        <f t="shared" si="1"/>
        <v>1859</v>
      </c>
      <c r="B42" s="11">
        <f>Dollars!$B42-Dollars!$F42</f>
        <v>7234528.7063717321</v>
      </c>
      <c r="C42" s="11">
        <f>'Alternative series'!C44-Dollars!F42</f>
        <v>-2835049.3480315879</v>
      </c>
      <c r="D42" s="11">
        <f>'Alternative series'!F44-Dollars!F42</f>
        <v>13844961.589274354</v>
      </c>
      <c r="E42">
        <f>Dollars!$L42-Dollars!$M42</f>
        <v>-5351229.3999999985</v>
      </c>
      <c r="G42" s="11">
        <f>Sterling!B42-Sterling!F42</f>
        <v>1479695.8002069313</v>
      </c>
      <c r="H42">
        <f>Sterling!L42-Sterling!M42</f>
        <v>-1094500</v>
      </c>
    </row>
    <row r="43" spans="1:8" x14ac:dyDescent="0.25">
      <c r="A43" s="3">
        <f t="shared" si="1"/>
        <v>1860</v>
      </c>
      <c r="B43" s="11">
        <f>Dollars!$B43-Dollars!$F43</f>
        <v>10930621.236263819</v>
      </c>
      <c r="C43" s="11">
        <f>'Alternative series'!C45-Dollars!F43</f>
        <v>1168541.2754579484</v>
      </c>
      <c r="D43" s="11">
        <f>'Alternative series'!F45-Dollars!F43</f>
        <v>17725674.431455098</v>
      </c>
      <c r="E43">
        <f>Dollars!$L43-Dollars!$M43</f>
        <v>-160026.89999999851</v>
      </c>
      <c r="G43" s="11">
        <f>Sterling!B43-Sterling!F43</f>
        <v>2254061.6658618394</v>
      </c>
      <c r="H43">
        <f>Sterling!L43-Sterling!M43</f>
        <v>-33000</v>
      </c>
    </row>
    <row r="44" spans="1:8" x14ac:dyDescent="0.25">
      <c r="A44" s="3">
        <f t="shared" si="1"/>
        <v>1861</v>
      </c>
      <c r="B44" s="11">
        <f>Dollars!$B44-Dollars!$F44</f>
        <v>7492911.0874493942</v>
      </c>
      <c r="C44" s="11">
        <f>'Alternative series'!C46-Dollars!F44</f>
        <v>-2163456.680761233</v>
      </c>
      <c r="D44" s="11">
        <f>'Alternative series'!F46-Dollars!F44</f>
        <v>15561364.271011271</v>
      </c>
      <c r="E44">
        <f>Dollars!$L44-Dollars!$M44</f>
        <v>2490115.549999997</v>
      </c>
      <c r="G44" s="11">
        <f>Sterling!B44-Sterling!F44</f>
        <v>1545153.1329159681</v>
      </c>
      <c r="H44">
        <f>Sterling!L44-Sterling!M44</f>
        <v>513500</v>
      </c>
    </row>
    <row r="45" spans="1:8" x14ac:dyDescent="0.25">
      <c r="A45" s="3">
        <f t="shared" si="1"/>
        <v>1862</v>
      </c>
      <c r="B45" s="11">
        <f>Dollars!$B45-Dollars!$F45</f>
        <v>21434762.468247958</v>
      </c>
      <c r="C45" s="11">
        <f>'Alternative series'!C47-Dollars!F45</f>
        <v>6890372.2725367248</v>
      </c>
      <c r="D45" s="11">
        <f>'Alternative series'!F47-Dollars!F45</f>
        <v>28226574.059041657</v>
      </c>
      <c r="E45">
        <f>Dollars!$L45-Dollars!$M45</f>
        <v>8830575.3000000045</v>
      </c>
      <c r="G45" s="11">
        <f>Sterling!B45-Sterling!F45</f>
        <v>4420176.6168824267</v>
      </c>
      <c r="H45">
        <f>Sterling!L45-Sterling!M45</f>
        <v>1821000</v>
      </c>
    </row>
    <row r="46" spans="1:8" x14ac:dyDescent="0.25">
      <c r="A46" s="3">
        <f t="shared" si="1"/>
        <v>1863</v>
      </c>
      <c r="B46" s="11">
        <f>Dollars!$B46-Dollars!$F46</f>
        <v>21570822.593432449</v>
      </c>
      <c r="C46" s="11">
        <f>'Alternative series'!C48-Dollars!F46</f>
        <v>7505363.5762469247</v>
      </c>
      <c r="D46" s="11">
        <f>'Alternative series'!F48-Dollars!F46</f>
        <v>28034910.038027368</v>
      </c>
      <c r="E46">
        <f>Dollars!$L46-Dollars!$M46</f>
        <v>7712811.650000006</v>
      </c>
      <c r="G46" s="11">
        <f>Sterling!B46-Sterling!F46</f>
        <v>4448234.3005036693</v>
      </c>
      <c r="H46">
        <f>Sterling!L46-Sterling!M46</f>
        <v>1590500</v>
      </c>
    </row>
    <row r="47" spans="1:8" x14ac:dyDescent="0.25">
      <c r="A47" s="3">
        <f t="shared" si="1"/>
        <v>1864</v>
      </c>
      <c r="B47" s="11">
        <f>Dollars!$B47-Dollars!$F47</f>
        <v>-4513484.953555584</v>
      </c>
      <c r="C47" s="11">
        <f>'Alternative series'!C49-Dollars!F47</f>
        <v>-21010507.257415578</v>
      </c>
      <c r="D47" s="11">
        <f>'Alternative series'!F49-Dollars!F47</f>
        <v>3561145.437267229</v>
      </c>
      <c r="E47">
        <f>Dollars!$L47-Dollars!$M47</f>
        <v>4032192.950000003</v>
      </c>
      <c r="G47" s="11">
        <f>Sterling!B47-Sterling!F47</f>
        <v>-930749.78936250135</v>
      </c>
      <c r="H47">
        <f>Sterling!L47-Sterling!M47</f>
        <v>831500</v>
      </c>
    </row>
    <row r="48" spans="1:8" x14ac:dyDescent="0.25">
      <c r="A48" s="3">
        <f t="shared" si="1"/>
        <v>1865</v>
      </c>
      <c r="B48" s="11">
        <f>Dollars!$B48-Dollars!$F48</f>
        <v>11284838.99638629</v>
      </c>
      <c r="C48" s="11">
        <f>'Alternative series'!C50-Dollars!F48</f>
        <v>-5316272.8625935167</v>
      </c>
      <c r="D48" s="11">
        <f>'Alternative series'!F50-Dollars!F48</f>
        <v>20011842.492704555</v>
      </c>
      <c r="E48">
        <f>Dollars!$L48-Dollars!$M48</f>
        <v>7392757.849999994</v>
      </c>
      <c r="G48" s="11">
        <f>Sterling!B48-Sterling!F48</f>
        <v>2327106.7981742285</v>
      </c>
      <c r="H48">
        <f>Sterling!L48-Sterling!M48</f>
        <v>1524500</v>
      </c>
    </row>
    <row r="49" spans="1:8" x14ac:dyDescent="0.25">
      <c r="A49" s="3">
        <f t="shared" si="1"/>
        <v>1866</v>
      </c>
      <c r="B49" s="11">
        <f>Dollars!$B49-Dollars!$F49</f>
        <v>-22596377.830903053</v>
      </c>
      <c r="C49" s="11">
        <f>'Alternative series'!C51-Dollars!F49</f>
        <v>-39492877.187672839</v>
      </c>
      <c r="D49" s="11">
        <f>'Alternative series'!F51-Dollars!F49</f>
        <v>-14074672.00698784</v>
      </c>
      <c r="E49">
        <f>Dollars!$L49-Dollars!$M49</f>
        <v>8083783.1000000089</v>
      </c>
      <c r="G49" s="11">
        <f>Sterling!B49-Sterling!F49</f>
        <v>-4659719.512280751</v>
      </c>
      <c r="H49">
        <f>Sterling!L49-Sterling!M49</f>
        <v>1667000</v>
      </c>
    </row>
    <row r="50" spans="1:8" x14ac:dyDescent="0.25">
      <c r="A50" s="3">
        <f t="shared" si="1"/>
        <v>1867</v>
      </c>
      <c r="B50" s="11">
        <f>Dollars!$B50-Dollars!$F50</f>
        <v>-151195.03715014458</v>
      </c>
      <c r="C50" s="11">
        <f>'Alternative series'!C52-Dollars!F50</f>
        <v>-15949772.852664709</v>
      </c>
      <c r="D50" s="11">
        <f>'Alternative series'!F52-Dollars!F50</f>
        <v>9743514.8922158778</v>
      </c>
      <c r="E50">
        <f>Dollars!$L50-Dollars!$M50</f>
        <v>13342848.949999996</v>
      </c>
      <c r="G50" s="11">
        <f>Sterling!B50-Sterling!F50</f>
        <v>-31178.734487481415</v>
      </c>
      <c r="H50">
        <f>Sterling!L50-Sterling!M50</f>
        <v>2751500</v>
      </c>
    </row>
    <row r="51" spans="1:8" x14ac:dyDescent="0.25">
      <c r="A51" s="3">
        <f t="shared" si="1"/>
        <v>1868</v>
      </c>
      <c r="B51" s="11">
        <f>Dollars!$B51-Dollars!$F51</f>
        <v>13748882.528452128</v>
      </c>
      <c r="C51" s="11">
        <f>'Alternative series'!C53-Dollars!F51</f>
        <v>-3717029.7386311889</v>
      </c>
      <c r="D51" s="11">
        <f>'Alternative series'!F53-Dollars!F51</f>
        <v>25328506.513964429</v>
      </c>
      <c r="E51">
        <f>Dollars!$L51-Dollars!$M51</f>
        <v>16315469.849999994</v>
      </c>
      <c r="G51" s="11">
        <f>Sterling!B51-Sterling!F51</f>
        <v>2835230.3483909294</v>
      </c>
      <c r="H51">
        <f>Sterling!L51-Sterling!M51</f>
        <v>3364500</v>
      </c>
    </row>
    <row r="52" spans="1:8" x14ac:dyDescent="0.25">
      <c r="A52" s="3">
        <f t="shared" si="1"/>
        <v>1869</v>
      </c>
      <c r="B52" s="11">
        <f>Dollars!$B52-Dollars!$F52</f>
        <v>-734136.61340266466</v>
      </c>
      <c r="C52" s="11">
        <f>'Alternative series'!C54-Dollars!F52</f>
        <v>-18669097.569409087</v>
      </c>
      <c r="D52" s="11">
        <f>'Alternative series'!F54-Dollars!F52</f>
        <v>10720397.384350851</v>
      </c>
      <c r="E52">
        <f>Dollars!$L52-Dollars!$M52</f>
        <v>11655292.550000004</v>
      </c>
      <c r="G52" s="11">
        <f>Sterling!B52-Sterling!F52</f>
        <v>-151390.22403288633</v>
      </c>
      <c r="H52">
        <f>Sterling!L52-Sterling!M52</f>
        <v>2403500</v>
      </c>
    </row>
    <row r="53" spans="1:8" x14ac:dyDescent="0.25">
      <c r="A53" s="3">
        <f t="shared" si="1"/>
        <v>1870</v>
      </c>
      <c r="B53" s="11">
        <f>Dollars!$B53-Dollars!$F53</f>
        <v>27022386.094221324</v>
      </c>
      <c r="C53" s="11">
        <f>'Alternative series'!C55-Dollars!F53</f>
        <v>9336370.7775057554</v>
      </c>
      <c r="D53" s="11">
        <f>'Alternative series'!F55-Dollars!F53</f>
        <v>37802435.463489041</v>
      </c>
      <c r="E53">
        <f>Dollars!$L53-Dollars!$M53</f>
        <v>6721129.799999997</v>
      </c>
      <c r="G53" s="11">
        <f>Sterling!B53-Sterling!F53</f>
        <v>5572430.2670944929</v>
      </c>
      <c r="H53">
        <f>Sterling!L53-Sterling!M53</f>
        <v>1386000</v>
      </c>
    </row>
    <row r="54" spans="1:8" x14ac:dyDescent="0.25">
      <c r="A54" s="3">
        <f t="shared" si="1"/>
        <v>1871</v>
      </c>
      <c r="B54" s="11">
        <f>Dollars!$B54-Dollars!$F54</f>
        <v>36216276.752242312</v>
      </c>
      <c r="C54" s="11">
        <f>'Alternative series'!C56-Dollars!F54</f>
        <v>15761010.84976536</v>
      </c>
      <c r="D54" s="11">
        <f>'Alternative series'!F56-Dollars!F54</f>
        <v>49078361.872738495</v>
      </c>
      <c r="E54">
        <f>Dollars!$L54-Dollars!$M54</f>
        <v>11051554.700000003</v>
      </c>
      <c r="G54" s="11">
        <f>Sterling!B54-Sterling!F54</f>
        <v>7468351.4635601677</v>
      </c>
      <c r="H54">
        <f>Sterling!L54-Sterling!M54</f>
        <v>2279000</v>
      </c>
    </row>
    <row r="55" spans="1:8" x14ac:dyDescent="0.25">
      <c r="A55" s="3">
        <f t="shared" si="1"/>
        <v>1872</v>
      </c>
      <c r="B55" s="11">
        <f>Dollars!$B55-Dollars!$F55</f>
        <v>42975983.887584865</v>
      </c>
      <c r="C55" s="11">
        <f>'Alternative series'!C57-Dollars!F55</f>
        <v>17802660.637257814</v>
      </c>
      <c r="D55" s="11">
        <f>'Alternative series'!F57-Dollars!F55</f>
        <v>59441602.30596</v>
      </c>
      <c r="E55">
        <f>Dollars!$L55-Dollars!$M55</f>
        <v>24052528</v>
      </c>
      <c r="G55" s="11">
        <f>Sterling!B55-Sterling!F55</f>
        <v>8862306.7015001886</v>
      </c>
      <c r="H55">
        <f>Sterling!L55-Sterling!M55</f>
        <v>4960000</v>
      </c>
    </row>
    <row r="56" spans="1:8" x14ac:dyDescent="0.25">
      <c r="A56" s="3">
        <f t="shared" si="1"/>
        <v>1873</v>
      </c>
      <c r="B56" s="11">
        <f>Dollars!$B56-Dollars!$F56</f>
        <v>27593476.933637038</v>
      </c>
      <c r="C56" s="11">
        <f>'Alternative series'!C58-Dollars!F56</f>
        <v>5204581.6278680116</v>
      </c>
      <c r="D56" s="11">
        <f>'Alternative series'!F58-Dollars!F56</f>
        <v>41366393.234939113</v>
      </c>
      <c r="E56">
        <f>Dollars!$L56-Dollars!$M56</f>
        <v>23972514.550000012</v>
      </c>
      <c r="G56" s="11">
        <f>Sterling!B56-Sterling!F56</f>
        <v>5690197.9530317858</v>
      </c>
      <c r="H56">
        <f>Sterling!L56-Sterling!M56</f>
        <v>4943500</v>
      </c>
    </row>
    <row r="57" spans="1:8" x14ac:dyDescent="0.25">
      <c r="A57" s="3">
        <f t="shared" si="1"/>
        <v>1874</v>
      </c>
      <c r="B57" s="11">
        <f>Dollars!$B57-Dollars!$F57</f>
        <v>32704767.307623133</v>
      </c>
      <c r="C57" s="11">
        <f>'Alternative series'!C59-Dollars!F57</f>
        <v>9125263.0560131967</v>
      </c>
      <c r="D57" s="11">
        <f>'Alternative series'!F59-Dollars!F57</f>
        <v>46587477.142583832</v>
      </c>
      <c r="E57">
        <f>Dollars!$L57-Dollars!$M57</f>
        <v>20386457.200000003</v>
      </c>
      <c r="G57" s="11">
        <f>Sterling!B57-Sterling!F57</f>
        <v>6744224.3844726309</v>
      </c>
      <c r="H57">
        <f>Sterling!L57-Sterling!M57</f>
        <v>4204000</v>
      </c>
    </row>
    <row r="58" spans="1:8" x14ac:dyDescent="0.25">
      <c r="A58" s="3">
        <f t="shared" si="1"/>
        <v>1875</v>
      </c>
      <c r="B58" s="11">
        <f>Dollars!$B58-Dollars!$F58</f>
        <v>33809973.827379078</v>
      </c>
      <c r="C58" s="11">
        <f>'Alternative series'!C60-Dollars!F58</f>
        <v>10490489.158085763</v>
      </c>
      <c r="D58" s="11">
        <f>'Alternative series'!F60-Dollars!F58</f>
        <v>47388123.644854039</v>
      </c>
      <c r="E58">
        <f>Dollars!$L58-Dollars!$M58</f>
        <v>13808381.75</v>
      </c>
      <c r="G58" s="11">
        <f>Sterling!B58-Sterling!F58</f>
        <v>6972134.9117149003</v>
      </c>
      <c r="H58">
        <f>Sterling!L58-Sterling!M58</f>
        <v>2847500</v>
      </c>
    </row>
    <row r="59" spans="1:8" x14ac:dyDescent="0.25">
      <c r="A59" s="3">
        <f t="shared" si="1"/>
        <v>1876</v>
      </c>
      <c r="B59" s="11">
        <f>Dollars!$B59-Dollars!$F59</f>
        <v>26331951.392953128</v>
      </c>
      <c r="C59" s="11">
        <f>'Alternative series'!C61-Dollars!F59</f>
        <v>5445943.9469370693</v>
      </c>
      <c r="D59" s="11">
        <f>'Alternative series'!F61-Dollars!F59</f>
        <v>37858043.601619467</v>
      </c>
      <c r="E59">
        <f>Dollars!$L59-Dollars!$M59</f>
        <v>13013096.549999997</v>
      </c>
      <c r="G59" s="11">
        <f>Sterling!B59-Sterling!F59</f>
        <v>5430052.0472961292</v>
      </c>
      <c r="H59">
        <f>Sterling!L59-Sterling!M59</f>
        <v>2683500</v>
      </c>
    </row>
    <row r="60" spans="1:8" x14ac:dyDescent="0.25">
      <c r="A60" s="3">
        <f t="shared" si="1"/>
        <v>1877</v>
      </c>
      <c r="B60" s="11">
        <f>Dollars!$B60-Dollars!$F60</f>
        <v>40668223.287010908</v>
      </c>
      <c r="C60" s="11">
        <f>'Alternative series'!C62-Dollars!F60</f>
        <v>16581048.106052965</v>
      </c>
      <c r="D60" s="11">
        <f>'Alternative series'!F62-Dollars!F60</f>
        <v>52666203.265626907</v>
      </c>
      <c r="E60">
        <f>Dollars!$L60-Dollars!$M60</f>
        <v>15527458.600000009</v>
      </c>
      <c r="G60" s="11">
        <f>Sterling!B60-Sterling!F60</f>
        <v>8386411.087581899</v>
      </c>
      <c r="H60">
        <f>Sterling!L60-Sterling!M60</f>
        <v>3202000</v>
      </c>
    </row>
    <row r="61" spans="1:8" x14ac:dyDescent="0.25">
      <c r="A61" s="3">
        <f t="shared" si="1"/>
        <v>1878</v>
      </c>
      <c r="B61" s="11">
        <f>Dollars!$B61-Dollars!$F61</f>
        <v>46243429.163948953</v>
      </c>
      <c r="C61" s="11">
        <f>'Alternative series'!C63-Dollars!F61</f>
        <v>21598149.753718585</v>
      </c>
      <c r="D61" s="11">
        <f>'Alternative series'!F63-Dollars!F61</f>
        <v>59724267.751181722</v>
      </c>
      <c r="E61">
        <f>Dollars!$L61-Dollars!$M61</f>
        <v>15061925.799999997</v>
      </c>
      <c r="G61" s="11">
        <f>Sterling!B61-Sterling!F61</f>
        <v>9536104.0075781979</v>
      </c>
      <c r="H61">
        <f>Sterling!L61-Sterling!M61</f>
        <v>3106000</v>
      </c>
    </row>
    <row r="62" spans="1:8" x14ac:dyDescent="0.25">
      <c r="A62" s="3">
        <f t="shared" si="1"/>
        <v>1879</v>
      </c>
      <c r="B62" s="11">
        <f>Dollars!$B62-Dollars!$F62</f>
        <v>20408830.781259641</v>
      </c>
      <c r="C62" s="11">
        <f>'Alternative series'!C64-Dollars!F62</f>
        <v>-258884.20249120891</v>
      </c>
      <c r="D62" s="11">
        <f>'Alternative series'!F64-Dollars!F62</f>
        <v>31609636.050174117</v>
      </c>
      <c r="E62">
        <f>Dollars!$L62-Dollars!$M62</f>
        <v>19928471</v>
      </c>
      <c r="G62" s="11">
        <f>Sterling!B62-Sterling!F62</f>
        <v>4204971.8308972158</v>
      </c>
      <c r="H62">
        <f>Sterling!L62-Sterling!M62</f>
        <v>4106000</v>
      </c>
    </row>
    <row r="63" spans="1:8" x14ac:dyDescent="0.25">
      <c r="A63" s="3">
        <f t="shared" si="1"/>
        <v>1880</v>
      </c>
      <c r="B63" s="11">
        <f>Dollars!$B63-Dollars!$F63</f>
        <v>19422502.927722037</v>
      </c>
      <c r="C63" s="11">
        <f>'Alternative series'!C65-Dollars!F63</f>
        <v>-1575143.4121098369</v>
      </c>
      <c r="D63" s="11">
        <f>'Alternative series'!F65-Dollars!F63</f>
        <v>31210104.18204616</v>
      </c>
      <c r="E63">
        <f>Dollars!$L63-Dollars!$M63</f>
        <v>21933473.75</v>
      </c>
      <c r="G63" s="11">
        <f>Sterling!B63-Sterling!F63</f>
        <v>4009186.2788155712</v>
      </c>
      <c r="H63">
        <f>Sterling!L63-Sterling!M63</f>
        <v>4527500</v>
      </c>
    </row>
    <row r="64" spans="1:8" x14ac:dyDescent="0.25">
      <c r="A64" s="3">
        <f t="shared" si="1"/>
        <v>1881</v>
      </c>
      <c r="B64" s="11">
        <f>Dollars!$B64-Dollars!$F64</f>
        <v>22222073.51374425</v>
      </c>
      <c r="C64" s="11">
        <f>'Alternative series'!C66-Dollars!F64</f>
        <v>-309306.21474276483</v>
      </c>
      <c r="D64" s="11">
        <f>'Alternative series'!F66-Dollars!F64</f>
        <v>36017205.03303577</v>
      </c>
      <c r="E64">
        <f>Dollars!$L64-Dollars!$M64</f>
        <v>17475545.750000015</v>
      </c>
      <c r="G64" s="11">
        <f>Sterling!B64-Sterling!F64</f>
        <v>4601319.7046783827</v>
      </c>
      <c r="H64">
        <f>Sterling!L64-Sterling!M64</f>
        <v>3618500</v>
      </c>
    </row>
    <row r="65" spans="1:8" x14ac:dyDescent="0.25">
      <c r="A65" s="3">
        <f t="shared" si="1"/>
        <v>1882</v>
      </c>
      <c r="B65" s="11">
        <f>Dollars!$B65-Dollars!$F65</f>
        <v>30285060.020679101</v>
      </c>
      <c r="C65" s="11">
        <f>'Alternative series'!C67-Dollars!F65</f>
        <v>5185446.9688429385</v>
      </c>
      <c r="D65" s="11">
        <f>'Alternative series'!F67-Dollars!F65</f>
        <v>43958916.058587164</v>
      </c>
      <c r="E65">
        <f>Dollars!$L65-Dollars!$M65</f>
        <v>7579843.700000003</v>
      </c>
      <c r="G65" s="11">
        <f>Sterling!B65-Sterling!F65</f>
        <v>6218953.5547002144</v>
      </c>
      <c r="H65">
        <f>Sterling!L65-Sterling!M65</f>
        <v>1556500</v>
      </c>
    </row>
    <row r="66" spans="1:8" x14ac:dyDescent="0.25">
      <c r="A66" s="3">
        <f t="shared" si="1"/>
        <v>1883</v>
      </c>
      <c r="B66" s="11">
        <f>Dollars!$B66-Dollars!$F66</f>
        <v>37393655.639198422</v>
      </c>
      <c r="C66" s="11">
        <f>'Alternative series'!C68-Dollars!F66</f>
        <v>12385825.895372212</v>
      </c>
      <c r="D66" s="11">
        <f>'Alternative series'!F68-Dollars!F66</f>
        <v>49319951.569880337</v>
      </c>
      <c r="E66">
        <f>Dollars!$L66-Dollars!$M66</f>
        <v>4611399</v>
      </c>
      <c r="G66" s="11">
        <f>Sterling!B66-Sterling!F66</f>
        <v>7711622.1157348752</v>
      </c>
      <c r="H66">
        <f>Sterling!L66-Sterling!M66</f>
        <v>951000</v>
      </c>
    </row>
    <row r="67" spans="1:8" x14ac:dyDescent="0.25">
      <c r="A67" s="3">
        <f t="shared" si="1"/>
        <v>1884</v>
      </c>
      <c r="B67" s="11">
        <f>Dollars!$B67-Dollars!$F67</f>
        <v>29816527.205944583</v>
      </c>
      <c r="C67" s="11">
        <f>'Alternative series'!C69-Dollars!F67</f>
        <v>7296458.4619241208</v>
      </c>
      <c r="D67" s="11">
        <f>'Alternative series'!F69-Dollars!F67</f>
        <v>40267979.002665594</v>
      </c>
      <c r="E67">
        <f>Dollars!$L67-Dollars!$M67</f>
        <v>13175640.100000009</v>
      </c>
      <c r="G67" s="11">
        <f>Sterling!B67-Sterling!F67</f>
        <v>6142924.5551824532</v>
      </c>
      <c r="H67">
        <f>Sterling!L67-Sterling!M67</f>
        <v>2714500</v>
      </c>
    </row>
    <row r="68" spans="1:8" x14ac:dyDescent="0.25">
      <c r="A68" s="3">
        <f t="shared" si="1"/>
        <v>1885</v>
      </c>
      <c r="B68" s="11">
        <f>Dollars!$B68-Dollars!$F68</f>
        <v>32199086.611736104</v>
      </c>
      <c r="C68" s="11">
        <f>'Alternative series'!C70-Dollars!F68</f>
        <v>12219145.01764439</v>
      </c>
      <c r="D68" s="11">
        <f>'Alternative series'!F70-Dollars!F68</f>
        <v>43298421.672797099</v>
      </c>
      <c r="E68">
        <f>Dollars!$L68-Dollars!$M68</f>
        <v>9534756</v>
      </c>
      <c r="G68" s="11">
        <f>Sterling!B68-Sterling!F68</f>
        <v>6630783.8986276984</v>
      </c>
      <c r="H68">
        <f>Sterling!L68-Sterling!M68</f>
        <v>1963500</v>
      </c>
    </row>
    <row r="69" spans="1:8" x14ac:dyDescent="0.25">
      <c r="A69" s="3">
        <f t="shared" si="1"/>
        <v>1886</v>
      </c>
      <c r="B69" s="11">
        <f>Dollars!$B69-Dollars!$F69</f>
        <v>26824736.489726275</v>
      </c>
      <c r="C69" s="11">
        <f>'Alternative series'!C71-Dollars!F69</f>
        <v>6374255.8696834147</v>
      </c>
      <c r="D69" s="11">
        <f>'Alternative series'!F71-Dollars!F69</f>
        <v>37997822.42613098</v>
      </c>
      <c r="E69">
        <f>Dollars!$L69-Dollars!$M69</f>
        <v>10174910.200000003</v>
      </c>
      <c r="G69" s="11">
        <f>Sterling!B69-Sterling!F69</f>
        <v>5517903.5853306204</v>
      </c>
      <c r="H69">
        <f>Sterling!L69-Sterling!M69</f>
        <v>2093000</v>
      </c>
    </row>
    <row r="70" spans="1:8" x14ac:dyDescent="0.25">
      <c r="A70" s="3">
        <f t="shared" si="1"/>
        <v>1887</v>
      </c>
      <c r="B70" s="11">
        <f>Dollars!$B70-Dollars!$F70</f>
        <v>40990837.983338371</v>
      </c>
      <c r="C70" s="11">
        <f>'Alternative series'!C72-Dollars!F70</f>
        <v>13674537.615156516</v>
      </c>
      <c r="D70" s="11">
        <f>'Alternative series'!F72-Dollars!F70</f>
        <v>53532165.807117045</v>
      </c>
      <c r="E70">
        <f>Dollars!$L70-Dollars!$M70</f>
        <v>20396967.200000003</v>
      </c>
      <c r="G70" s="11">
        <f>Sterling!B70-Sterling!F70</f>
        <v>8448583.6150167696</v>
      </c>
      <c r="H70">
        <f>Sterling!L70-Sterling!M70</f>
        <v>4204000</v>
      </c>
    </row>
    <row r="71" spans="1:8" x14ac:dyDescent="0.25">
      <c r="A71" s="7">
        <v>1888</v>
      </c>
      <c r="B71" s="11">
        <f>Dollars!$B71-Dollars!$F71</f>
        <v>5958982.0375828445</v>
      </c>
      <c r="C71" s="11">
        <f>'Alternative series'!C73-Dollars!F71</f>
        <v>-18844014.988583431</v>
      </c>
      <c r="D71" s="11">
        <f>'Alternative series'!F73-Dollars!F71</f>
        <v>15017623.061258897</v>
      </c>
      <c r="E71">
        <f>Dollars!$L71-Dollars!$M71</f>
        <v>9691897</v>
      </c>
      <c r="G71" s="11">
        <f>Sterling!B71-Sterling!F71</f>
        <v>1223534.9028977379</v>
      </c>
      <c r="H71">
        <f>Sterling!L71-Sterling!M71</f>
        <v>1990000</v>
      </c>
    </row>
    <row r="72" spans="1:8" x14ac:dyDescent="0.25">
      <c r="A72" s="3">
        <v>1889</v>
      </c>
      <c r="B72" s="11">
        <f>Dollars!$B72-Dollars!$F72</f>
        <v>39055255.841470063</v>
      </c>
      <c r="C72" s="11">
        <f>'Alternative series'!C74-Dollars!F72</f>
        <v>8946300.159128502</v>
      </c>
      <c r="D72" s="11">
        <f>'Alternative series'!F74-Dollars!F72</f>
        <v>51273094.248488188</v>
      </c>
      <c r="E72">
        <f>Dollars!$L72-Dollars!$M72</f>
        <v>22152585.000000015</v>
      </c>
      <c r="G72" s="11">
        <f>Sterling!B72-Sterling!F72</f>
        <v>8021701.0375398062</v>
      </c>
      <c r="H72">
        <f>Sterling!L72-Sterling!M72</f>
        <v>4550000</v>
      </c>
    </row>
    <row r="73" spans="1:8" x14ac:dyDescent="0.25">
      <c r="A73" s="3">
        <v>1890</v>
      </c>
      <c r="B73" s="11">
        <f>Dollars!$B73-Dollars!$F73</f>
        <v>6247330.1817761064</v>
      </c>
      <c r="C73" s="11">
        <f>'Alternative series'!C75-Dollars!F73</f>
        <v>-19464565.145826146</v>
      </c>
      <c r="D73" s="11">
        <f>'Alternative series'!F75-Dollars!F73</f>
        <v>18030445.106310964</v>
      </c>
      <c r="E73">
        <f>Dollars!$L73-Dollars!$M73</f>
        <v>11485361.5</v>
      </c>
      <c r="G73" s="11">
        <f>Sterling!B73-Sterling!F73</f>
        <v>1285326.6498870663</v>
      </c>
      <c r="H73">
        <f>Sterling!L73-Sterling!M73</f>
        <v>2363000</v>
      </c>
    </row>
    <row r="74" spans="1:8" x14ac:dyDescent="0.25">
      <c r="A74" s="3">
        <v>1891</v>
      </c>
      <c r="B74" s="11">
        <f>Dollars!$B74-Dollars!$F74</f>
        <v>224751.66604912281</v>
      </c>
      <c r="C74" s="11">
        <f>'Alternative series'!C76-Dollars!F74</f>
        <v>-26048167.087366611</v>
      </c>
      <c r="D74" s="11">
        <f>'Alternative series'!F76-Dollars!F74</f>
        <v>11972913.823292285</v>
      </c>
      <c r="E74">
        <f>Dollars!$L74-Dollars!$M74</f>
        <v>7636788.099999994</v>
      </c>
      <c r="G74" s="11">
        <f>Sterling!B74-Sterling!F74</f>
        <v>46234.734123785049</v>
      </c>
      <c r="H74">
        <f>Sterling!L74-Sterling!M74</f>
        <v>1571000</v>
      </c>
    </row>
    <row r="75" spans="1:8" x14ac:dyDescent="0.25">
      <c r="A75" s="3">
        <v>1892</v>
      </c>
      <c r="B75" s="11">
        <f>Dollars!$B75-Dollars!$F75</f>
        <v>40094053.24489212</v>
      </c>
      <c r="C75" s="11">
        <f>'Alternative series'!C77-Dollars!F75</f>
        <v>60990170.254946321</v>
      </c>
      <c r="D75" s="11">
        <f>'Alternative series'!F77-Dollars!F75</f>
        <v>64615648.313950628</v>
      </c>
      <c r="E75">
        <f>Dollars!$L75-Dollars!$M75</f>
        <v>22182351.200000003</v>
      </c>
      <c r="G75" s="11">
        <f>Sterling!B75-Sterling!F75</f>
        <v>8227627.8436502665</v>
      </c>
      <c r="H75">
        <f>Sterling!L75-Sterling!M75</f>
        <v>4552000</v>
      </c>
    </row>
    <row r="76" spans="1:8" x14ac:dyDescent="0.25">
      <c r="A76" s="3">
        <v>1893</v>
      </c>
      <c r="B76" s="11">
        <f>Dollars!$B76-Dollars!$F76</f>
        <v>8176327.6656128168</v>
      </c>
      <c r="C76" s="11">
        <f>'Alternative series'!C78-Dollars!F76</f>
        <v>25906889.037035197</v>
      </c>
      <c r="D76" s="11">
        <f>'Alternative series'!F78-Dollars!F76</f>
        <v>28166919.839266956</v>
      </c>
      <c r="E76">
        <f>Dollars!$L76-Dollars!$M76</f>
        <v>28171708.799999982</v>
      </c>
      <c r="G76" s="11">
        <f>Sterling!B76-Sterling!F76</f>
        <v>1681022.978600055</v>
      </c>
      <c r="H76">
        <f>Sterling!L76-Sterling!M76</f>
        <v>5792000</v>
      </c>
    </row>
    <row r="77" spans="1:8" x14ac:dyDescent="0.25">
      <c r="A77" s="3">
        <v>1894</v>
      </c>
      <c r="B77" s="11">
        <f>Dollars!$B77-Dollars!$F77</f>
        <v>14106664.820689589</v>
      </c>
      <c r="C77" s="11">
        <f>'Alternative series'!C79-Dollars!F77</f>
        <v>32713589.814825147</v>
      </c>
      <c r="D77" s="11">
        <f>'Alternative series'!F79-Dollars!F77</f>
        <v>35484047.395785242</v>
      </c>
      <c r="E77">
        <f>Dollars!$L77-Dollars!$M77</f>
        <v>16318107.400000006</v>
      </c>
      <c r="G77" s="11">
        <f>Sterling!B77-Sterling!F77</f>
        <v>2892547.4831736572</v>
      </c>
      <c r="H77">
        <f>Sterling!L77-Sterling!M77</f>
        <v>3346000</v>
      </c>
    </row>
    <row r="78" spans="1:8" x14ac:dyDescent="0.25">
      <c r="A78" s="3">
        <v>1895</v>
      </c>
      <c r="B78" s="11">
        <f>Dollars!$B78-Dollars!$F78</f>
        <v>45191391.269025624</v>
      </c>
      <c r="C78" s="11">
        <f>'Alternative series'!C80-Dollars!F78</f>
        <v>68465615.961328745</v>
      </c>
      <c r="D78" s="11">
        <f>'Alternative series'!F80-Dollars!F78</f>
        <v>71512116.84455514</v>
      </c>
      <c r="E78">
        <f>Dollars!$L78-Dollars!$M78</f>
        <v>16493124.200000018</v>
      </c>
      <c r="G78" s="11">
        <f>Sterling!B78-Sterling!F78</f>
        <v>9244807.2477191687</v>
      </c>
      <c r="H78">
        <f>Sterling!L78-Sterling!M78</f>
        <v>3374000</v>
      </c>
    </row>
    <row r="79" spans="1:8" x14ac:dyDescent="0.25">
      <c r="A79" s="3">
        <v>1896</v>
      </c>
      <c r="B79" s="11">
        <f>Dollars!$B79-Dollars!$F79</f>
        <v>64377819.091457307</v>
      </c>
      <c r="C79" s="11">
        <f>'Alternative series'!C81-Dollars!F79</f>
        <v>88227578.174002737</v>
      </c>
      <c r="D79" s="11">
        <f>'Alternative series'!F81-Dollars!F79</f>
        <v>90784275.456717521</v>
      </c>
      <c r="E79">
        <f>Dollars!$L79-Dollars!$M79</f>
        <v>2206653.599999994</v>
      </c>
      <c r="G79" s="11">
        <f>Sterling!B79-Sterling!F79</f>
        <v>13216008.189246453</v>
      </c>
      <c r="H79">
        <f>Sterling!L79-Sterling!M79</f>
        <v>453000</v>
      </c>
    </row>
    <row r="80" spans="1:8" x14ac:dyDescent="0.25">
      <c r="A80" s="3">
        <v>1897</v>
      </c>
      <c r="B80" s="11">
        <f>Dollars!$B80-Dollars!$F80</f>
        <v>104754386.75040089</v>
      </c>
      <c r="C80" s="11">
        <f>'Alternative series'!C82-Dollars!F80</f>
        <v>131284290.05593283</v>
      </c>
      <c r="D80" s="11">
        <f>'Alternative series'!F82-Dollars!F80</f>
        <v>136029896.07686526</v>
      </c>
      <c r="E80">
        <f>Dollars!$L80-Dollars!$M80</f>
        <v>14069526.899999991</v>
      </c>
      <c r="G80" s="11">
        <f>Sterling!B80-Sterling!F80</f>
        <v>21539774.79291857</v>
      </c>
      <c r="H80">
        <f>Sterling!L80-Sterling!M80</f>
        <v>2893000</v>
      </c>
    </row>
    <row r="81" spans="1:8" x14ac:dyDescent="0.25">
      <c r="A81" s="3">
        <v>1898</v>
      </c>
      <c r="B81" s="11">
        <f>Dollars!$B81-Dollars!$F81</f>
        <v>37335462.719545349</v>
      </c>
      <c r="C81" s="11">
        <f>'Alternative series'!C83-Dollars!F81</f>
        <v>54110147.476935372</v>
      </c>
      <c r="D81" s="11">
        <f>'Alternative series'!F83-Dollars!F81</f>
        <v>58706833.061695561</v>
      </c>
      <c r="E81">
        <f>Dollars!$L81-Dollars!$M81</f>
        <v>7189139.1000000089</v>
      </c>
      <c r="G81" s="11">
        <f>Sterling!B81-Sterling!F81</f>
        <v>7701685.8963106908</v>
      </c>
      <c r="H81">
        <f>Sterling!L81-Sterling!M81</f>
        <v>1483000</v>
      </c>
    </row>
    <row r="82" spans="1:8" x14ac:dyDescent="0.25">
      <c r="A82" s="3">
        <v>1899</v>
      </c>
      <c r="B82" s="11">
        <f>Dollars!$B82-Dollars!$F82</f>
        <v>23178053.876713946</v>
      </c>
      <c r="C82" s="11">
        <f>'Alternative series'!C84-Dollars!F82</f>
        <v>39349236.520699844</v>
      </c>
      <c r="D82" s="11">
        <f>'Alternative series'!F84-Dollars!F82</f>
        <v>45514556.852321342</v>
      </c>
      <c r="E82">
        <f>Dollars!$L82-Dollars!$M82</f>
        <v>14503851.599999994</v>
      </c>
      <c r="G82" s="11">
        <f>Sterling!B82-Sterling!F82</f>
        <v>4765420.8389970697</v>
      </c>
      <c r="H82">
        <f>Sterling!L82-Sterling!M82</f>
        <v>2982000</v>
      </c>
    </row>
    <row r="83" spans="1:8" x14ac:dyDescent="0.25">
      <c r="A83" s="3">
        <v>1900</v>
      </c>
      <c r="B83" s="11">
        <f>Dollars!$B83-Dollars!$F83</f>
        <v>48243262.93358463</v>
      </c>
      <c r="C83" s="11">
        <f>'Alternative series'!C85-Dollars!F83</f>
        <v>66503891.075462013</v>
      </c>
      <c r="D83" s="11">
        <f>'Alternative series'!F85-Dollars!F83</f>
        <v>69651665.574484974</v>
      </c>
      <c r="E83">
        <f>Dollars!$L83-Dollars!$M83</f>
        <v>57185560.799999997</v>
      </c>
      <c r="G83" s="11">
        <f>Sterling!B83-Sterling!F83</f>
        <v>9915987.6127568521</v>
      </c>
      <c r="H83">
        <f>Sterling!L83-Sterling!M83</f>
        <v>11754000</v>
      </c>
    </row>
    <row r="84" spans="1:8" x14ac:dyDescent="0.25">
      <c r="A84" s="3">
        <v>1901</v>
      </c>
      <c r="B84" s="11">
        <f>Dollars!$B84-Dollars!$F84</f>
        <v>145670778.04191357</v>
      </c>
      <c r="C84" s="11">
        <f>'Alternative series'!C86-Dollars!F84</f>
        <v>144827200.36543894</v>
      </c>
      <c r="D84" s="11">
        <f>'Alternative series'!F86-Dollars!F84</f>
        <v>152500791.61929911</v>
      </c>
      <c r="E84">
        <f>Dollars!$L84-Dollars!$M84</f>
        <v>93775111.500000015</v>
      </c>
      <c r="G84" s="11">
        <f>Sterling!B84-Sterling!F84</f>
        <v>29895289.683730491</v>
      </c>
      <c r="H84">
        <f>Sterling!L84-Sterling!M84</f>
        <v>19245000</v>
      </c>
    </row>
    <row r="85" spans="1:8" x14ac:dyDescent="0.25">
      <c r="A85" s="3">
        <v>1902</v>
      </c>
      <c r="B85" s="11">
        <f>Dollars!$B85-Dollars!$F85</f>
        <v>103381509.28098261</v>
      </c>
      <c r="C85" s="11">
        <f>'Alternative series'!C87-Dollars!F85</f>
        <v>102294800.76490092</v>
      </c>
      <c r="D85" s="11">
        <f>'Alternative series'!F87-Dollars!F85</f>
        <v>109687910.24640757</v>
      </c>
      <c r="E85">
        <f>Dollars!$L85-Dollars!$M85</f>
        <v>64104460.200000018</v>
      </c>
      <c r="G85" s="11">
        <f>Sterling!B85-Sterling!F85</f>
        <v>21219957.158599854</v>
      </c>
      <c r="H85">
        <f>Sterling!L85-Sterling!M85</f>
        <v>13158000</v>
      </c>
    </row>
    <row r="86" spans="1:8" x14ac:dyDescent="0.25">
      <c r="A86" s="3">
        <v>1903</v>
      </c>
      <c r="B86" s="11">
        <f>Dollars!$B86-Dollars!$F86</f>
        <v>119308979.08826838</v>
      </c>
      <c r="C86" s="11">
        <f>'Alternative series'!C88-Dollars!F86</f>
        <v>117928605.45165731</v>
      </c>
      <c r="D86" s="11">
        <f>'Alternative series'!F88-Dollars!F86</f>
        <v>125595048.71312208</v>
      </c>
      <c r="E86">
        <f>Dollars!$L86-Dollars!$M86</f>
        <v>61639792.5</v>
      </c>
      <c r="G86" s="11">
        <f>Sterling!B86-Sterling!F86</f>
        <v>24533523.696462829</v>
      </c>
      <c r="H86">
        <f>Sterling!L86-Sterling!M86</f>
        <v>12675000</v>
      </c>
    </row>
    <row r="87" spans="1:8" x14ac:dyDescent="0.25">
      <c r="A87" s="3">
        <v>1904</v>
      </c>
      <c r="B87" s="11">
        <f>Dollars!$B87-Dollars!$F87</f>
        <v>84335297.391746446</v>
      </c>
      <c r="C87" s="11">
        <f>'Alternative series'!C89-Dollars!F87</f>
        <v>82427251.327261701</v>
      </c>
      <c r="D87" s="11">
        <f>'Alternative series'!F89-Dollars!F87</f>
        <v>89065945.25885053</v>
      </c>
      <c r="E87">
        <f>Dollars!$L87-Dollars!$M87</f>
        <v>65785614.000000015</v>
      </c>
      <c r="G87" s="11">
        <f>Sterling!B87-Sterling!F87</f>
        <v>17325847.931577455</v>
      </c>
      <c r="H87">
        <f>Sterling!L87-Sterling!M87</f>
        <v>13515000</v>
      </c>
    </row>
    <row r="88" spans="1:8" x14ac:dyDescent="0.25">
      <c r="A88" s="3">
        <v>1905</v>
      </c>
      <c r="B88" s="11">
        <f>Dollars!$B88-Dollars!$F88</f>
        <v>100056078.26904494</v>
      </c>
      <c r="C88" s="11">
        <f>'Alternative series'!C90-Dollars!F88</f>
        <v>98236588.833848268</v>
      </c>
      <c r="D88" s="11">
        <f>'Alternative series'!F90-Dollars!F88</f>
        <v>108594298.01472813</v>
      </c>
      <c r="E88">
        <f>Dollars!$L88-Dollars!$M88</f>
        <v>72068207.599999994</v>
      </c>
      <c r="G88" s="11">
        <f>Sterling!B88-Sterling!F88</f>
        <v>20565666.009423032</v>
      </c>
      <c r="H88">
        <f>Sterling!L88-Sterling!M88</f>
        <v>14813000</v>
      </c>
    </row>
    <row r="89" spans="1:8" x14ac:dyDescent="0.25">
      <c r="A89" s="3">
        <v>1906</v>
      </c>
      <c r="B89" s="11">
        <f>Dollars!$B89-Dollars!$F89</f>
        <v>96166743.205624163</v>
      </c>
      <c r="C89" s="11">
        <f>'Alternative series'!C91-Dollars!F89</f>
        <v>94037061.344446719</v>
      </c>
      <c r="D89" s="11">
        <f>'Alternative series'!F91-Dollars!F89</f>
        <v>104679453.03141785</v>
      </c>
      <c r="E89">
        <f>Dollars!$L89-Dollars!$M89</f>
        <v>96312634</v>
      </c>
      <c r="G89" s="11">
        <f>Sterling!B89-Sterling!F89</f>
        <v>19824924.384766262</v>
      </c>
      <c r="H89">
        <f>Sterling!L89-Sterling!M89</f>
        <v>19855000</v>
      </c>
    </row>
    <row r="90" spans="1:8" x14ac:dyDescent="0.25">
      <c r="A90" s="3">
        <v>1907</v>
      </c>
      <c r="B90" s="11">
        <f>Dollars!$B90-Dollars!$F90</f>
        <v>81641987.423389137</v>
      </c>
      <c r="C90" s="11">
        <f>'Alternative series'!C92-Dollars!F90</f>
        <v>79164422.290574431</v>
      </c>
      <c r="D90" s="11">
        <f>'Alternative series'!F92-Dollars!F90</f>
        <v>83172410.505859733</v>
      </c>
      <c r="E90">
        <f>Dollars!$L90-Dollars!$M90</f>
        <v>66305477.099999994</v>
      </c>
      <c r="G90" s="11">
        <f>Sterling!B90-Sterling!F90</f>
        <v>16806024.706846401</v>
      </c>
      <c r="H90">
        <f>Sterling!L90-Sterling!M90</f>
        <v>13649000</v>
      </c>
    </row>
    <row r="91" spans="1:8" x14ac:dyDescent="0.25">
      <c r="A91" s="3">
        <v>1908</v>
      </c>
      <c r="B91" s="11">
        <f>Dollars!$B91-Dollars!$F91</f>
        <v>74065731.640141815</v>
      </c>
      <c r="C91" s="11">
        <f>'Alternative series'!C93-Dollars!F91</f>
        <v>71582962.449549556</v>
      </c>
      <c r="D91" s="11">
        <f>'Alternative series'!F93-Dollars!F91</f>
        <v>88334407.949027747</v>
      </c>
      <c r="E91">
        <f>Dollars!$L91-Dollars!$M91</f>
        <v>42155558.400000006</v>
      </c>
      <c r="G91" s="11">
        <f>Sterling!B91-Sterling!F91</f>
        <v>15222322.352873608</v>
      </c>
      <c r="H91">
        <f>Sterling!L91-Sterling!M91</f>
        <v>8664000</v>
      </c>
    </row>
    <row r="92" spans="1:8" x14ac:dyDescent="0.25">
      <c r="A92" s="3">
        <v>1909</v>
      </c>
      <c r="B92" s="11">
        <f>Dollars!$B92-Dollars!$F92</f>
        <v>151090091.8163884</v>
      </c>
      <c r="C92" s="11">
        <f>'Alternative series'!C94-Dollars!F92</f>
        <v>148142734.75120959</v>
      </c>
      <c r="D92" s="11">
        <f>'Alternative series'!F94-Dollars!F92</f>
        <v>167128552.9228839</v>
      </c>
      <c r="E92">
        <f>Dollars!$L92-Dollars!$M92</f>
        <v>129546046.49999997</v>
      </c>
      <c r="G92" s="11">
        <f>Sterling!B92-Sterling!F92</f>
        <v>31006195.862092055</v>
      </c>
      <c r="H92">
        <f>Sterling!L92-Sterling!M92</f>
        <v>26585000</v>
      </c>
    </row>
    <row r="93" spans="1:8" x14ac:dyDescent="0.25">
      <c r="A93" s="3">
        <v>1910</v>
      </c>
      <c r="B93" s="11">
        <f>Dollars!$B93-Dollars!$F93</f>
        <v>-8062110.2273367941</v>
      </c>
      <c r="C93" s="11">
        <f>'Alternative series'!C95-Dollars!F93</f>
        <v>-11645140.268472344</v>
      </c>
      <c r="D93" s="11">
        <f>'Alternative series'!F95-Dollars!F93</f>
        <v>-6042.7229822576046</v>
      </c>
      <c r="E93">
        <f>Dollars!$L93-Dollars!$M93</f>
        <v>74014859.99999997</v>
      </c>
      <c r="G93" s="11">
        <f>Sterling!B93-Sterling!F93</f>
        <v>-1657847.0547680035</v>
      </c>
      <c r="H93">
        <f>Sterling!L93-Sterling!M93</f>
        <v>15220000</v>
      </c>
    </row>
    <row r="94" spans="1:8" x14ac:dyDescent="0.25">
      <c r="A94" s="3">
        <v>1911</v>
      </c>
      <c r="B94" s="11">
        <f>Dollars!$B94-Dollars!$F94</f>
        <v>56373123.631642729</v>
      </c>
      <c r="C94" s="11">
        <f>'Alternative series'!C96-Dollars!F94</f>
        <v>54026051.936369866</v>
      </c>
      <c r="D94" s="11">
        <f>'Alternative series'!F96-Dollars!F94</f>
        <v>64483971.806336075</v>
      </c>
      <c r="E94">
        <f>Dollars!$L94-Dollars!$M94</f>
        <v>68154859.100000024</v>
      </c>
      <c r="G94" s="11">
        <f>Sterling!B94-Sterling!F94</f>
        <v>11593921.31946665</v>
      </c>
      <c r="H94">
        <f>Sterling!L94-Sterling!M94</f>
        <v>14017000</v>
      </c>
    </row>
    <row r="95" spans="1:8" x14ac:dyDescent="0.25">
      <c r="A95" s="3">
        <v>1912</v>
      </c>
      <c r="B95" s="11">
        <f>Dollars!$B95-Dollars!$F95</f>
        <v>74648161.38735038</v>
      </c>
      <c r="C95" s="11">
        <f>'Alternative series'!C97-Dollars!F95</f>
        <v>71738702.868937194</v>
      </c>
      <c r="D95" s="11">
        <f>'Alternative series'!F97-Dollars!F95</f>
        <v>82540352.812732041</v>
      </c>
      <c r="E95">
        <f>Dollars!$L95-Dollars!$M95</f>
        <v>54613739.200000048</v>
      </c>
      <c r="G95" s="11">
        <f>Sterling!B95-Sterling!F95</f>
        <v>15341395.328075632</v>
      </c>
      <c r="H95">
        <f>Sterling!L95-Sterling!M95</f>
        <v>11224000</v>
      </c>
    </row>
    <row r="96" spans="1:8" x14ac:dyDescent="0.25">
      <c r="A96" s="3">
        <v>1913</v>
      </c>
      <c r="B96" s="11">
        <f>Dollars!$B96-Dollars!$F96</f>
        <v>75695691.615572631</v>
      </c>
      <c r="C96" s="11">
        <f>'Alternative series'!C98-Dollars!F96</f>
        <v>70780769.332527876</v>
      </c>
      <c r="D96" s="11">
        <f>'Alternative series'!F98-Dollars!F96</f>
        <v>82673719.348981738</v>
      </c>
      <c r="E96">
        <f>Dollars!$L96-Dollars!$M96</f>
        <v>-8341245.5</v>
      </c>
      <c r="G96" s="11">
        <f>Sterling!B96-Sterling!F96</f>
        <v>15563396.512032539</v>
      </c>
      <c r="H96">
        <f>Sterling!L96-Sterling!M96</f>
        <v>-1715000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F19" workbookViewId="0">
      <selection activeCell="E45" sqref="E45:E97"/>
    </sheetView>
  </sheetViews>
  <sheetFormatPr defaultColWidth="8.85546875" defaultRowHeight="15" x14ac:dyDescent="0.25"/>
  <cols>
    <col min="1" max="1" width="11.42578125" style="12" customWidth="1"/>
    <col min="2" max="2" width="13.85546875" customWidth="1"/>
    <col min="3" max="3" width="13.28515625" customWidth="1"/>
    <col min="5" max="5" width="16.85546875" customWidth="1"/>
    <col min="6" max="6" width="12.28515625" customWidth="1"/>
  </cols>
  <sheetData>
    <row r="1" spans="1:11" x14ac:dyDescent="0.25">
      <c r="A1" s="3"/>
    </row>
    <row r="2" spans="1:11" x14ac:dyDescent="0.25">
      <c r="A2" s="3" t="s">
        <v>0</v>
      </c>
      <c r="B2" s="20" t="s">
        <v>5</v>
      </c>
      <c r="F2" s="20" t="s">
        <v>6</v>
      </c>
    </row>
    <row r="3" spans="1:11" x14ac:dyDescent="0.25">
      <c r="A3" s="3"/>
    </row>
    <row r="4" spans="1:11" x14ac:dyDescent="0.25">
      <c r="A4" s="3"/>
      <c r="B4" t="s">
        <v>145</v>
      </c>
      <c r="C4" t="s">
        <v>22</v>
      </c>
      <c r="D4" t="s">
        <v>25</v>
      </c>
      <c r="F4" t="s">
        <v>23</v>
      </c>
      <c r="G4" t="s">
        <v>24</v>
      </c>
      <c r="H4" t="s">
        <v>22</v>
      </c>
      <c r="K4" t="s">
        <v>142</v>
      </c>
    </row>
    <row r="5" spans="1:11" x14ac:dyDescent="0.25">
      <c r="A5" s="3"/>
    </row>
    <row r="6" spans="1:11" x14ac:dyDescent="0.25">
      <c r="A6" s="3">
        <v>1821</v>
      </c>
      <c r="B6">
        <v>155</v>
      </c>
      <c r="K6" t="e">
        <f>B6/F6</f>
        <v>#DIV/0!</v>
      </c>
    </row>
    <row r="7" spans="1:11" x14ac:dyDescent="0.25">
      <c r="A7" s="3">
        <f t="shared" ref="A7:A34" si="0">A6+1</f>
        <v>1822</v>
      </c>
      <c r="B7">
        <v>149</v>
      </c>
      <c r="K7" t="e">
        <f t="shared" ref="K7:K70" si="1">B7/F7</f>
        <v>#DIV/0!</v>
      </c>
    </row>
    <row r="8" spans="1:11" x14ac:dyDescent="0.25">
      <c r="A8" s="3">
        <f t="shared" si="0"/>
        <v>1823</v>
      </c>
      <c r="B8">
        <v>159</v>
      </c>
      <c r="K8" t="e">
        <f t="shared" si="1"/>
        <v>#DIV/0!</v>
      </c>
    </row>
    <row r="9" spans="1:11" x14ac:dyDescent="0.25">
      <c r="A9" s="3">
        <f t="shared" si="0"/>
        <v>1824</v>
      </c>
      <c r="B9">
        <v>127</v>
      </c>
      <c r="K9" t="e">
        <f t="shared" si="1"/>
        <v>#DIV/0!</v>
      </c>
    </row>
    <row r="10" spans="1:11" x14ac:dyDescent="0.25">
      <c r="A10" s="3">
        <f t="shared" si="0"/>
        <v>1825</v>
      </c>
      <c r="B10">
        <v>140</v>
      </c>
      <c r="K10" t="e">
        <f t="shared" si="1"/>
        <v>#DIV/0!</v>
      </c>
    </row>
    <row r="11" spans="1:11" x14ac:dyDescent="0.25">
      <c r="A11" s="3">
        <f t="shared" si="0"/>
        <v>1826</v>
      </c>
      <c r="B11">
        <v>112.00000000000001</v>
      </c>
      <c r="K11" t="e">
        <f t="shared" si="1"/>
        <v>#DIV/0!</v>
      </c>
    </row>
    <row r="12" spans="1:11" x14ac:dyDescent="0.25">
      <c r="A12" s="3">
        <f t="shared" si="0"/>
        <v>1827</v>
      </c>
      <c r="B12">
        <v>113.99999999999999</v>
      </c>
      <c r="F12" s="11">
        <v>163.80450079173528</v>
      </c>
      <c r="G12" s="11">
        <v>180.18575851393189</v>
      </c>
      <c r="H12" s="11"/>
      <c r="K12">
        <f t="shared" si="1"/>
        <v>0.69595157305806965</v>
      </c>
    </row>
    <row r="13" spans="1:11" x14ac:dyDescent="0.25">
      <c r="A13" s="3">
        <f t="shared" si="0"/>
        <v>1828</v>
      </c>
      <c r="B13">
        <v>112.00000000000001</v>
      </c>
      <c r="F13" s="11">
        <v>165.0163701778626</v>
      </c>
      <c r="G13" s="11">
        <v>175.85139318885447</v>
      </c>
      <c r="H13" s="11"/>
      <c r="K13">
        <f t="shared" si="1"/>
        <v>0.67872054075169042</v>
      </c>
    </row>
    <row r="14" spans="1:11" x14ac:dyDescent="0.25">
      <c r="A14" s="3">
        <f t="shared" si="0"/>
        <v>1829</v>
      </c>
      <c r="B14">
        <v>99</v>
      </c>
      <c r="F14" s="11">
        <v>161.47470995327328</v>
      </c>
      <c r="G14" s="11">
        <v>159.23632610939114</v>
      </c>
      <c r="H14" s="11"/>
      <c r="K14">
        <f t="shared" si="1"/>
        <v>0.6130991040556637</v>
      </c>
    </row>
    <row r="15" spans="1:11" x14ac:dyDescent="0.25">
      <c r="A15" s="3">
        <f t="shared" si="0"/>
        <v>1830</v>
      </c>
      <c r="B15">
        <v>96</v>
      </c>
      <c r="F15" s="11">
        <v>161.79117330521652</v>
      </c>
      <c r="G15" s="11">
        <v>163.26109391124868</v>
      </c>
      <c r="H15" s="11"/>
      <c r="K15">
        <f t="shared" si="1"/>
        <v>0.5933574622077652</v>
      </c>
    </row>
    <row r="16" spans="1:11" x14ac:dyDescent="0.25">
      <c r="A16" s="3">
        <f t="shared" si="0"/>
        <v>1831</v>
      </c>
      <c r="B16">
        <v>93</v>
      </c>
      <c r="F16" s="11">
        <v>149.58070437063327</v>
      </c>
      <c r="G16" s="11">
        <v>156.656346749226</v>
      </c>
      <c r="H16" s="11"/>
      <c r="K16">
        <f t="shared" si="1"/>
        <v>0.62173794669106008</v>
      </c>
    </row>
    <row r="17" spans="1:11" x14ac:dyDescent="0.25">
      <c r="A17" s="3">
        <f t="shared" si="0"/>
        <v>1832</v>
      </c>
      <c r="B17">
        <v>103</v>
      </c>
      <c r="F17" s="11">
        <v>124.72324404996075</v>
      </c>
      <c r="G17" s="11">
        <v>143.75644994840042</v>
      </c>
      <c r="H17" s="11"/>
      <c r="K17">
        <f t="shared" si="1"/>
        <v>0.82582842343918661</v>
      </c>
    </row>
    <row r="18" spans="1:11" x14ac:dyDescent="0.25">
      <c r="A18" s="3">
        <f t="shared" si="0"/>
        <v>1833</v>
      </c>
      <c r="B18">
        <v>108</v>
      </c>
      <c r="F18" s="11">
        <v>132.02014912248367</v>
      </c>
      <c r="G18" s="11">
        <v>146.33642930856553</v>
      </c>
      <c r="H18" s="11"/>
      <c r="K18">
        <f t="shared" si="1"/>
        <v>0.81805694598785361</v>
      </c>
    </row>
    <row r="19" spans="1:11" x14ac:dyDescent="0.25">
      <c r="A19" s="3">
        <f t="shared" si="0"/>
        <v>1834</v>
      </c>
      <c r="B19">
        <v>106</v>
      </c>
      <c r="F19" s="11">
        <v>126.33856853115037</v>
      </c>
      <c r="G19" s="11">
        <v>150.67079463364291</v>
      </c>
      <c r="H19" s="11"/>
      <c r="K19">
        <f t="shared" si="1"/>
        <v>0.83901536349815742</v>
      </c>
    </row>
    <row r="20" spans="1:11" x14ac:dyDescent="0.25">
      <c r="A20" s="3">
        <f t="shared" si="0"/>
        <v>1835</v>
      </c>
      <c r="B20">
        <v>112.00000000000001</v>
      </c>
      <c r="F20" s="11">
        <v>135.49512098924868</v>
      </c>
      <c r="G20" s="11">
        <v>157.79153766769863</v>
      </c>
      <c r="H20" s="11"/>
      <c r="K20">
        <f t="shared" si="1"/>
        <v>0.82659802937765592</v>
      </c>
    </row>
    <row r="21" spans="1:11" x14ac:dyDescent="0.25">
      <c r="A21" s="3">
        <f t="shared" si="0"/>
        <v>1836</v>
      </c>
      <c r="B21">
        <v>114.99999999999999</v>
      </c>
      <c r="F21" s="11">
        <v>136.06519192458373</v>
      </c>
      <c r="G21" s="11">
        <v>165.22187822497418</v>
      </c>
      <c r="H21" s="11"/>
      <c r="K21">
        <f t="shared" si="1"/>
        <v>0.84518309476049203</v>
      </c>
    </row>
    <row r="22" spans="1:11" x14ac:dyDescent="0.25">
      <c r="A22" s="3">
        <f t="shared" si="0"/>
        <v>1837</v>
      </c>
      <c r="B22">
        <v>95</v>
      </c>
      <c r="F22" s="11">
        <v>126.51586473824523</v>
      </c>
      <c r="G22" s="11">
        <v>151.90918472652217</v>
      </c>
      <c r="H22" s="11"/>
      <c r="K22">
        <f t="shared" si="1"/>
        <v>0.75089397046410011</v>
      </c>
    </row>
    <row r="23" spans="1:11" x14ac:dyDescent="0.25">
      <c r="A23" s="3">
        <f t="shared" si="0"/>
        <v>1838</v>
      </c>
      <c r="B23">
        <v>96</v>
      </c>
      <c r="F23" s="11">
        <v>124.17915150643171</v>
      </c>
      <c r="G23" s="11">
        <v>143.65325077399379</v>
      </c>
      <c r="H23" s="11"/>
      <c r="K23">
        <f t="shared" si="1"/>
        <v>0.7730766302991513</v>
      </c>
    </row>
    <row r="24" spans="1:11" x14ac:dyDescent="0.25">
      <c r="A24" s="3">
        <f t="shared" si="0"/>
        <v>1839</v>
      </c>
      <c r="B24">
        <v>98</v>
      </c>
      <c r="F24" s="11">
        <v>123.58600427575882</v>
      </c>
      <c r="G24" s="11">
        <v>142.10526315789471</v>
      </c>
      <c r="H24" s="11"/>
      <c r="K24">
        <f t="shared" si="1"/>
        <v>0.79297005008213961</v>
      </c>
    </row>
    <row r="25" spans="1:11" x14ac:dyDescent="0.25">
      <c r="A25" s="3">
        <f t="shared" si="0"/>
        <v>1840</v>
      </c>
      <c r="B25">
        <v>102</v>
      </c>
      <c r="F25" s="11">
        <v>115.0769234062129</v>
      </c>
      <c r="G25" s="11">
        <v>132.6109391124871</v>
      </c>
      <c r="H25" s="11"/>
      <c r="K25">
        <f t="shared" si="1"/>
        <v>0.8863636338273283</v>
      </c>
    </row>
    <row r="26" spans="1:11" x14ac:dyDescent="0.25">
      <c r="A26" s="3">
        <f t="shared" si="0"/>
        <v>1841</v>
      </c>
      <c r="B26">
        <v>97</v>
      </c>
      <c r="F26" s="11">
        <v>110.65721082299771</v>
      </c>
      <c r="G26" s="11">
        <v>128.27657378740969</v>
      </c>
      <c r="H26" s="11"/>
      <c r="K26">
        <f t="shared" si="1"/>
        <v>0.876580923001546</v>
      </c>
    </row>
    <row r="27" spans="1:11" x14ac:dyDescent="0.25">
      <c r="A27" s="3">
        <f t="shared" si="0"/>
        <v>1842</v>
      </c>
      <c r="B27">
        <v>85</v>
      </c>
      <c r="F27" s="11">
        <v>104.3236117970588</v>
      </c>
      <c r="G27" s="11">
        <v>117.85345717234262</v>
      </c>
      <c r="H27" s="11"/>
      <c r="K27">
        <f t="shared" si="1"/>
        <v>0.81477240421229746</v>
      </c>
    </row>
    <row r="28" spans="1:11" x14ac:dyDescent="0.25">
      <c r="A28" s="3">
        <f t="shared" si="0"/>
        <v>1843</v>
      </c>
      <c r="B28">
        <v>80</v>
      </c>
      <c r="F28" s="11">
        <v>94.412364048004449</v>
      </c>
      <c r="G28" s="11">
        <v>115.58307533539731</v>
      </c>
      <c r="H28" s="11"/>
      <c r="K28">
        <f t="shared" si="1"/>
        <v>0.84734664581985886</v>
      </c>
    </row>
    <row r="29" spans="1:11" x14ac:dyDescent="0.25">
      <c r="A29" s="3">
        <f t="shared" si="0"/>
        <v>1844</v>
      </c>
      <c r="B29">
        <v>78</v>
      </c>
      <c r="F29" s="11">
        <v>93.976438349083296</v>
      </c>
      <c r="G29" s="11">
        <v>118.57585139318884</v>
      </c>
      <c r="H29" s="11"/>
      <c r="K29">
        <f t="shared" si="1"/>
        <v>0.82999527722323885</v>
      </c>
    </row>
    <row r="30" spans="1:11" x14ac:dyDescent="0.25">
      <c r="A30" s="3">
        <f t="shared" si="0"/>
        <v>1845</v>
      </c>
      <c r="B30">
        <v>79</v>
      </c>
      <c r="F30" s="11">
        <v>97.197004548715967</v>
      </c>
      <c r="G30" s="11">
        <v>122.0846233230134</v>
      </c>
      <c r="H30" s="11"/>
      <c r="K30">
        <f t="shared" si="1"/>
        <v>0.81278224948181943</v>
      </c>
    </row>
    <row r="31" spans="1:11" x14ac:dyDescent="0.25">
      <c r="A31" s="3">
        <f t="shared" si="0"/>
        <v>1846</v>
      </c>
      <c r="B31">
        <v>74</v>
      </c>
      <c r="F31" s="11">
        <v>95.868127008963555</v>
      </c>
      <c r="G31" s="11">
        <v>120.02063983488131</v>
      </c>
      <c r="H31" s="11"/>
      <c r="K31">
        <f t="shared" si="1"/>
        <v>0.77189366590087949</v>
      </c>
    </row>
    <row r="32" spans="1:11" x14ac:dyDescent="0.25">
      <c r="A32" s="3">
        <f t="shared" si="0"/>
        <v>1847</v>
      </c>
      <c r="B32">
        <v>69</v>
      </c>
      <c r="F32" s="11">
        <v>104.6032248811706</v>
      </c>
      <c r="G32" s="11">
        <v>121.87822497420019</v>
      </c>
      <c r="H32" s="11"/>
      <c r="K32">
        <f t="shared" si="1"/>
        <v>0.65963549477928707</v>
      </c>
    </row>
    <row r="33" spans="1:11" x14ac:dyDescent="0.25">
      <c r="A33" s="3">
        <f t="shared" si="0"/>
        <v>1848</v>
      </c>
      <c r="B33">
        <v>57.999999999999993</v>
      </c>
      <c r="F33" s="11">
        <v>94.227387069384392</v>
      </c>
      <c r="G33" s="11">
        <v>109.1847265221878</v>
      </c>
      <c r="H33" s="11"/>
      <c r="K33">
        <f t="shared" si="1"/>
        <v>0.61553229696682199</v>
      </c>
    </row>
    <row r="34" spans="1:11" x14ac:dyDescent="0.25">
      <c r="A34" s="3">
        <f t="shared" si="0"/>
        <v>1849</v>
      </c>
      <c r="B34">
        <v>69</v>
      </c>
      <c r="F34" s="11">
        <v>89.657249478740709</v>
      </c>
      <c r="G34" s="11">
        <v>104.02476780185759</v>
      </c>
      <c r="H34" s="11"/>
      <c r="K34">
        <f t="shared" si="1"/>
        <v>0.76959755514651496</v>
      </c>
    </row>
    <row r="35" spans="1:11" x14ac:dyDescent="0.25">
      <c r="A35" s="3">
        <v>1850</v>
      </c>
      <c r="B35">
        <v>81</v>
      </c>
      <c r="C35">
        <v>71</v>
      </c>
      <c r="F35" s="11">
        <v>92.93519707419928</v>
      </c>
      <c r="G35" s="11">
        <v>104.02476780185759</v>
      </c>
      <c r="H35" s="11">
        <v>79.591836734693871</v>
      </c>
      <c r="K35">
        <f t="shared" si="1"/>
        <v>0.87157506036523236</v>
      </c>
    </row>
    <row r="36" spans="1:11" x14ac:dyDescent="0.25">
      <c r="A36" s="3">
        <v>1851</v>
      </c>
      <c r="B36">
        <v>67</v>
      </c>
      <c r="C36">
        <v>73</v>
      </c>
      <c r="F36" s="11">
        <v>90.643198794027555</v>
      </c>
      <c r="G36" s="11">
        <v>102.2703818369453</v>
      </c>
      <c r="H36" s="11">
        <v>77.928949357520764</v>
      </c>
      <c r="K36">
        <f t="shared" si="1"/>
        <v>0.73916191056150815</v>
      </c>
    </row>
    <row r="37" spans="1:11" x14ac:dyDescent="0.25">
      <c r="A37" s="3">
        <v>1852</v>
      </c>
      <c r="B37">
        <v>68</v>
      </c>
      <c r="C37">
        <v>76</v>
      </c>
      <c r="F37" s="11">
        <v>89.471339178117347</v>
      </c>
      <c r="G37" s="11">
        <v>101.23839009287924</v>
      </c>
      <c r="H37" s="11">
        <v>77.32426303854875</v>
      </c>
      <c r="K37">
        <f t="shared" si="1"/>
        <v>0.76001991950324188</v>
      </c>
    </row>
    <row r="38" spans="1:11" x14ac:dyDescent="0.25">
      <c r="A38" s="3">
        <v>1853</v>
      </c>
      <c r="B38">
        <v>76</v>
      </c>
      <c r="C38">
        <v>71</v>
      </c>
      <c r="F38" s="11">
        <v>94.976679495659923</v>
      </c>
      <c r="G38" s="11">
        <v>111.55830753353972</v>
      </c>
      <c r="H38" s="11">
        <v>79.894179894179885</v>
      </c>
      <c r="K38">
        <f t="shared" si="1"/>
        <v>0.80019643141422847</v>
      </c>
    </row>
    <row r="39" spans="1:11" x14ac:dyDescent="0.25">
      <c r="A39" s="3">
        <v>1854</v>
      </c>
      <c r="B39">
        <v>76</v>
      </c>
      <c r="C39">
        <v>87</v>
      </c>
      <c r="F39" s="11">
        <v>95.782114074947117</v>
      </c>
      <c r="G39" s="11">
        <v>112.17750257997936</v>
      </c>
      <c r="H39" s="11">
        <v>75.736961451247168</v>
      </c>
      <c r="K39">
        <f t="shared" si="1"/>
        <v>0.7934675563804312</v>
      </c>
    </row>
    <row r="40" spans="1:11" x14ac:dyDescent="0.25">
      <c r="A40" s="7">
        <v>1855</v>
      </c>
      <c r="B40">
        <v>76</v>
      </c>
      <c r="C40">
        <v>80</v>
      </c>
      <c r="F40" s="11">
        <v>99.600763188363786</v>
      </c>
      <c r="G40" s="11">
        <v>109.49432404540762</v>
      </c>
      <c r="H40" s="11">
        <v>72.864701436130005</v>
      </c>
      <c r="K40">
        <f t="shared" si="1"/>
        <v>0.76304636196682252</v>
      </c>
    </row>
    <row r="41" spans="1:11" x14ac:dyDescent="0.25">
      <c r="A41" s="3">
        <f t="shared" ref="A41:A72" si="2">A40+1</f>
        <v>1856</v>
      </c>
      <c r="B41">
        <v>81</v>
      </c>
      <c r="C41">
        <v>91</v>
      </c>
      <c r="F41" s="11">
        <v>100.03144678763624</v>
      </c>
      <c r="G41" s="11">
        <v>111.86790505675954</v>
      </c>
      <c r="H41" s="11">
        <v>73.998488284202566</v>
      </c>
      <c r="K41">
        <f t="shared" si="1"/>
        <v>0.80974536109590189</v>
      </c>
    </row>
    <row r="42" spans="1:11" x14ac:dyDescent="0.25">
      <c r="A42" s="3">
        <f t="shared" si="2"/>
        <v>1857</v>
      </c>
      <c r="B42">
        <v>91</v>
      </c>
      <c r="C42">
        <v>103</v>
      </c>
      <c r="F42" s="11">
        <v>102.46712793422805</v>
      </c>
      <c r="G42" s="11">
        <v>115.27347781217749</v>
      </c>
      <c r="H42" s="11">
        <v>81.40589569160997</v>
      </c>
      <c r="K42">
        <f t="shared" si="1"/>
        <v>0.88808969114867153</v>
      </c>
    </row>
    <row r="43" spans="1:11" x14ac:dyDescent="0.25">
      <c r="A43" s="3">
        <f t="shared" si="2"/>
        <v>1858</v>
      </c>
      <c r="B43">
        <v>76</v>
      </c>
      <c r="C43">
        <v>102</v>
      </c>
      <c r="F43" s="11">
        <v>96.678404170355307</v>
      </c>
      <c r="G43" s="11">
        <v>112.59029927760578</v>
      </c>
      <c r="H43" s="11">
        <v>80.347694633408906</v>
      </c>
      <c r="K43">
        <f t="shared" si="1"/>
        <v>0.78611144497256846</v>
      </c>
    </row>
    <row r="44" spans="1:11" x14ac:dyDescent="0.25">
      <c r="A44" s="3">
        <f t="shared" si="2"/>
        <v>1859</v>
      </c>
      <c r="B44">
        <v>87</v>
      </c>
      <c r="C44">
        <v>89</v>
      </c>
      <c r="F44" s="11">
        <v>98.622416612096558</v>
      </c>
      <c r="G44" s="11">
        <v>115.06707946336429</v>
      </c>
      <c r="H44" s="11">
        <v>80.498866213151928</v>
      </c>
      <c r="K44">
        <f t="shared" si="1"/>
        <v>0.88215238470772772</v>
      </c>
    </row>
    <row r="45" spans="1:11" x14ac:dyDescent="0.25">
      <c r="A45" s="3">
        <f t="shared" si="2"/>
        <v>1860</v>
      </c>
      <c r="B45">
        <v>95</v>
      </c>
      <c r="C45">
        <v>108</v>
      </c>
      <c r="D45">
        <v>126</v>
      </c>
      <c r="F45" s="11">
        <v>98.356743694576068</v>
      </c>
      <c r="G45" s="11">
        <v>114.13828689370484</v>
      </c>
      <c r="H45" s="11">
        <v>78.080120937263786</v>
      </c>
      <c r="K45">
        <f t="shared" si="1"/>
        <v>0.96587174840802326</v>
      </c>
    </row>
    <row r="46" spans="1:11" x14ac:dyDescent="0.25">
      <c r="A46" s="3">
        <f t="shared" si="2"/>
        <v>1861</v>
      </c>
      <c r="B46">
        <v>87</v>
      </c>
      <c r="C46">
        <v>104</v>
      </c>
      <c r="D46">
        <v>118</v>
      </c>
      <c r="F46" s="11">
        <v>97.081375448504019</v>
      </c>
      <c r="G46" s="11">
        <v>114.65428276573786</v>
      </c>
      <c r="H46" s="11">
        <v>78.835978835978821</v>
      </c>
      <c r="K46">
        <f t="shared" si="1"/>
        <v>0.8961554118704097</v>
      </c>
    </row>
    <row r="47" spans="1:11" x14ac:dyDescent="0.25">
      <c r="A47" s="3">
        <f t="shared" si="2"/>
        <v>1862</v>
      </c>
      <c r="B47">
        <v>103</v>
      </c>
      <c r="C47">
        <v>105</v>
      </c>
      <c r="D47">
        <v>131</v>
      </c>
      <c r="F47" s="11">
        <v>104.39497683362215</v>
      </c>
      <c r="G47" s="11">
        <v>120.63983488132095</v>
      </c>
      <c r="H47" s="11">
        <v>90.173847316704453</v>
      </c>
      <c r="K47">
        <f t="shared" si="1"/>
        <v>0.98663751000351885</v>
      </c>
    </row>
    <row r="48" spans="1:11" x14ac:dyDescent="0.25">
      <c r="A48" s="3">
        <f t="shared" si="2"/>
        <v>1863</v>
      </c>
      <c r="B48">
        <v>110.00000000000001</v>
      </c>
      <c r="C48">
        <v>113.99999999999999</v>
      </c>
      <c r="D48">
        <v>147</v>
      </c>
      <c r="F48" s="11">
        <v>129.55826548423056</v>
      </c>
      <c r="G48" s="11">
        <v>132.92053663570692</v>
      </c>
      <c r="H48" s="11">
        <v>106.65154950869236</v>
      </c>
      <c r="K48">
        <f t="shared" si="1"/>
        <v>0.84903884432899324</v>
      </c>
    </row>
    <row r="49" spans="1:11" x14ac:dyDescent="0.25">
      <c r="A49" s="3">
        <f t="shared" si="2"/>
        <v>1864</v>
      </c>
      <c r="B49">
        <v>118</v>
      </c>
      <c r="C49">
        <v>136</v>
      </c>
      <c r="D49">
        <v>155</v>
      </c>
      <c r="F49" s="11">
        <v>144.25331519607838</v>
      </c>
      <c r="G49" s="11">
        <v>145.82043343653251</v>
      </c>
      <c r="H49" s="11">
        <v>120.48374905517763</v>
      </c>
      <c r="K49">
        <f t="shared" si="1"/>
        <v>0.81800546378852246</v>
      </c>
    </row>
    <row r="50" spans="1:11" x14ac:dyDescent="0.25">
      <c r="A50" s="3">
        <f t="shared" si="2"/>
        <v>1865</v>
      </c>
      <c r="B50">
        <v>105</v>
      </c>
      <c r="C50">
        <v>115.99999999999999</v>
      </c>
      <c r="D50">
        <v>132</v>
      </c>
      <c r="F50" s="11">
        <v>147.21634870460713</v>
      </c>
      <c r="G50" s="11">
        <v>138.90608875128999</v>
      </c>
      <c r="H50" s="11">
        <v>113.30309901738474</v>
      </c>
      <c r="K50">
        <f t="shared" si="1"/>
        <v>0.71323600214188732</v>
      </c>
    </row>
    <row r="51" spans="1:11" x14ac:dyDescent="0.25">
      <c r="A51" s="3">
        <f t="shared" si="2"/>
        <v>1866</v>
      </c>
      <c r="B51">
        <v>97</v>
      </c>
      <c r="C51">
        <v>107</v>
      </c>
      <c r="D51">
        <v>117</v>
      </c>
      <c r="F51" s="11">
        <v>144.35127935545785</v>
      </c>
      <c r="G51" s="11">
        <v>143.55005159958719</v>
      </c>
      <c r="H51" s="11">
        <v>114.89040060468632</v>
      </c>
      <c r="K51">
        <f t="shared" si="1"/>
        <v>0.67197187605897368</v>
      </c>
    </row>
    <row r="52" spans="1:11" x14ac:dyDescent="0.25">
      <c r="A52" s="3">
        <f t="shared" si="2"/>
        <v>1867</v>
      </c>
      <c r="B52">
        <v>86</v>
      </c>
      <c r="C52">
        <v>92</v>
      </c>
      <c r="D52">
        <v>105</v>
      </c>
      <c r="F52" s="11">
        <v>128.57858030865</v>
      </c>
      <c r="G52" s="11">
        <v>135.08771929824562</v>
      </c>
      <c r="H52" s="11">
        <v>98.639455782312908</v>
      </c>
      <c r="K52">
        <f t="shared" si="1"/>
        <v>0.6688516842662201</v>
      </c>
    </row>
    <row r="53" spans="1:11" x14ac:dyDescent="0.25">
      <c r="A53" s="3">
        <f t="shared" si="2"/>
        <v>1868</v>
      </c>
      <c r="B53">
        <v>84</v>
      </c>
      <c r="C53">
        <v>90</v>
      </c>
      <c r="D53">
        <v>97</v>
      </c>
      <c r="F53" s="11">
        <v>117.65253889233867</v>
      </c>
      <c r="G53" s="11">
        <v>126.10939112487101</v>
      </c>
      <c r="H53" s="11">
        <v>88.888888888888872</v>
      </c>
      <c r="K53">
        <f t="shared" si="1"/>
        <v>0.71396674301152663</v>
      </c>
    </row>
    <row r="54" spans="1:11" x14ac:dyDescent="0.25">
      <c r="A54" s="3">
        <f t="shared" si="2"/>
        <v>1869</v>
      </c>
      <c r="B54">
        <v>86</v>
      </c>
      <c r="C54">
        <v>74</v>
      </c>
      <c r="D54">
        <v>106</v>
      </c>
      <c r="F54" s="11">
        <v>112.95548451920784</v>
      </c>
      <c r="G54" s="11">
        <v>125.28379772961816</v>
      </c>
      <c r="H54" s="11">
        <v>89.720332577475432</v>
      </c>
      <c r="K54">
        <f t="shared" si="1"/>
        <v>0.76136187955863166</v>
      </c>
    </row>
    <row r="55" spans="1:11" x14ac:dyDescent="0.25">
      <c r="A55" s="3">
        <f t="shared" si="2"/>
        <v>1870</v>
      </c>
      <c r="B55">
        <v>87</v>
      </c>
      <c r="C55">
        <v>85</v>
      </c>
      <c r="D55">
        <v>106</v>
      </c>
      <c r="F55" s="11">
        <v>108.69610703207368</v>
      </c>
      <c r="G55" s="11">
        <v>122.29102167182661</v>
      </c>
      <c r="H55" s="11">
        <v>95.918367346938766</v>
      </c>
      <c r="K55">
        <f t="shared" si="1"/>
        <v>0.80039665058407594</v>
      </c>
    </row>
    <row r="56" spans="1:11" x14ac:dyDescent="0.25">
      <c r="A56" s="3">
        <f t="shared" si="2"/>
        <v>1871</v>
      </c>
      <c r="B56">
        <v>88</v>
      </c>
      <c r="C56">
        <v>80</v>
      </c>
      <c r="D56">
        <v>122</v>
      </c>
      <c r="F56" s="11">
        <v>115.32453033489038</v>
      </c>
      <c r="G56" s="11">
        <v>121.7750257997936</v>
      </c>
      <c r="H56" s="11">
        <v>88.586545729402872</v>
      </c>
      <c r="K56">
        <f t="shared" si="1"/>
        <v>0.76306402241099269</v>
      </c>
    </row>
    <row r="57" spans="1:11" x14ac:dyDescent="0.25">
      <c r="A57" s="3">
        <f t="shared" si="2"/>
        <v>1872</v>
      </c>
      <c r="B57">
        <v>106</v>
      </c>
      <c r="C57">
        <v>82</v>
      </c>
      <c r="D57">
        <v>148</v>
      </c>
      <c r="F57" s="11">
        <v>122.81794563772172</v>
      </c>
      <c r="G57" s="11">
        <v>134.7781217750258</v>
      </c>
      <c r="H57" s="11">
        <v>97.505668934240347</v>
      </c>
      <c r="K57">
        <f t="shared" si="1"/>
        <v>0.86306605642688472</v>
      </c>
    </row>
    <row r="58" spans="1:11" x14ac:dyDescent="0.25">
      <c r="A58" s="3">
        <f t="shared" si="2"/>
        <v>1873</v>
      </c>
      <c r="B58">
        <v>113.99999999999999</v>
      </c>
      <c r="C58">
        <v>112.00000000000001</v>
      </c>
      <c r="D58">
        <v>165</v>
      </c>
      <c r="F58" s="11">
        <v>132.11746774688783</v>
      </c>
      <c r="G58" s="11">
        <v>139.5252837977296</v>
      </c>
      <c r="H58" s="11">
        <v>101.05820105820105</v>
      </c>
      <c r="K58">
        <f t="shared" si="1"/>
        <v>0.86286849077672689</v>
      </c>
    </row>
    <row r="59" spans="1:11" x14ac:dyDescent="0.25">
      <c r="A59" s="3">
        <f t="shared" si="2"/>
        <v>1874</v>
      </c>
      <c r="B59">
        <v>118</v>
      </c>
      <c r="C59">
        <v>118</v>
      </c>
      <c r="D59">
        <v>160</v>
      </c>
      <c r="F59" s="11">
        <v>122.82093578559888</v>
      </c>
      <c r="G59" s="11">
        <v>131.78534571723426</v>
      </c>
      <c r="H59" s="11">
        <v>95.993953136810276</v>
      </c>
      <c r="K59">
        <f t="shared" si="1"/>
        <v>0.9607482571699788</v>
      </c>
    </row>
    <row r="60" spans="1:11" x14ac:dyDescent="0.25">
      <c r="A60" s="3">
        <f t="shared" si="2"/>
        <v>1875</v>
      </c>
      <c r="B60">
        <v>114.99999999999999</v>
      </c>
      <c r="C60">
        <v>106</v>
      </c>
      <c r="D60">
        <v>152</v>
      </c>
      <c r="F60" s="11">
        <v>115.9253434853086</v>
      </c>
      <c r="G60" s="11">
        <v>123.83900928792568</v>
      </c>
      <c r="H60" s="11">
        <v>91.534391534391517</v>
      </c>
      <c r="K60">
        <f t="shared" si="1"/>
        <v>0.99201776369611627</v>
      </c>
    </row>
    <row r="61" spans="1:11" x14ac:dyDescent="0.25">
      <c r="A61" s="3">
        <f t="shared" si="2"/>
        <v>1876</v>
      </c>
      <c r="B61">
        <v>108</v>
      </c>
      <c r="C61">
        <v>114.99999999999999</v>
      </c>
      <c r="D61">
        <v>144</v>
      </c>
      <c r="F61" s="11">
        <v>109.44456985260047</v>
      </c>
      <c r="G61" s="11">
        <v>114.03508771929825</v>
      </c>
      <c r="H61" s="11">
        <v>83.446712018140587</v>
      </c>
      <c r="K61">
        <f t="shared" si="1"/>
        <v>0.98680089971986729</v>
      </c>
    </row>
    <row r="62" spans="1:11" x14ac:dyDescent="0.25">
      <c r="A62" s="3">
        <f t="shared" si="2"/>
        <v>1877</v>
      </c>
      <c r="B62">
        <v>114.99999999999999</v>
      </c>
      <c r="C62">
        <v>103</v>
      </c>
      <c r="D62">
        <v>151</v>
      </c>
      <c r="F62" s="11">
        <v>105.48292442286305</v>
      </c>
      <c r="G62" s="11">
        <v>109.59752321981424</v>
      </c>
      <c r="H62" s="11">
        <v>79.289493575207857</v>
      </c>
      <c r="K62">
        <f t="shared" si="1"/>
        <v>1.0902238502507249</v>
      </c>
    </row>
    <row r="63" spans="1:11" x14ac:dyDescent="0.25">
      <c r="A63" s="3">
        <f t="shared" si="2"/>
        <v>1878</v>
      </c>
      <c r="B63">
        <v>109.00000000000001</v>
      </c>
      <c r="C63">
        <v>92</v>
      </c>
      <c r="D63">
        <v>124</v>
      </c>
      <c r="F63" s="11">
        <v>97.874537756970454</v>
      </c>
      <c r="G63" s="11">
        <v>105.57275541795666</v>
      </c>
      <c r="H63" s="11">
        <v>74.829931972789112</v>
      </c>
      <c r="K63">
        <f t="shared" si="1"/>
        <v>1.1136706491595894</v>
      </c>
    </row>
    <row r="64" spans="1:11" x14ac:dyDescent="0.25">
      <c r="A64" s="3">
        <f t="shared" si="2"/>
        <v>1879</v>
      </c>
      <c r="B64">
        <v>97</v>
      </c>
      <c r="C64">
        <v>84</v>
      </c>
      <c r="D64">
        <v>120</v>
      </c>
      <c r="F64" s="11">
        <v>93.81645094091617</v>
      </c>
      <c r="G64" s="11">
        <v>99.484004127966969</v>
      </c>
      <c r="H64" s="11">
        <v>69.160997732426296</v>
      </c>
      <c r="K64">
        <f t="shared" si="1"/>
        <v>1.0339338040093711</v>
      </c>
    </row>
    <row r="65" spans="1:11" x14ac:dyDescent="0.25">
      <c r="A65" s="3">
        <f t="shared" si="2"/>
        <v>1880</v>
      </c>
      <c r="B65">
        <v>107</v>
      </c>
      <c r="C65">
        <v>112.99999999999999</v>
      </c>
      <c r="D65">
        <v>126</v>
      </c>
      <c r="F65" s="11">
        <v>97.085355122836702</v>
      </c>
      <c r="G65" s="11">
        <v>103.19917440660473</v>
      </c>
      <c r="H65" s="11">
        <v>75.585789871504147</v>
      </c>
      <c r="K65">
        <f t="shared" si="1"/>
        <v>1.1021229707057141</v>
      </c>
    </row>
    <row r="66" spans="1:11" x14ac:dyDescent="0.25">
      <c r="A66" s="3">
        <f t="shared" si="2"/>
        <v>1881</v>
      </c>
      <c r="B66">
        <v>94</v>
      </c>
      <c r="C66">
        <v>95</v>
      </c>
      <c r="D66">
        <v>109.00000000000001</v>
      </c>
      <c r="F66" s="11">
        <v>95.792738613025691</v>
      </c>
      <c r="G66" s="11">
        <v>98.864809081527341</v>
      </c>
      <c r="H66" s="11">
        <v>71.201814058956913</v>
      </c>
      <c r="K66">
        <f t="shared" si="1"/>
        <v>0.98128523477893426</v>
      </c>
    </row>
    <row r="67" spans="1:11" x14ac:dyDescent="0.25">
      <c r="A67" s="3">
        <f t="shared" si="2"/>
        <v>1882</v>
      </c>
      <c r="B67">
        <v>88</v>
      </c>
      <c r="C67">
        <v>78</v>
      </c>
      <c r="D67">
        <v>94</v>
      </c>
      <c r="F67" s="11">
        <v>97.205925000384525</v>
      </c>
      <c r="G67" s="11">
        <v>100.82559339525284</v>
      </c>
      <c r="H67" s="11">
        <v>72.184429327286466</v>
      </c>
      <c r="K67">
        <f t="shared" si="1"/>
        <v>0.9052946103815368</v>
      </c>
    </row>
    <row r="68" spans="1:11" x14ac:dyDescent="0.25">
      <c r="A68" s="3">
        <f t="shared" si="2"/>
        <v>1883</v>
      </c>
      <c r="B68">
        <v>87</v>
      </c>
      <c r="C68">
        <v>59</v>
      </c>
      <c r="D68">
        <v>98</v>
      </c>
      <c r="F68" s="11">
        <v>94.35102127781893</v>
      </c>
      <c r="G68" s="11">
        <v>97.420020639834888</v>
      </c>
      <c r="H68" s="11">
        <v>69.463340891912324</v>
      </c>
      <c r="K68">
        <f t="shared" si="1"/>
        <v>0.92208858814390926</v>
      </c>
    </row>
    <row r="69" spans="1:11" x14ac:dyDescent="0.25">
      <c r="A69" s="3">
        <f t="shared" si="2"/>
        <v>1884</v>
      </c>
      <c r="B69">
        <v>79</v>
      </c>
      <c r="C69">
        <v>69</v>
      </c>
      <c r="D69">
        <v>95</v>
      </c>
      <c r="F69" s="11">
        <v>86.161392629750466</v>
      </c>
      <c r="G69" s="11">
        <v>93.808049535603715</v>
      </c>
      <c r="H69" s="11">
        <v>67.724867724867707</v>
      </c>
      <c r="K69">
        <f t="shared" si="1"/>
        <v>0.9168839730745284</v>
      </c>
    </row>
    <row r="70" spans="1:11" x14ac:dyDescent="0.25">
      <c r="A70" s="3">
        <f t="shared" si="2"/>
        <v>1885</v>
      </c>
      <c r="B70">
        <v>75</v>
      </c>
      <c r="C70">
        <v>65</v>
      </c>
      <c r="D70">
        <v>83</v>
      </c>
      <c r="F70" s="11">
        <v>79.769193964619163</v>
      </c>
      <c r="G70" s="11">
        <v>90.196078431372555</v>
      </c>
      <c r="H70" s="11">
        <v>63.416477702191983</v>
      </c>
      <c r="K70">
        <f t="shared" si="1"/>
        <v>0.94021258423728726</v>
      </c>
    </row>
    <row r="71" spans="1:11" x14ac:dyDescent="0.25">
      <c r="A71" s="3">
        <f t="shared" si="2"/>
        <v>1886</v>
      </c>
      <c r="B71">
        <v>79</v>
      </c>
      <c r="C71">
        <v>57.999999999999993</v>
      </c>
      <c r="D71">
        <v>90</v>
      </c>
      <c r="F71" s="11">
        <v>77.485670336994801</v>
      </c>
      <c r="G71" s="11">
        <v>86.274509803921561</v>
      </c>
      <c r="H71" s="11">
        <v>60.997732426303855</v>
      </c>
      <c r="K71">
        <f t="shared" ref="K71:K98" si="3">B71/F71</f>
        <v>1.0195433511308503</v>
      </c>
    </row>
    <row r="72" spans="1:11" x14ac:dyDescent="0.25">
      <c r="A72" s="3">
        <f t="shared" si="2"/>
        <v>1887</v>
      </c>
      <c r="B72">
        <v>95</v>
      </c>
      <c r="C72">
        <v>71</v>
      </c>
      <c r="D72">
        <v>135</v>
      </c>
      <c r="F72" s="11">
        <v>79.97965075359626</v>
      </c>
      <c r="G72" s="11">
        <v>86.068111455108365</v>
      </c>
      <c r="H72" s="11">
        <v>63.945578231292508</v>
      </c>
      <c r="K72">
        <f t="shared" si="3"/>
        <v>1.1878021359792992</v>
      </c>
    </row>
    <row r="73" spans="1:11" x14ac:dyDescent="0.25">
      <c r="A73" s="7">
        <v>1888</v>
      </c>
      <c r="B73">
        <v>88</v>
      </c>
      <c r="C73">
        <v>101</v>
      </c>
      <c r="D73">
        <v>115.99999999999999</v>
      </c>
      <c r="F73" s="11">
        <v>83.422470595427427</v>
      </c>
      <c r="G73" s="11">
        <v>85.552115583075334</v>
      </c>
      <c r="H73" s="11">
        <v>65.003779289493565</v>
      </c>
      <c r="K73">
        <f t="shared" si="3"/>
        <v>1.0548716595408945</v>
      </c>
    </row>
    <row r="74" spans="1:11" x14ac:dyDescent="0.25">
      <c r="A74" s="3">
        <v>1889</v>
      </c>
      <c r="B74">
        <v>105</v>
      </c>
      <c r="C74">
        <v>103</v>
      </c>
      <c r="D74">
        <v>134</v>
      </c>
      <c r="F74" s="11">
        <v>90.389392696468178</v>
      </c>
      <c r="G74" s="11">
        <v>87.306501547987608</v>
      </c>
      <c r="H74" s="11">
        <v>68.027210884353735</v>
      </c>
      <c r="K74">
        <f t="shared" si="3"/>
        <v>1.1616407287146504</v>
      </c>
    </row>
    <row r="75" spans="1:11" x14ac:dyDescent="0.25">
      <c r="A75" s="3">
        <v>1890</v>
      </c>
      <c r="B75">
        <v>103</v>
      </c>
      <c r="C75">
        <v>102</v>
      </c>
      <c r="D75">
        <v>142</v>
      </c>
      <c r="F75" s="11">
        <v>85.953549361489252</v>
      </c>
      <c r="G75" s="11">
        <v>91.124871001031977</v>
      </c>
      <c r="H75" s="11">
        <v>68.858654572940281</v>
      </c>
      <c r="K75">
        <f t="shared" si="3"/>
        <v>1.1983216605380611</v>
      </c>
    </row>
    <row r="76" spans="1:11" x14ac:dyDescent="0.25">
      <c r="A76" s="3">
        <v>1891</v>
      </c>
      <c r="B76">
        <v>103</v>
      </c>
      <c r="C76">
        <v>96</v>
      </c>
      <c r="D76">
        <v>128</v>
      </c>
      <c r="F76" s="11">
        <v>79.3895546630214</v>
      </c>
      <c r="G76" s="11">
        <v>90.299277605779153</v>
      </c>
      <c r="H76" s="11">
        <v>68.783068783068785</v>
      </c>
      <c r="K76">
        <f t="shared" si="3"/>
        <v>1.2973998964623998</v>
      </c>
    </row>
    <row r="77" spans="1:11" x14ac:dyDescent="0.25">
      <c r="A77" s="3">
        <v>1892</v>
      </c>
      <c r="B77">
        <v>100</v>
      </c>
      <c r="C77">
        <v>92</v>
      </c>
      <c r="D77">
        <v>115.99999999999999</v>
      </c>
      <c r="F77" s="11">
        <v>73.945939329291278</v>
      </c>
      <c r="G77" s="11">
        <v>86.274509803921561</v>
      </c>
      <c r="H77" s="11">
        <v>65.079365079365076</v>
      </c>
      <c r="K77">
        <f t="shared" si="3"/>
        <v>1.3523393022933479</v>
      </c>
    </row>
    <row r="78" spans="1:11" x14ac:dyDescent="0.25">
      <c r="A78" s="3">
        <v>1893</v>
      </c>
      <c r="B78">
        <v>104</v>
      </c>
      <c r="C78">
        <v>115.99999999999999</v>
      </c>
      <c r="D78">
        <v>134</v>
      </c>
      <c r="F78" s="11">
        <v>77.450125273738379</v>
      </c>
      <c r="G78" s="11">
        <v>86.068111455108365</v>
      </c>
      <c r="H78" s="11">
        <v>68.556311413454267</v>
      </c>
      <c r="K78">
        <f t="shared" si="3"/>
        <v>1.3427996356677825</v>
      </c>
    </row>
    <row r="79" spans="1:11" x14ac:dyDescent="0.25">
      <c r="A79" s="3">
        <v>1894</v>
      </c>
      <c r="B79">
        <v>100</v>
      </c>
      <c r="C79">
        <v>106</v>
      </c>
      <c r="D79">
        <v>123</v>
      </c>
      <c r="F79" s="11">
        <v>70.366235000681513</v>
      </c>
      <c r="G79" s="11">
        <v>81.733746130030966</v>
      </c>
      <c r="H79" s="11">
        <v>68.783068783068785</v>
      </c>
      <c r="K79">
        <f t="shared" si="3"/>
        <v>1.4211361457527389</v>
      </c>
    </row>
    <row r="80" spans="1:11" x14ac:dyDescent="0.25">
      <c r="A80" s="3">
        <v>1895</v>
      </c>
      <c r="B80">
        <v>101</v>
      </c>
      <c r="C80">
        <v>97</v>
      </c>
      <c r="D80">
        <v>122</v>
      </c>
      <c r="F80" s="11">
        <v>64.221377423747782</v>
      </c>
      <c r="G80" s="11">
        <v>78.637770897832809</v>
      </c>
      <c r="H80" s="11">
        <v>65.003779289493565</v>
      </c>
      <c r="K80">
        <f t="shared" si="3"/>
        <v>1.5726850474348784</v>
      </c>
    </row>
    <row r="81" spans="1:11" x14ac:dyDescent="0.25">
      <c r="A81" s="3">
        <v>1896</v>
      </c>
      <c r="B81">
        <v>108</v>
      </c>
      <c r="C81">
        <v>74</v>
      </c>
      <c r="D81">
        <v>102</v>
      </c>
      <c r="F81" s="11">
        <v>69.053359738748881</v>
      </c>
      <c r="G81" s="11">
        <v>79.360165118679049</v>
      </c>
      <c r="H81" s="11">
        <v>65.230536659108083</v>
      </c>
      <c r="K81">
        <f t="shared" si="3"/>
        <v>1.564007897785116</v>
      </c>
    </row>
    <row r="82" spans="1:11" x14ac:dyDescent="0.25">
      <c r="A82" s="3">
        <v>1897</v>
      </c>
      <c r="B82">
        <v>86</v>
      </c>
      <c r="C82">
        <v>63</v>
      </c>
      <c r="D82">
        <v>79</v>
      </c>
      <c r="F82" s="11">
        <v>66.883818019476664</v>
      </c>
      <c r="G82" s="11">
        <v>78.431372549019613</v>
      </c>
      <c r="H82" s="11">
        <v>61.375661375661373</v>
      </c>
      <c r="K82">
        <f t="shared" si="3"/>
        <v>1.28581176354132</v>
      </c>
    </row>
    <row r="83" spans="1:11" x14ac:dyDescent="0.25">
      <c r="A83" s="3">
        <v>1898</v>
      </c>
      <c r="B83">
        <v>60</v>
      </c>
      <c r="C83">
        <v>60</v>
      </c>
      <c r="D83">
        <v>69</v>
      </c>
      <c r="F83" s="11">
        <v>70.69299998999881</v>
      </c>
      <c r="G83" s="11">
        <v>78.637770897832809</v>
      </c>
      <c r="H83" s="11">
        <v>61.375661375661373</v>
      </c>
      <c r="K83">
        <f t="shared" si="3"/>
        <v>0.84874032801675436</v>
      </c>
    </row>
    <row r="84" spans="1:11" x14ac:dyDescent="0.25">
      <c r="A84" s="3">
        <v>1899</v>
      </c>
      <c r="B84">
        <v>56.000000000000007</v>
      </c>
      <c r="C84">
        <v>64</v>
      </c>
      <c r="D84">
        <v>71</v>
      </c>
      <c r="F84" s="11">
        <v>69.150409611117411</v>
      </c>
      <c r="G84" s="11">
        <v>82.35294117647058</v>
      </c>
      <c r="H84" s="11">
        <v>67.649281934996225</v>
      </c>
      <c r="K84">
        <f t="shared" si="3"/>
        <v>0.80982889783196321</v>
      </c>
    </row>
    <row r="85" spans="1:11" x14ac:dyDescent="0.25">
      <c r="A85" s="3">
        <v>1900</v>
      </c>
      <c r="B85">
        <v>65</v>
      </c>
      <c r="C85">
        <v>79</v>
      </c>
      <c r="D85">
        <v>83</v>
      </c>
      <c r="F85" s="11">
        <v>80.33618331187121</v>
      </c>
      <c r="G85" s="11">
        <v>94.633642930856553</v>
      </c>
      <c r="H85" s="11">
        <v>82.46409674981102</v>
      </c>
      <c r="K85">
        <f t="shared" si="3"/>
        <v>0.8090999263391071</v>
      </c>
    </row>
    <row r="86" spans="1:11" x14ac:dyDescent="0.25">
      <c r="A86" s="3">
        <v>1901</v>
      </c>
      <c r="B86">
        <v>64</v>
      </c>
      <c r="C86">
        <v>67</v>
      </c>
      <c r="D86">
        <v>72</v>
      </c>
      <c r="F86" s="11">
        <v>78.321828416695382</v>
      </c>
      <c r="G86" s="11">
        <v>90.092879256965944</v>
      </c>
      <c r="H86" s="11">
        <v>77.928949357520764</v>
      </c>
      <c r="K86">
        <f t="shared" si="3"/>
        <v>0.81714129118003986</v>
      </c>
    </row>
    <row r="87" spans="1:11" x14ac:dyDescent="0.25">
      <c r="A87" s="3">
        <v>1902</v>
      </c>
      <c r="B87">
        <v>59</v>
      </c>
      <c r="C87">
        <v>62</v>
      </c>
      <c r="D87">
        <v>63</v>
      </c>
      <c r="F87" s="11">
        <v>72.070472840658653</v>
      </c>
      <c r="G87" s="11">
        <v>85.964912280701739</v>
      </c>
      <c r="H87" s="11">
        <v>72.10884353741497</v>
      </c>
      <c r="K87">
        <f t="shared" si="3"/>
        <v>0.81864316514814195</v>
      </c>
    </row>
    <row r="88" spans="1:11" x14ac:dyDescent="0.25">
      <c r="A88" s="3">
        <v>1903</v>
      </c>
      <c r="B88">
        <v>66</v>
      </c>
      <c r="C88">
        <v>65</v>
      </c>
      <c r="D88">
        <v>67</v>
      </c>
      <c r="F88" s="11">
        <v>71.207100334852967</v>
      </c>
      <c r="G88" s="11">
        <v>85.861713106295142</v>
      </c>
      <c r="H88" s="11">
        <v>73.015873015872998</v>
      </c>
      <c r="K88">
        <f t="shared" si="3"/>
        <v>0.92687386074750322</v>
      </c>
    </row>
    <row r="89" spans="1:11" x14ac:dyDescent="0.25">
      <c r="A89" s="3">
        <v>1904</v>
      </c>
      <c r="B89">
        <v>74</v>
      </c>
      <c r="C89">
        <v>80</v>
      </c>
      <c r="D89">
        <v>81</v>
      </c>
      <c r="F89" s="11">
        <v>74.104239092913517</v>
      </c>
      <c r="G89" s="11">
        <v>86.893704850361203</v>
      </c>
      <c r="H89" s="11">
        <v>74.30083144368858</v>
      </c>
      <c r="K89">
        <f t="shared" si="3"/>
        <v>0.99859334507459396</v>
      </c>
    </row>
    <row r="90" spans="1:11" x14ac:dyDescent="0.25">
      <c r="A90" s="3">
        <v>1905</v>
      </c>
      <c r="B90">
        <v>78</v>
      </c>
      <c r="C90">
        <v>84</v>
      </c>
      <c r="D90">
        <v>87</v>
      </c>
      <c r="F90" s="11">
        <v>82.442426754002796</v>
      </c>
      <c r="G90" s="11">
        <v>86.68730650154798</v>
      </c>
      <c r="H90" s="11">
        <v>75.132275132275126</v>
      </c>
      <c r="K90">
        <f t="shared" si="3"/>
        <v>0.94611479878851212</v>
      </c>
    </row>
    <row r="91" spans="1:11" x14ac:dyDescent="0.25">
      <c r="A91" s="3">
        <v>1906</v>
      </c>
      <c r="B91">
        <v>71</v>
      </c>
      <c r="C91">
        <v>84</v>
      </c>
      <c r="D91">
        <v>85</v>
      </c>
      <c r="F91" s="11">
        <v>80.475398463075081</v>
      </c>
      <c r="G91" s="11">
        <v>91.847265221878217</v>
      </c>
      <c r="H91" s="11">
        <v>82.539682539682531</v>
      </c>
      <c r="K91">
        <f t="shared" si="3"/>
        <v>0.88225720351763492</v>
      </c>
    </row>
    <row r="92" spans="1:11" x14ac:dyDescent="0.25">
      <c r="A92" s="3">
        <v>1907</v>
      </c>
      <c r="B92">
        <v>72</v>
      </c>
      <c r="C92">
        <v>81</v>
      </c>
      <c r="D92">
        <v>72</v>
      </c>
      <c r="F92" s="11">
        <v>82.026489845998626</v>
      </c>
      <c r="G92" s="11">
        <v>96.388028895768826</v>
      </c>
      <c r="H92" s="11">
        <v>87.755102040816311</v>
      </c>
      <c r="K92">
        <f t="shared" si="3"/>
        <v>0.87776522115205768</v>
      </c>
    </row>
    <row r="93" spans="1:11" x14ac:dyDescent="0.25">
      <c r="A93" s="3">
        <v>1908</v>
      </c>
      <c r="B93">
        <v>69</v>
      </c>
      <c r="C93">
        <v>75</v>
      </c>
      <c r="D93">
        <v>67</v>
      </c>
      <c r="F93" s="11">
        <v>82.545616261546229</v>
      </c>
      <c r="G93" s="11">
        <v>92.672858617131055</v>
      </c>
      <c r="H93" s="11">
        <v>84.958427815570673</v>
      </c>
      <c r="K93">
        <f t="shared" si="3"/>
        <v>0.83590144607283723</v>
      </c>
    </row>
    <row r="94" spans="1:11" x14ac:dyDescent="0.25">
      <c r="A94" s="3">
        <v>1909</v>
      </c>
      <c r="B94">
        <v>77</v>
      </c>
      <c r="C94">
        <v>90</v>
      </c>
      <c r="D94">
        <v>84</v>
      </c>
      <c r="F94" s="11">
        <v>81.543526101304323</v>
      </c>
      <c r="G94" s="11">
        <v>89.267285861713091</v>
      </c>
      <c r="H94" s="11">
        <v>79.969765684051382</v>
      </c>
      <c r="K94">
        <f t="shared" si="3"/>
        <v>0.94428097093005592</v>
      </c>
    </row>
    <row r="95" spans="1:11" x14ac:dyDescent="0.25">
      <c r="A95" s="3">
        <v>1910</v>
      </c>
      <c r="B95">
        <v>90</v>
      </c>
      <c r="C95">
        <v>117</v>
      </c>
      <c r="D95">
        <v>101</v>
      </c>
      <c r="F95" s="11">
        <v>90.910388210918398</v>
      </c>
      <c r="G95" s="11">
        <v>93.085655314757474</v>
      </c>
      <c r="H95" s="11">
        <v>87.150415721844283</v>
      </c>
      <c r="K95">
        <f t="shared" si="3"/>
        <v>0.98998587258470139</v>
      </c>
    </row>
    <row r="96" spans="1:11" x14ac:dyDescent="0.25">
      <c r="A96" s="3">
        <v>1911</v>
      </c>
      <c r="B96">
        <v>100</v>
      </c>
      <c r="C96">
        <v>118</v>
      </c>
      <c r="D96">
        <v>112.00000000000001</v>
      </c>
      <c r="F96" s="11">
        <v>90.20495393918317</v>
      </c>
      <c r="G96" s="11">
        <v>94.73684210526315</v>
      </c>
      <c r="H96" s="11">
        <v>88.586545729402872</v>
      </c>
      <c r="K96">
        <f t="shared" si="3"/>
        <v>1.108586564629485</v>
      </c>
    </row>
    <row r="97" spans="1:11" x14ac:dyDescent="0.25">
      <c r="A97" s="3">
        <v>1912</v>
      </c>
      <c r="B97">
        <v>111.00000000000001</v>
      </c>
      <c r="C97">
        <v>123</v>
      </c>
      <c r="D97">
        <v>123</v>
      </c>
      <c r="F97" s="11">
        <v>99.663242075321051</v>
      </c>
      <c r="G97" s="11">
        <v>96.388028895768826</v>
      </c>
      <c r="H97" s="11">
        <v>91.836734693877546</v>
      </c>
      <c r="K97">
        <f t="shared" si="3"/>
        <v>1.1137506435533289</v>
      </c>
    </row>
    <row r="98" spans="1:11" x14ac:dyDescent="0.25">
      <c r="A98" s="3">
        <v>1913</v>
      </c>
      <c r="B98">
        <v>100</v>
      </c>
      <c r="C98">
        <v>100</v>
      </c>
      <c r="D98">
        <v>100</v>
      </c>
      <c r="F98" s="11">
        <v>100</v>
      </c>
      <c r="G98" s="11">
        <v>100</v>
      </c>
      <c r="H98" s="11">
        <v>100</v>
      </c>
      <c r="K98">
        <f t="shared" si="3"/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I34" sqref="I34"/>
    </sheetView>
  </sheetViews>
  <sheetFormatPr defaultColWidth="9.140625" defaultRowHeight="15" x14ac:dyDescent="0.25"/>
  <cols>
    <col min="1" max="2" width="21.7109375" style="26" customWidth="1"/>
    <col min="3" max="3" width="24.85546875" style="26" customWidth="1"/>
    <col min="4" max="4" width="10.42578125" style="26" customWidth="1"/>
    <col min="5" max="5" width="9.140625" style="26"/>
    <col min="6" max="6" width="9.42578125" style="26" bestFit="1" customWidth="1"/>
    <col min="7" max="7" width="12.42578125" style="26" bestFit="1" customWidth="1"/>
    <col min="8" max="8" width="12.42578125" style="26" customWidth="1"/>
    <col min="9" max="9" width="15.85546875" style="26" customWidth="1"/>
    <col min="10" max="10" width="13.7109375" style="26" bestFit="1" customWidth="1"/>
    <col min="11" max="11" width="20" style="26" customWidth="1"/>
    <col min="12" max="12" width="12.140625" style="26" customWidth="1"/>
    <col min="13" max="13" width="11.28515625" style="26" customWidth="1"/>
    <col min="14" max="14" width="9.140625" style="30"/>
    <col min="15" max="16" width="9.140625" style="26"/>
    <col min="17" max="18" width="19.140625" style="26" customWidth="1"/>
    <col min="19" max="19" width="9.140625" style="26"/>
    <col min="20" max="20" width="9.140625" style="28"/>
    <col min="21" max="21" width="9.140625" style="26"/>
    <col min="22" max="22" width="9.140625" style="29"/>
    <col min="23" max="43" width="9.140625" style="26"/>
    <col min="44" max="44" width="14.42578125" style="26" bestFit="1" customWidth="1"/>
    <col min="45" max="16384" width="9.140625" style="26"/>
  </cols>
  <sheetData>
    <row r="1" spans="1:44" x14ac:dyDescent="0.25">
      <c r="A1" s="26" t="s">
        <v>98</v>
      </c>
      <c r="C1" s="27"/>
      <c r="N1" s="27"/>
      <c r="P1" s="27"/>
      <c r="R1" s="27"/>
    </row>
    <row r="2" spans="1:44" x14ac:dyDescent="0.25">
      <c r="A2" s="26" t="s">
        <v>60</v>
      </c>
      <c r="D2" s="74" t="s">
        <v>61</v>
      </c>
      <c r="E2" s="74"/>
      <c r="F2" s="74"/>
      <c r="G2" s="74"/>
      <c r="H2" s="74"/>
    </row>
    <row r="3" spans="1:44" x14ac:dyDescent="0.25">
      <c r="A3" s="26" t="s">
        <v>62</v>
      </c>
      <c r="B3" s="26" t="s">
        <v>42</v>
      </c>
      <c r="C3" s="26" t="s">
        <v>43</v>
      </c>
      <c r="D3" s="26" t="s">
        <v>44</v>
      </c>
      <c r="E3" s="26" t="s">
        <v>45</v>
      </c>
      <c r="F3" s="26" t="s">
        <v>46</v>
      </c>
      <c r="G3" s="26" t="s">
        <v>47</v>
      </c>
      <c r="H3" s="26" t="s">
        <v>48</v>
      </c>
      <c r="I3" s="26" t="s">
        <v>49</v>
      </c>
      <c r="J3" s="26" t="s">
        <v>63</v>
      </c>
      <c r="K3" s="31" t="s">
        <v>64</v>
      </c>
      <c r="L3" s="26" t="s">
        <v>50</v>
      </c>
      <c r="M3" s="26" t="s">
        <v>65</v>
      </c>
      <c r="N3" s="30" t="s">
        <v>66</v>
      </c>
      <c r="O3" s="30" t="s">
        <v>67</v>
      </c>
      <c r="P3" s="30" t="s">
        <v>51</v>
      </c>
      <c r="Q3" s="32" t="s">
        <v>68</v>
      </c>
      <c r="R3" s="32" t="s">
        <v>69</v>
      </c>
      <c r="T3" s="28" t="s">
        <v>70</v>
      </c>
    </row>
    <row r="4" spans="1:44" x14ac:dyDescent="0.25">
      <c r="A4" s="26" t="s">
        <v>71</v>
      </c>
      <c r="B4" s="26" t="s">
        <v>72</v>
      </c>
      <c r="C4" s="26" t="s">
        <v>72</v>
      </c>
      <c r="D4" s="26" t="s">
        <v>72</v>
      </c>
      <c r="E4" s="26" t="s">
        <v>72</v>
      </c>
      <c r="F4" s="26" t="s">
        <v>72</v>
      </c>
      <c r="G4" s="26" t="s">
        <v>72</v>
      </c>
      <c r="H4" s="26" t="s">
        <v>72</v>
      </c>
      <c r="I4" s="26" t="s">
        <v>73</v>
      </c>
      <c r="J4" s="26" t="s">
        <v>73</v>
      </c>
      <c r="K4" s="31" t="s">
        <v>74</v>
      </c>
      <c r="L4" s="26" t="s">
        <v>73</v>
      </c>
      <c r="M4" s="26" t="s">
        <v>75</v>
      </c>
      <c r="N4" s="30" t="s">
        <v>72</v>
      </c>
      <c r="O4" s="30" t="s">
        <v>73</v>
      </c>
      <c r="P4" s="30" t="s">
        <v>72</v>
      </c>
      <c r="Q4" s="32"/>
      <c r="R4" s="32" t="s">
        <v>72</v>
      </c>
    </row>
    <row r="5" spans="1:44" x14ac:dyDescent="0.25">
      <c r="A5" s="26" t="s">
        <v>76</v>
      </c>
      <c r="B5" s="33" t="s">
        <v>77</v>
      </c>
      <c r="C5" s="33" t="s">
        <v>78</v>
      </c>
      <c r="D5" s="33" t="s">
        <v>79</v>
      </c>
      <c r="E5" s="33" t="s">
        <v>79</v>
      </c>
      <c r="F5" s="33" t="s">
        <v>79</v>
      </c>
      <c r="G5" s="33" t="s">
        <v>79</v>
      </c>
      <c r="H5" s="33" t="s">
        <v>79</v>
      </c>
      <c r="I5" s="33" t="s">
        <v>80</v>
      </c>
      <c r="J5" s="33" t="s">
        <v>80</v>
      </c>
      <c r="K5" s="33" t="s">
        <v>81</v>
      </c>
      <c r="L5" s="33" t="s">
        <v>82</v>
      </c>
      <c r="M5" s="33" t="s">
        <v>83</v>
      </c>
      <c r="N5" s="34" t="s">
        <v>78</v>
      </c>
      <c r="O5" s="33" t="s">
        <v>80</v>
      </c>
      <c r="P5" s="33" t="s">
        <v>78</v>
      </c>
      <c r="Q5" s="33" t="s">
        <v>84</v>
      </c>
      <c r="R5" s="33" t="s">
        <v>78</v>
      </c>
      <c r="T5" s="35" t="s">
        <v>85</v>
      </c>
      <c r="U5" s="36" t="s">
        <v>86</v>
      </c>
      <c r="V5" s="37" t="s">
        <v>87</v>
      </c>
    </row>
    <row r="6" spans="1:44" x14ac:dyDescent="0.25">
      <c r="A6" s="38">
        <v>1827</v>
      </c>
      <c r="B6" s="39">
        <v>4.02830162530078E-2</v>
      </c>
      <c r="C6" s="39">
        <v>2.1126273364485981</v>
      </c>
      <c r="D6" s="39">
        <v>2.8766290219960005E-2</v>
      </c>
      <c r="E6" s="39">
        <v>3.5654975821865151E-2</v>
      </c>
      <c r="G6" s="40"/>
      <c r="I6" s="39">
        <v>8.6073576448996922E-3</v>
      </c>
      <c r="J6" s="39">
        <v>6.5856071361623109E-2</v>
      </c>
      <c r="K6" s="39">
        <v>0.88227150425789558</v>
      </c>
      <c r="L6" s="39">
        <v>1.3600710719549847E-2</v>
      </c>
      <c r="M6" s="39">
        <v>2.5843743229764071E-2</v>
      </c>
      <c r="N6" s="41"/>
      <c r="O6" s="39"/>
      <c r="P6" s="39">
        <v>7.6251978439838748</v>
      </c>
      <c r="Q6" s="39"/>
      <c r="R6" s="39"/>
      <c r="T6" s="42">
        <v>0.146864444118079</v>
      </c>
      <c r="U6" s="26">
        <v>1.46864444118079E-4</v>
      </c>
      <c r="V6" s="43">
        <v>4.9358000000000004</v>
      </c>
      <c r="AR6" s="39"/>
    </row>
    <row r="7" spans="1:44" x14ac:dyDescent="0.25">
      <c r="A7" s="38">
        <v>1828</v>
      </c>
      <c r="B7" s="39">
        <v>3.9599799737233106E-2</v>
      </c>
      <c r="C7" s="39">
        <v>2.0135303985359903</v>
      </c>
      <c r="D7" s="39">
        <v>2.7406384227772196E-2</v>
      </c>
      <c r="E7" s="39">
        <v>3.8156166837254347E-2</v>
      </c>
      <c r="I7" s="39">
        <v>8.9539788660247029E-3</v>
      </c>
      <c r="J7" s="39">
        <v>5.9098587965552091E-2</v>
      </c>
      <c r="K7" s="39">
        <v>0.73152597753691451</v>
      </c>
      <c r="L7" s="39">
        <v>1.3639964575697936E-2</v>
      </c>
      <c r="M7" s="39">
        <v>2.7754541303779714E-2</v>
      </c>
      <c r="N7" s="41"/>
      <c r="O7" s="39"/>
      <c r="P7" s="39">
        <v>6.1690155237628144</v>
      </c>
      <c r="Q7" s="39"/>
      <c r="R7" s="39"/>
      <c r="T7" s="42">
        <v>0.12943308309603935</v>
      </c>
      <c r="U7" s="26">
        <v>1.2943308309603936E-4</v>
      </c>
      <c r="V7" s="43">
        <v>4.9283999999999999</v>
      </c>
      <c r="AR7" s="39"/>
    </row>
    <row r="8" spans="1:44" x14ac:dyDescent="0.25">
      <c r="A8" s="38">
        <v>1829</v>
      </c>
      <c r="B8" s="39">
        <v>3.9975475888416788E-2</v>
      </c>
      <c r="C8" s="39">
        <v>2.0324201337295693</v>
      </c>
      <c r="D8" s="39">
        <v>2.5043882401818696E-2</v>
      </c>
      <c r="E8" s="39">
        <v>3.8099945053238493E-2</v>
      </c>
      <c r="I8" s="39">
        <v>1.1176763469976978E-2</v>
      </c>
      <c r="J8" s="39">
        <v>5.4080000646212004E-2</v>
      </c>
      <c r="K8" s="39">
        <v>0.43655889948992432</v>
      </c>
      <c r="L8" s="39">
        <v>1.7638205774347521E-2</v>
      </c>
      <c r="M8" s="39">
        <v>1.8509627171406268E-2</v>
      </c>
      <c r="N8" s="41"/>
      <c r="O8" s="39"/>
      <c r="P8" s="39">
        <v>5.4211383027603324</v>
      </c>
      <c r="Q8" s="39"/>
      <c r="R8" s="39"/>
      <c r="T8" s="42">
        <v>0.10260619741432382</v>
      </c>
      <c r="U8" s="26">
        <v>1.0260619741432382E-4</v>
      </c>
      <c r="V8" s="43">
        <v>4.8620000000000001</v>
      </c>
      <c r="AR8" s="39"/>
    </row>
    <row r="9" spans="1:44" x14ac:dyDescent="0.25">
      <c r="A9" s="38">
        <v>1830</v>
      </c>
      <c r="B9" s="39">
        <v>3.807721826368124E-2</v>
      </c>
      <c r="C9" s="39">
        <v>2.0236568181818182</v>
      </c>
      <c r="D9" s="39">
        <v>2.6175469509118823E-2</v>
      </c>
      <c r="E9" s="39">
        <v>3.8442888349284852E-2</v>
      </c>
      <c r="I9" s="39">
        <v>1.0565413126068872E-2</v>
      </c>
      <c r="J9" s="39">
        <v>5.392947649996635E-2</v>
      </c>
      <c r="K9" s="39">
        <v>0.54624315635368448</v>
      </c>
      <c r="L9" s="39">
        <v>1.4419423578839454E-2</v>
      </c>
      <c r="M9" s="39">
        <v>1.5512428739072796E-2</v>
      </c>
      <c r="N9" s="41"/>
      <c r="O9" s="39"/>
      <c r="P9" s="39">
        <v>4.8093443372510833</v>
      </c>
      <c r="Q9" s="39"/>
      <c r="R9" s="39"/>
      <c r="T9" s="42">
        <v>9.5047999239616002E-2</v>
      </c>
      <c r="U9" s="26">
        <v>9.5047999239616005E-5</v>
      </c>
      <c r="V9" s="44">
        <v>4.7615999999999996</v>
      </c>
      <c r="AR9" s="39"/>
    </row>
    <row r="10" spans="1:44" x14ac:dyDescent="0.25">
      <c r="A10" s="38">
        <v>1831</v>
      </c>
      <c r="B10" s="39">
        <v>3.8772387543709978E-2</v>
      </c>
      <c r="C10" s="39">
        <v>2.1193571428571429</v>
      </c>
      <c r="D10" s="39">
        <v>2.5191708265440226E-2</v>
      </c>
      <c r="E10" s="39">
        <v>3.3073533272818832E-2</v>
      </c>
      <c r="I10" s="39">
        <v>9.724475691616075E-3</v>
      </c>
      <c r="J10" s="39">
        <v>6.0430916330029207E-2</v>
      </c>
      <c r="K10" s="39">
        <v>0.57858316554421541</v>
      </c>
      <c r="L10" s="39">
        <v>1.4971704227588195E-2</v>
      </c>
      <c r="M10" s="39">
        <v>1.5174722033129114E-2</v>
      </c>
      <c r="N10" s="41"/>
      <c r="O10" s="39"/>
      <c r="P10" s="39">
        <v>5.2919084433796284</v>
      </c>
      <c r="Q10" s="39"/>
      <c r="R10" s="39"/>
      <c r="T10" s="42">
        <v>0.10416666666666667</v>
      </c>
      <c r="U10" s="26">
        <v>1.0416666666666667E-4</v>
      </c>
      <c r="V10" s="43">
        <v>4.8601000000000001</v>
      </c>
      <c r="AR10" s="39"/>
    </row>
    <row r="11" spans="1:44" x14ac:dyDescent="0.25">
      <c r="A11" s="38">
        <v>1832</v>
      </c>
      <c r="B11" s="39">
        <v>3.5357777427137471E-2</v>
      </c>
      <c r="C11" s="39">
        <v>1.9695908855515281</v>
      </c>
      <c r="D11" s="39">
        <v>1.9650659176971126E-2</v>
      </c>
      <c r="E11" s="39">
        <v>2.63594613104422E-2</v>
      </c>
      <c r="I11" s="39">
        <v>9.6585350300204455E-3</v>
      </c>
      <c r="J11" s="39">
        <v>6.7170290126214532E-2</v>
      </c>
      <c r="K11" s="39">
        <v>0.5783701997729811</v>
      </c>
      <c r="L11" s="39">
        <v>1.5917739385325678E-2</v>
      </c>
      <c r="M11" s="39">
        <v>2.1965740473897672E-2</v>
      </c>
      <c r="N11" s="41"/>
      <c r="O11" s="39"/>
      <c r="P11" s="39">
        <v>7.5994999727008468</v>
      </c>
      <c r="Q11" s="39"/>
      <c r="R11" s="39"/>
      <c r="T11" s="42">
        <v>0.15885623510722796</v>
      </c>
      <c r="U11" s="26">
        <v>1.5885623510722796E-4</v>
      </c>
      <c r="V11" s="45">
        <v>4.8577000000000004</v>
      </c>
      <c r="AR11" s="39"/>
    </row>
    <row r="12" spans="1:44" x14ac:dyDescent="0.25">
      <c r="A12" s="38">
        <v>1833</v>
      </c>
      <c r="B12" s="39">
        <v>3.2853172273236905E-2</v>
      </c>
      <c r="C12" s="39">
        <v>1.7826273364485985</v>
      </c>
      <c r="D12" s="39">
        <v>2.1545298160361652E-2</v>
      </c>
      <c r="E12" s="39">
        <v>2.7986199224048911E-2</v>
      </c>
      <c r="I12" s="39">
        <v>9.6742725500765184E-3</v>
      </c>
      <c r="J12" s="39">
        <v>7.4443561078290324E-2</v>
      </c>
      <c r="K12" s="39">
        <v>0.55877919570166767</v>
      </c>
      <c r="L12" s="39">
        <v>1.6115098627103513E-2</v>
      </c>
      <c r="M12" s="39">
        <v>1.8155412237055295E-2</v>
      </c>
      <c r="N12" s="41"/>
      <c r="O12" s="39"/>
      <c r="P12" s="39">
        <v>5.9339263031199696</v>
      </c>
      <c r="Q12" s="39"/>
      <c r="R12" s="39"/>
      <c r="T12" s="42">
        <v>0.15573898146706119</v>
      </c>
      <c r="U12" s="26">
        <v>1.5573898146706121E-4</v>
      </c>
      <c r="V12" s="43">
        <v>4.7872000000000003</v>
      </c>
      <c r="AR12" s="39"/>
    </row>
    <row r="13" spans="1:44" x14ac:dyDescent="0.25">
      <c r="A13" s="38">
        <v>1834</v>
      </c>
      <c r="B13" s="39">
        <v>3.1114856040898337E-2</v>
      </c>
      <c r="C13" s="39">
        <v>1.8200176705593121</v>
      </c>
      <c r="D13" s="39">
        <v>2.0128008769664949E-2</v>
      </c>
      <c r="E13" s="39">
        <v>2.6582093985739613E-2</v>
      </c>
      <c r="I13" s="39">
        <v>1.1283623929376565E-2</v>
      </c>
      <c r="J13" s="39">
        <v>7.3385586408818815E-2</v>
      </c>
      <c r="K13" s="39">
        <v>0.77924037260157653</v>
      </c>
      <c r="L13" s="39">
        <v>1.5864514596049147E-2</v>
      </c>
      <c r="M13" s="39">
        <v>1.7764205262001686E-2</v>
      </c>
      <c r="N13" s="41"/>
      <c r="O13" s="39"/>
      <c r="P13" s="39">
        <v>6.4767899354829543</v>
      </c>
      <c r="Q13" s="39"/>
      <c r="R13" s="39"/>
      <c r="T13" s="42">
        <v>0.15936254980079681</v>
      </c>
      <c r="U13" s="26">
        <v>1.5936254980079682E-4</v>
      </c>
      <c r="V13" s="43">
        <v>4.6382000000000003</v>
      </c>
      <c r="AR13" s="39"/>
    </row>
    <row r="14" spans="1:44" x14ac:dyDescent="0.25">
      <c r="A14" s="38">
        <v>1835</v>
      </c>
      <c r="B14" s="39">
        <v>3.4157791441426201E-2</v>
      </c>
      <c r="C14" s="39">
        <v>1.8893609865470853</v>
      </c>
      <c r="D14" s="39">
        <v>2.2437241566305693E-2</v>
      </c>
      <c r="E14" s="39">
        <v>2.804305837652692E-2</v>
      </c>
      <c r="I14" s="39">
        <v>1.0728560902407694E-2</v>
      </c>
      <c r="J14" s="39">
        <v>7.0565076629675053E-2</v>
      </c>
      <c r="K14" s="39">
        <v>0.76847493818169521</v>
      </c>
      <c r="L14" s="39">
        <v>1.5930088397006076E-2</v>
      </c>
      <c r="M14" s="39">
        <v>1.7115786766797269E-2</v>
      </c>
      <c r="N14" s="41"/>
      <c r="O14" s="39"/>
      <c r="P14" s="39">
        <v>9.4709151274483467</v>
      </c>
      <c r="Q14" s="39"/>
      <c r="R14" s="39"/>
      <c r="T14" s="42">
        <v>0.16353229762878169</v>
      </c>
      <c r="U14" s="26">
        <v>1.6353229762878168E-4</v>
      </c>
      <c r="V14" s="44">
        <v>4.8498000000000001</v>
      </c>
      <c r="AR14" s="39"/>
    </row>
    <row r="15" spans="1:44" x14ac:dyDescent="0.25">
      <c r="A15" s="38">
        <v>1836</v>
      </c>
      <c r="B15" s="39">
        <v>3.6650687015972634E-2</v>
      </c>
      <c r="C15" s="39">
        <v>2.1336655169402725</v>
      </c>
      <c r="D15" s="39">
        <v>2.1495072128783672E-2</v>
      </c>
      <c r="E15" s="39">
        <v>2.7701052576984058E-2</v>
      </c>
      <c r="I15" s="39">
        <v>1.0306376680532836E-2</v>
      </c>
      <c r="J15" s="39">
        <v>7.5352309697819725E-2</v>
      </c>
      <c r="K15" s="39">
        <v>0.7485302746372875</v>
      </c>
      <c r="L15" s="39">
        <v>1.898822915689952E-2</v>
      </c>
      <c r="M15" s="39">
        <v>2.425746006840495E-2</v>
      </c>
      <c r="N15" s="41"/>
      <c r="O15" s="39"/>
      <c r="P15" s="39">
        <v>8.7463957616396169</v>
      </c>
      <c r="Q15" s="39"/>
      <c r="R15" s="39"/>
      <c r="T15" s="42">
        <v>0.1601537475976938</v>
      </c>
      <c r="U15" s="26">
        <v>1.601537475976938E-4</v>
      </c>
      <c r="V15" s="43">
        <v>4.8173000000000004</v>
      </c>
      <c r="AR15" s="39"/>
    </row>
    <row r="16" spans="1:44" x14ac:dyDescent="0.25">
      <c r="A16" s="38">
        <v>1837</v>
      </c>
      <c r="B16" s="39">
        <v>3.6531213395340247E-2</v>
      </c>
      <c r="C16" s="39">
        <v>2.2924693025540277</v>
      </c>
      <c r="D16" s="39">
        <v>1.8512709464883297E-2</v>
      </c>
      <c r="E16" s="39">
        <v>2.5036810989914771E-2</v>
      </c>
      <c r="I16" s="39">
        <v>1.2047129300435199E-2</v>
      </c>
      <c r="J16" s="39">
        <v>6.9251773954108503E-2</v>
      </c>
      <c r="K16" s="39">
        <v>0.53349429303601059</v>
      </c>
      <c r="L16" s="39">
        <v>2.409721265056803E-2</v>
      </c>
      <c r="M16" s="39">
        <v>1.6351732302520128E-2</v>
      </c>
      <c r="N16" s="41"/>
      <c r="O16" s="39"/>
      <c r="P16" s="39">
        <v>5.8950217338224498</v>
      </c>
      <c r="Q16" s="39"/>
      <c r="R16" s="39"/>
      <c r="T16" s="42">
        <v>0.1231830500123183</v>
      </c>
      <c r="U16" s="26">
        <v>1.231830500123183E-4</v>
      </c>
      <c r="V16" s="43">
        <v>5.0984999999999996</v>
      </c>
      <c r="AR16" s="39"/>
    </row>
    <row r="17" spans="1:44" x14ac:dyDescent="0.25">
      <c r="A17" s="38">
        <v>1838</v>
      </c>
      <c r="B17" s="39">
        <v>3.4309021238712059E-2</v>
      </c>
      <c r="C17" s="39">
        <v>2.4191366881779492</v>
      </c>
      <c r="D17" s="39">
        <v>1.9233884876738938E-2</v>
      </c>
      <c r="E17" s="39">
        <v>2.3455789649199917E-2</v>
      </c>
      <c r="I17" s="39">
        <v>1.60433235110139E-2</v>
      </c>
      <c r="J17" s="39">
        <v>6.9242442479451119E-2</v>
      </c>
      <c r="K17" s="39">
        <v>0.78784746511751813</v>
      </c>
      <c r="L17" s="39">
        <v>2.1696864320549222E-2</v>
      </c>
      <c r="M17" s="39">
        <v>1.9302886406374078E-2</v>
      </c>
      <c r="N17" s="41"/>
      <c r="O17" s="39"/>
      <c r="P17" s="39">
        <v>6.8172057582291421</v>
      </c>
      <c r="Q17" s="39"/>
      <c r="R17" s="39"/>
      <c r="T17" s="42">
        <v>0.11693171188026193</v>
      </c>
      <c r="U17" s="26">
        <v>1.1693171188026193E-4</v>
      </c>
      <c r="V17" s="43">
        <v>4.8863000000000003</v>
      </c>
      <c r="AR17" s="39"/>
    </row>
    <row r="18" spans="1:44" x14ac:dyDescent="0.25">
      <c r="A18" s="38">
        <v>1839</v>
      </c>
      <c r="B18" s="39">
        <v>3.7614022670652301E-2</v>
      </c>
      <c r="C18" s="39">
        <v>2.206232759440693</v>
      </c>
      <c r="D18" s="39">
        <v>1.8565228737676978E-2</v>
      </c>
      <c r="E18" s="39">
        <v>2.4717288547298485E-2</v>
      </c>
      <c r="I18" s="39">
        <v>1.51780630431303E-2</v>
      </c>
      <c r="J18" s="39">
        <v>7.8405501966934313E-2</v>
      </c>
      <c r="K18" s="39">
        <v>0.76983512894242045</v>
      </c>
      <c r="L18" s="39">
        <v>1.9885333801807632E-2</v>
      </c>
      <c r="M18" s="39">
        <v>1.5398542843365753E-2</v>
      </c>
      <c r="N18" s="41"/>
      <c r="O18" s="39"/>
      <c r="P18" s="39">
        <v>8.1074259456705509</v>
      </c>
      <c r="Q18" s="39"/>
      <c r="R18" s="39"/>
      <c r="T18" s="42">
        <v>0.13176966662274345</v>
      </c>
      <c r="U18" s="26">
        <v>1.3176966662274345E-4</v>
      </c>
      <c r="V18" s="43">
        <v>4.9844999999999997</v>
      </c>
      <c r="AR18" s="39"/>
    </row>
    <row r="19" spans="1:44" x14ac:dyDescent="0.25">
      <c r="A19" s="38">
        <v>1840</v>
      </c>
      <c r="B19" s="39">
        <v>3.3639005588600487E-2</v>
      </c>
      <c r="C19" s="39">
        <v>2.0723875166889187</v>
      </c>
      <c r="D19" s="39">
        <v>1.742273624833424E-2</v>
      </c>
      <c r="E19" s="39">
        <v>2.4046937698920832E-2</v>
      </c>
      <c r="I19" s="39">
        <v>1.5307475459615926E-2</v>
      </c>
      <c r="J19" s="39">
        <v>8.2512373558524213E-2</v>
      </c>
      <c r="K19" s="39">
        <v>0.74477850130541168</v>
      </c>
      <c r="L19" s="39">
        <v>1.5031743429436273E-2</v>
      </c>
      <c r="M19" s="39">
        <v>1.8794516626134992E-2</v>
      </c>
      <c r="N19" s="41"/>
      <c r="O19" s="39"/>
      <c r="P19" s="39">
        <v>8.0144804419028546</v>
      </c>
      <c r="Q19" s="39"/>
      <c r="R19" s="39"/>
      <c r="T19" s="42">
        <v>0.12916559028674762</v>
      </c>
      <c r="U19" s="26">
        <v>1.2916559028674761E-4</v>
      </c>
      <c r="V19" s="44">
        <v>5.0003000000000002</v>
      </c>
      <c r="AR19" s="39"/>
    </row>
    <row r="20" spans="1:44" s="30" customFormat="1" x14ac:dyDescent="0.25">
      <c r="A20" s="46">
        <v>1841</v>
      </c>
      <c r="B20" s="39">
        <v>2.913939668345002E-2</v>
      </c>
      <c r="C20" s="39">
        <v>1.7538807708598056</v>
      </c>
      <c r="D20" s="39">
        <v>1.6645348664320315E-2</v>
      </c>
      <c r="E20" s="39">
        <v>2.3759661181240257E-2</v>
      </c>
      <c r="F20" s="26"/>
      <c r="G20" s="26"/>
      <c r="H20" s="26"/>
      <c r="I20" s="39">
        <v>1.1474917100389134E-2</v>
      </c>
      <c r="J20" s="39">
        <v>8.0265750459537655E-2</v>
      </c>
      <c r="K20" s="41">
        <v>0.66245899319483503</v>
      </c>
      <c r="L20" s="39">
        <v>1.4543503645298573E-2</v>
      </c>
      <c r="M20" s="41">
        <v>1.5905027897418933E-2</v>
      </c>
      <c r="N20" s="41"/>
      <c r="O20" s="39"/>
      <c r="P20" s="39">
        <v>7.6707498325523007</v>
      </c>
      <c r="Q20" s="41"/>
      <c r="R20" s="41"/>
      <c r="T20" s="42">
        <v>0.12629451881788331</v>
      </c>
      <c r="U20" s="30">
        <v>1.2629451881788332E-4</v>
      </c>
      <c r="V20" s="43">
        <v>4.9893000000000001</v>
      </c>
      <c r="AR20" s="41"/>
    </row>
    <row r="21" spans="1:44" x14ac:dyDescent="0.25">
      <c r="A21" s="38">
        <v>1842</v>
      </c>
      <c r="B21" s="39">
        <v>3.0155675407947086E-2</v>
      </c>
      <c r="C21" s="39">
        <v>1.6973562569418736</v>
      </c>
      <c r="D21" s="39">
        <v>1.5054019816707781E-2</v>
      </c>
      <c r="E21" s="39">
        <v>2.1906360738657659E-2</v>
      </c>
      <c r="I21" s="39">
        <v>9.2985779225795272E-3</v>
      </c>
      <c r="J21" s="39">
        <v>7.3454876913180533E-2</v>
      </c>
      <c r="K21" s="39">
        <v>0.49803516161273059</v>
      </c>
      <c r="L21" s="39">
        <v>1.6489591371857026E-2</v>
      </c>
      <c r="M21" s="39">
        <v>1.1122502750965678E-2</v>
      </c>
      <c r="N21" s="41"/>
      <c r="O21" s="39"/>
      <c r="P21" s="39">
        <v>6.2289741212655292</v>
      </c>
      <c r="Q21" s="39"/>
      <c r="R21" s="39"/>
      <c r="T21" s="42">
        <v>0.11171936096525527</v>
      </c>
      <c r="U21" s="26">
        <v>1.1171936096525526E-4</v>
      </c>
      <c r="V21" s="43">
        <v>4.7972000000000001</v>
      </c>
      <c r="AR21" s="39"/>
    </row>
    <row r="22" spans="1:44" x14ac:dyDescent="0.25">
      <c r="A22" s="38">
        <v>1843</v>
      </c>
      <c r="B22" s="39">
        <v>2.9128209167243808E-2</v>
      </c>
      <c r="C22" s="39">
        <v>1.6008610473128162</v>
      </c>
      <c r="D22" s="39">
        <v>1.4104528021529275E-2</v>
      </c>
      <c r="E22" s="39">
        <v>2.010231051147646E-2</v>
      </c>
      <c r="I22" s="39">
        <v>8.3071818877265228E-3</v>
      </c>
      <c r="J22" s="39">
        <v>5.3754131309029909E-2</v>
      </c>
      <c r="K22" s="39">
        <v>0.67614540827019698</v>
      </c>
      <c r="L22" s="39">
        <v>1.2945497551055543E-2</v>
      </c>
      <c r="M22" s="39">
        <v>2.2146955924702401E-2</v>
      </c>
      <c r="N22" s="41"/>
      <c r="O22" s="39"/>
      <c r="P22" s="39">
        <v>4.9310706338396537</v>
      </c>
      <c r="Q22" s="39"/>
      <c r="R22" s="39"/>
      <c r="T22" s="42">
        <v>0.10755001075500108</v>
      </c>
      <c r="U22" s="26">
        <v>1.0755001075500108E-4</v>
      </c>
      <c r="V22" s="43">
        <v>4.7877999999999998</v>
      </c>
    </row>
    <row r="23" spans="1:44" x14ac:dyDescent="0.25">
      <c r="A23" s="38">
        <v>1844</v>
      </c>
      <c r="B23" s="39">
        <v>3.0748114204006267E-2</v>
      </c>
      <c r="C23" s="39">
        <v>1.7605322073841321</v>
      </c>
      <c r="D23" s="39">
        <v>1.3834767395199715E-2</v>
      </c>
      <c r="E23" s="39">
        <v>1.9568422466909905E-2</v>
      </c>
      <c r="I23" s="39">
        <v>9.7316406040090595E-3</v>
      </c>
      <c r="J23" s="39">
        <v>6.0397643669665733E-2</v>
      </c>
      <c r="K23" s="39">
        <v>0.65642234136992195</v>
      </c>
      <c r="L23" s="39">
        <v>1.365614191665741E-2</v>
      </c>
      <c r="M23" s="39">
        <v>1.732377841822973E-2</v>
      </c>
      <c r="N23" s="41"/>
      <c r="O23" s="39"/>
      <c r="P23" s="39">
        <v>4.8515176997968759</v>
      </c>
      <c r="Q23" s="39"/>
      <c r="R23" s="39"/>
      <c r="T23" s="42">
        <v>0.104942806170637</v>
      </c>
      <c r="U23" s="26">
        <v>1.04942806170637E-4</v>
      </c>
      <c r="V23" s="43">
        <v>4.8594999999999997</v>
      </c>
      <c r="AR23" s="39"/>
    </row>
    <row r="24" spans="1:44" x14ac:dyDescent="0.25">
      <c r="A24" s="38">
        <v>1845</v>
      </c>
      <c r="B24" s="39">
        <v>3.6405085954277397E-2</v>
      </c>
      <c r="C24" s="39">
        <v>1.8489691721278594</v>
      </c>
      <c r="D24" s="39">
        <v>1.3832686754569425E-2</v>
      </c>
      <c r="E24" s="39">
        <v>2.0871450282334867E-2</v>
      </c>
      <c r="I24" s="39">
        <v>8.8200938395234883E-3</v>
      </c>
      <c r="J24" s="39">
        <v>6.2028843078733735E-2</v>
      </c>
      <c r="K24" s="39">
        <v>0.61584814821003953</v>
      </c>
      <c r="L24" s="39">
        <v>1.3535619646976242E-2</v>
      </c>
      <c r="M24" s="39">
        <v>1.9209935919982771E-2</v>
      </c>
      <c r="N24" s="41"/>
      <c r="O24" s="39"/>
      <c r="P24" s="39">
        <v>7.5337481941150131</v>
      </c>
      <c r="Q24" s="39"/>
      <c r="R24" s="39"/>
      <c r="T24" s="42">
        <v>0.10598834128245892</v>
      </c>
      <c r="U24" s="26">
        <v>1.0598834128245892E-4</v>
      </c>
      <c r="V24" s="44">
        <v>4.8712999999999997</v>
      </c>
      <c r="AR24" s="39"/>
    </row>
    <row r="25" spans="1:44" x14ac:dyDescent="0.25">
      <c r="A25" s="38">
        <v>1846</v>
      </c>
      <c r="B25" s="39">
        <v>3.5236398487622937E-2</v>
      </c>
      <c r="C25" s="39">
        <v>1.8052259733188132</v>
      </c>
      <c r="D25" s="39">
        <v>1.281190563532727E-2</v>
      </c>
      <c r="E25" s="39">
        <v>2.0275226985519999E-2</v>
      </c>
      <c r="I25" s="39">
        <v>9.530329209530515E-3</v>
      </c>
      <c r="J25" s="39">
        <v>5.5992228734027961E-2</v>
      </c>
      <c r="K25" s="39">
        <v>0.81962384870146299</v>
      </c>
      <c r="L25" s="39">
        <v>1.5186148078581627E-2</v>
      </c>
      <c r="M25" s="39">
        <v>1.8240799951714407E-2</v>
      </c>
      <c r="N25" s="41"/>
      <c r="O25" s="39"/>
      <c r="P25" s="39">
        <v>8.2674933256839971</v>
      </c>
      <c r="Q25" s="39"/>
      <c r="R25" s="39"/>
      <c r="T25" s="42">
        <v>0.1122334455667789</v>
      </c>
      <c r="U25" s="26">
        <v>1.122334455667789E-4</v>
      </c>
      <c r="V25" s="43">
        <v>4.8159000000000001</v>
      </c>
      <c r="AR25" s="39"/>
    </row>
    <row r="26" spans="1:44" x14ac:dyDescent="0.25">
      <c r="A26" s="38">
        <v>1847</v>
      </c>
      <c r="B26" s="39">
        <v>3.9197347964722885E-2</v>
      </c>
      <c r="C26" s="39">
        <v>2.0121742674061309</v>
      </c>
      <c r="D26" s="39">
        <v>1.5600395476661718E-2</v>
      </c>
      <c r="E26" s="39">
        <v>2.0341374034666376E-2</v>
      </c>
      <c r="I26" s="39">
        <v>1.0208996207295295E-2</v>
      </c>
      <c r="J26" s="39">
        <v>5.7952930010369115E-2</v>
      </c>
      <c r="K26" s="39">
        <v>0.71126950355879881</v>
      </c>
      <c r="L26" s="39">
        <v>1.6858774553648714E-2</v>
      </c>
      <c r="M26" s="39">
        <v>1.6281730809935099E-2</v>
      </c>
      <c r="N26" s="41"/>
      <c r="O26" s="39"/>
      <c r="P26" s="39">
        <v>7.5948470867336315</v>
      </c>
      <c r="Q26" s="39"/>
      <c r="R26" s="39"/>
      <c r="T26" s="42">
        <v>0.11667250029168126</v>
      </c>
      <c r="U26" s="26">
        <v>1.1667250029168126E-4</v>
      </c>
      <c r="V26" s="43">
        <v>4.7934000000000001</v>
      </c>
      <c r="AR26" s="39"/>
    </row>
    <row r="27" spans="1:44" x14ac:dyDescent="0.25">
      <c r="A27" s="38">
        <v>1848</v>
      </c>
      <c r="B27" s="39">
        <v>3.6226304751457286E-2</v>
      </c>
      <c r="C27" s="39">
        <v>1.687638872543251</v>
      </c>
      <c r="D27" s="39">
        <v>1.2983280679261822E-2</v>
      </c>
      <c r="E27" s="39">
        <v>1.8112833811162628E-2</v>
      </c>
      <c r="I27" s="39">
        <v>1.3207866519638498E-2</v>
      </c>
      <c r="J27" s="39">
        <v>6.3458784666129392E-2</v>
      </c>
      <c r="K27" s="39">
        <v>0.69125694511475433</v>
      </c>
      <c r="L27" s="39">
        <v>1.7042347581204008E-2</v>
      </c>
      <c r="M27" s="39">
        <v>1.4713807578851828E-2</v>
      </c>
      <c r="N27" s="41"/>
      <c r="O27" s="39"/>
      <c r="P27" s="39">
        <v>6.9769275883986435</v>
      </c>
      <c r="Q27" s="39"/>
      <c r="R27" s="39"/>
      <c r="T27" s="42">
        <v>0.10416666666666667</v>
      </c>
      <c r="U27" s="26">
        <v>1.0416666666666667E-4</v>
      </c>
      <c r="V27" s="43">
        <v>4.8685</v>
      </c>
      <c r="AR27" s="39"/>
    </row>
    <row r="28" spans="1:44" s="30" customFormat="1" x14ac:dyDescent="0.25">
      <c r="A28" s="46">
        <v>1849</v>
      </c>
      <c r="B28" s="39">
        <v>3.3588133538578722E-2</v>
      </c>
      <c r="C28" s="39">
        <v>1.6021887617765815</v>
      </c>
      <c r="D28" s="39">
        <v>1.2364096530382625E-2</v>
      </c>
      <c r="E28" s="39">
        <v>1.7563779400796235E-2</v>
      </c>
      <c r="F28" s="26"/>
      <c r="G28" s="26"/>
      <c r="H28" s="26"/>
      <c r="I28" s="39">
        <v>1.3388415319195589E-2</v>
      </c>
      <c r="J28" s="39">
        <v>6.9227159430416116E-2</v>
      </c>
      <c r="K28" s="41">
        <v>0.54773503279447111</v>
      </c>
      <c r="L28" s="39">
        <v>1.5544269800824876E-2</v>
      </c>
      <c r="M28" s="41">
        <v>1.5504615604799276E-2</v>
      </c>
      <c r="N28" s="41"/>
      <c r="O28" s="39"/>
      <c r="P28" s="39">
        <v>6.4769536009968229</v>
      </c>
      <c r="Q28" s="41"/>
      <c r="R28" s="41"/>
      <c r="T28" s="42">
        <v>0.10781671159029649</v>
      </c>
      <c r="U28" s="30">
        <v>1.0781671159029649E-4</v>
      </c>
      <c r="V28" s="43">
        <v>4.8139000000000003</v>
      </c>
      <c r="AR28" s="41"/>
    </row>
    <row r="29" spans="1:44" x14ac:dyDescent="0.25">
      <c r="A29" s="38">
        <v>1850</v>
      </c>
      <c r="B29" s="39">
        <v>3.4989189125132318E-2</v>
      </c>
      <c r="C29" s="39">
        <v>1.5915960144560752</v>
      </c>
      <c r="D29" s="39">
        <v>1.3056705643929392E-2</v>
      </c>
      <c r="E29" s="39">
        <v>1.8660535341964445E-2</v>
      </c>
      <c r="I29" s="39">
        <v>1.3240760902763363E-2</v>
      </c>
      <c r="J29" s="39">
        <v>7.6381254143410654E-2</v>
      </c>
      <c r="K29" s="39">
        <v>0.56367687470262662</v>
      </c>
      <c r="L29" s="39">
        <v>1.4560040054574726E-2</v>
      </c>
      <c r="M29" s="39">
        <v>1.8959143819743146E-2</v>
      </c>
      <c r="N29" s="41"/>
      <c r="O29" s="39"/>
      <c r="P29" s="39">
        <v>6.8827773256874272</v>
      </c>
      <c r="Q29" s="39"/>
      <c r="R29" s="39"/>
      <c r="T29" s="42">
        <v>0.11978917105893626</v>
      </c>
      <c r="U29" s="26">
        <v>1.1978917105893626E-4</v>
      </c>
      <c r="V29" s="44">
        <v>4.8701999999999996</v>
      </c>
      <c r="AR29" s="39"/>
    </row>
    <row r="30" spans="1:44" x14ac:dyDescent="0.25">
      <c r="A30" s="26">
        <v>1851</v>
      </c>
      <c r="B30" s="39">
        <v>3.4158072611897371E-2</v>
      </c>
      <c r="C30" s="39">
        <v>1.6094178567935049</v>
      </c>
      <c r="D30" s="39">
        <v>1.2572266158079361E-2</v>
      </c>
      <c r="E30" s="39">
        <v>1.8381297939075565E-2</v>
      </c>
      <c r="I30" s="39">
        <v>8.7838588784052169E-3</v>
      </c>
      <c r="J30" s="39">
        <v>8.2116943865613731E-2</v>
      </c>
      <c r="K30" s="39">
        <v>0.63348896795762855</v>
      </c>
      <c r="L30" s="39">
        <v>1.395259270019877E-2</v>
      </c>
      <c r="M30" s="39">
        <v>1.6419432015703173E-2</v>
      </c>
      <c r="N30" s="41"/>
      <c r="O30" s="39"/>
      <c r="P30" s="39">
        <v>7.1415075109686237</v>
      </c>
      <c r="Q30" s="39"/>
      <c r="R30" s="39"/>
      <c r="T30" s="42">
        <v>0.12135922330097088</v>
      </c>
      <c r="U30" s="26">
        <v>1.2135922330097087E-4</v>
      </c>
      <c r="V30" s="43">
        <v>4.9127000000000001</v>
      </c>
      <c r="AR30" s="39"/>
    </row>
    <row r="31" spans="1:44" x14ac:dyDescent="0.25">
      <c r="A31" s="26">
        <v>1852</v>
      </c>
      <c r="B31" s="39">
        <v>3.6744121109648205E-2</v>
      </c>
      <c r="C31" s="39">
        <v>1.5852693684597028</v>
      </c>
      <c r="D31" s="39">
        <v>1.2990338183660664E-2</v>
      </c>
      <c r="E31" s="39">
        <v>1.7990951615990951E-2</v>
      </c>
      <c r="I31" s="39">
        <v>1.181964573805196E-2</v>
      </c>
      <c r="J31" s="39">
        <v>7.7360414066648536E-2</v>
      </c>
      <c r="K31" s="39">
        <v>0.64613807047561467</v>
      </c>
      <c r="L31" s="39">
        <v>1.2352035413157421E-2</v>
      </c>
      <c r="M31" s="39">
        <v>2.0720903784730477E-2</v>
      </c>
      <c r="N31" s="41"/>
      <c r="O31" s="39"/>
      <c r="P31" s="39">
        <v>5.7409558052898211</v>
      </c>
      <c r="Q31" s="39"/>
      <c r="R31" s="39"/>
      <c r="T31" s="42">
        <v>0.11432491139819367</v>
      </c>
      <c r="U31" s="26">
        <v>1.1432491139819368E-4</v>
      </c>
      <c r="V31" s="43">
        <v>4.9017999999999997</v>
      </c>
      <c r="AR31" s="39"/>
    </row>
    <row r="32" spans="1:44" x14ac:dyDescent="0.25">
      <c r="A32" s="26">
        <v>1853</v>
      </c>
      <c r="B32" s="39">
        <v>4.19778093677039E-2</v>
      </c>
      <c r="C32" s="39">
        <v>2.0565513174363752</v>
      </c>
      <c r="D32" s="39">
        <v>1.2781302170870012E-2</v>
      </c>
      <c r="E32" s="39">
        <v>1.8186124777533258E-2</v>
      </c>
      <c r="I32" s="39">
        <v>1.7138971804981435E-2</v>
      </c>
      <c r="J32" s="39">
        <v>7.1612205237209181E-2</v>
      </c>
      <c r="K32" s="39">
        <v>0.76541474670559484</v>
      </c>
      <c r="L32" s="39">
        <v>1.4825627997922856E-2</v>
      </c>
      <c r="M32" s="39">
        <v>2.809113880991709E-2</v>
      </c>
      <c r="N32" s="41"/>
      <c r="O32" s="39"/>
      <c r="P32" s="39">
        <v>6.1836336637994949</v>
      </c>
      <c r="Q32" s="39"/>
      <c r="R32" s="39"/>
      <c r="T32" s="42">
        <v>0.11875074219213871</v>
      </c>
      <c r="U32" s="26">
        <v>1.1875074219213872E-4</v>
      </c>
      <c r="V32" s="43">
        <v>4.8876999999999997</v>
      </c>
      <c r="AR32" s="39"/>
    </row>
    <row r="33" spans="1:44" x14ac:dyDescent="0.25">
      <c r="A33" s="26">
        <v>1854</v>
      </c>
      <c r="B33" s="39">
        <v>4.3896879434392501E-2</v>
      </c>
      <c r="C33" s="39">
        <v>2.2166953771969675</v>
      </c>
      <c r="D33" s="39">
        <v>1.1830891083917973E-2</v>
      </c>
      <c r="E33" s="39">
        <v>1.6349773140983025E-2</v>
      </c>
      <c r="I33" s="39">
        <v>1.6858875928118466E-2</v>
      </c>
      <c r="J33" s="39">
        <v>6.3996280876084818E-2</v>
      </c>
      <c r="K33" s="39">
        <v>0.8420291319064177</v>
      </c>
      <c r="L33" s="39">
        <v>1.9839822526240777E-2</v>
      </c>
      <c r="M33" s="39">
        <v>3.0296686044009175E-2</v>
      </c>
      <c r="N33" s="41"/>
      <c r="O33" s="39"/>
      <c r="P33" s="39">
        <v>8.5764780157397773</v>
      </c>
      <c r="Q33" s="39"/>
      <c r="R33" s="39"/>
      <c r="T33" s="42">
        <v>0.1151012891344383</v>
      </c>
      <c r="U33" s="26">
        <v>1.1510128913443831E-4</v>
      </c>
      <c r="V33" s="44">
        <v>4.8826000000000001</v>
      </c>
      <c r="AR33" s="39"/>
    </row>
    <row r="34" spans="1:44" x14ac:dyDescent="0.25">
      <c r="A34" s="26">
        <v>1855</v>
      </c>
      <c r="B34" s="39">
        <v>4.3434342047930542E-2</v>
      </c>
      <c r="C34" s="39">
        <v>2.095058954632504</v>
      </c>
      <c r="D34" s="39">
        <v>1.1783528738036061E-2</v>
      </c>
      <c r="E34" s="39">
        <v>1.6379784103889215E-2</v>
      </c>
      <c r="I34" s="39">
        <v>1.6578780051255494E-2</v>
      </c>
      <c r="J34" s="39">
        <v>6.232990506569993E-2</v>
      </c>
      <c r="K34" s="39">
        <v>0.71474640814651214</v>
      </c>
      <c r="L34" s="39">
        <v>2.395349051610262E-2</v>
      </c>
      <c r="M34" s="39">
        <v>3.1468463947264949E-2</v>
      </c>
      <c r="N34" s="41"/>
      <c r="O34" s="39"/>
      <c r="P34" s="39">
        <v>10.969322367680061</v>
      </c>
      <c r="Q34" s="39"/>
      <c r="R34" s="39"/>
      <c r="T34" s="42">
        <v>0.11485012059262661</v>
      </c>
      <c r="U34" s="26">
        <v>1.1485012059262661E-4</v>
      </c>
      <c r="V34" s="44">
        <v>4.8861999999999997</v>
      </c>
      <c r="AR34" s="39"/>
    </row>
    <row r="35" spans="1:44" x14ac:dyDescent="0.25">
      <c r="A35" s="26">
        <v>1856</v>
      </c>
      <c r="B35" s="39">
        <v>4.2450605410586012E-2</v>
      </c>
      <c r="C35" s="39">
        <v>1.9764963088827916</v>
      </c>
      <c r="D35" s="39">
        <v>1.1878253429799883E-2</v>
      </c>
      <c r="E35" s="39">
        <v>1.6319762178076836E-2</v>
      </c>
      <c r="I35" s="39">
        <v>1.6963572573051769E-2</v>
      </c>
      <c r="J35" s="39">
        <v>7.4848802767717715E-2</v>
      </c>
      <c r="K35" s="39">
        <v>0.85331969135859098</v>
      </c>
      <c r="L35" s="39">
        <v>2.3287929470992501E-2</v>
      </c>
      <c r="M35" s="39">
        <v>3.8602618817297069E-2</v>
      </c>
      <c r="N35" s="41"/>
      <c r="O35" s="39">
        <v>2.8378963269657165E-2</v>
      </c>
      <c r="P35" s="39">
        <v>11.286405637391272</v>
      </c>
      <c r="Q35" s="39"/>
      <c r="R35" s="39"/>
      <c r="T35" s="42">
        <v>0.11485012059262661</v>
      </c>
      <c r="U35" s="26">
        <v>1.1485012059262661E-4</v>
      </c>
      <c r="V35" s="43">
        <v>4.9089</v>
      </c>
      <c r="AR35" s="39"/>
    </row>
    <row r="36" spans="1:44" x14ac:dyDescent="0.25">
      <c r="A36" s="26">
        <v>1857</v>
      </c>
      <c r="B36" s="39">
        <v>4.0472334755537881E-2</v>
      </c>
      <c r="C36" s="39">
        <v>1.7643004813536249</v>
      </c>
      <c r="D36" s="39">
        <v>1.2877473349226058E-2</v>
      </c>
      <c r="E36" s="39">
        <v>1.912445453795578E-2</v>
      </c>
      <c r="I36" s="39">
        <v>1.4517940436732667E-2</v>
      </c>
      <c r="J36" s="39">
        <v>7.9257493586401231E-2</v>
      </c>
      <c r="K36" s="39">
        <v>0.86370884432006478</v>
      </c>
      <c r="L36" s="39">
        <v>1.9431562392584849E-2</v>
      </c>
      <c r="M36" s="39">
        <v>3.7382285448715066E-2</v>
      </c>
      <c r="N36" s="41"/>
      <c r="O36" s="39">
        <v>3.079647030667838E-2</v>
      </c>
      <c r="P36" s="39">
        <v>10.93136040477359</v>
      </c>
      <c r="Q36" s="39"/>
      <c r="R36" s="39"/>
      <c r="T36" s="42">
        <v>0.11093854004881297</v>
      </c>
      <c r="U36" s="26">
        <v>1.1093854004881298E-4</v>
      </c>
      <c r="V36" s="43">
        <v>4.8886000000000003</v>
      </c>
      <c r="AR36" s="39"/>
    </row>
    <row r="37" spans="1:44" x14ac:dyDescent="0.25">
      <c r="A37" s="26">
        <v>1858</v>
      </c>
      <c r="B37" s="39">
        <v>3.9047552421051443E-2</v>
      </c>
      <c r="C37" s="39">
        <v>1.5987288877302104</v>
      </c>
      <c r="D37" s="39">
        <v>1.2871809887117822E-2</v>
      </c>
      <c r="E37" s="39">
        <v>1.7408919019622462E-2</v>
      </c>
      <c r="I37" s="39">
        <v>1.7180123677405654E-2</v>
      </c>
      <c r="J37" s="39">
        <v>8.2172061455812406E-2</v>
      </c>
      <c r="K37" s="39">
        <v>0.82289935325317887</v>
      </c>
      <c r="L37" s="39">
        <v>1.7180924525961518E-2</v>
      </c>
      <c r="M37" s="39">
        <v>3.9876915188544221E-2</v>
      </c>
      <c r="N37" s="41"/>
      <c r="O37" s="39">
        <v>2.9258523014650012E-2</v>
      </c>
      <c r="P37" s="39">
        <v>10.015991739016542</v>
      </c>
      <c r="Q37" s="39"/>
      <c r="R37" s="39"/>
      <c r="T37" s="42">
        <v>0.10650761529449357</v>
      </c>
      <c r="U37" s="26">
        <v>1.0650761529449357E-4</v>
      </c>
      <c r="V37" s="44">
        <v>4.8574999999999999</v>
      </c>
      <c r="AR37" s="39"/>
    </row>
    <row r="38" spans="1:44" x14ac:dyDescent="0.25">
      <c r="A38" s="26">
        <v>1859</v>
      </c>
      <c r="B38" s="39">
        <v>4.031756398018202E-2</v>
      </c>
      <c r="C38" s="39">
        <v>1.6933077923546711</v>
      </c>
      <c r="D38" s="39">
        <v>1.3149554854559226E-2</v>
      </c>
      <c r="E38" s="39">
        <v>1.8322091501826492E-2</v>
      </c>
      <c r="I38" s="39">
        <v>1.5438179058590963E-2</v>
      </c>
      <c r="J38" s="39">
        <v>7.7877803465751252E-2</v>
      </c>
      <c r="K38" s="39">
        <v>0.71619959057829696</v>
      </c>
      <c r="L38" s="39">
        <v>1.8135561783211161E-2</v>
      </c>
      <c r="M38" s="39">
        <v>2.8168475420454926E-2</v>
      </c>
      <c r="N38" s="41"/>
      <c r="O38" s="39">
        <v>3.007543020811378E-2</v>
      </c>
      <c r="P38" s="39">
        <v>9.4086047016841192</v>
      </c>
      <c r="Q38" s="39"/>
      <c r="R38" s="39"/>
      <c r="T38" s="42">
        <v>0.10442773600668337</v>
      </c>
      <c r="U38" s="26">
        <v>1.0442773600668337E-4</v>
      </c>
      <c r="V38" s="43">
        <v>4.8891999999999998</v>
      </c>
      <c r="AR38" s="39"/>
    </row>
    <row r="39" spans="1:44" x14ac:dyDescent="0.25">
      <c r="A39" s="26">
        <v>1860</v>
      </c>
      <c r="B39" s="39">
        <v>4.0988985705771107E-2</v>
      </c>
      <c r="C39" s="39">
        <v>1.7722845533965033</v>
      </c>
      <c r="D39" s="39">
        <v>1.3266024788809869E-2</v>
      </c>
      <c r="E39" s="39">
        <v>1.7860034529098741E-2</v>
      </c>
      <c r="I39" s="39">
        <v>1.6022538194377448E-2</v>
      </c>
      <c r="J39" s="39">
        <v>7.9940407600615312E-2</v>
      </c>
      <c r="K39" s="39">
        <v>0.69208149533380425</v>
      </c>
      <c r="L39" s="39">
        <v>1.8406517452192909E-2</v>
      </c>
      <c r="M39" s="39">
        <v>2.4526380941405967E-2</v>
      </c>
      <c r="N39" s="41"/>
      <c r="O39" s="39">
        <v>2.9678469366979293E-2</v>
      </c>
      <c r="P39" s="39">
        <v>9.3163147523984815</v>
      </c>
      <c r="Q39" s="39"/>
      <c r="R39" s="39"/>
      <c r="T39" s="42">
        <v>0.10755001075500108</v>
      </c>
      <c r="U39" s="26">
        <v>1.0755001075500108E-4</v>
      </c>
      <c r="V39" s="44">
        <v>4.8493000000000004</v>
      </c>
      <c r="AR39" s="39"/>
    </row>
    <row r="40" spans="1:44" x14ac:dyDescent="0.25">
      <c r="A40" s="26">
        <v>1861</v>
      </c>
      <c r="B40" s="39">
        <v>4.3836395239220852E-2</v>
      </c>
      <c r="C40" s="39">
        <v>1.8138364773876057</v>
      </c>
      <c r="D40" s="39">
        <v>1.3549575694086113E-2</v>
      </c>
      <c r="E40" s="39">
        <v>1.7352363604623576E-2</v>
      </c>
      <c r="I40" s="39">
        <v>1.1112885022639433E-2</v>
      </c>
      <c r="J40" s="39">
        <v>7.2940277520606375E-2</v>
      </c>
      <c r="K40" s="39">
        <v>0.6465959849671552</v>
      </c>
      <c r="L40" s="39">
        <v>1.814867122378196E-2</v>
      </c>
      <c r="M40" s="39">
        <v>1.9455101046532183E-2</v>
      </c>
      <c r="N40" s="41"/>
      <c r="O40" s="39">
        <v>3.2812033089620579E-2</v>
      </c>
      <c r="P40" s="39">
        <v>9.7403723160569946</v>
      </c>
      <c r="Q40" s="39"/>
      <c r="R40" s="39"/>
      <c r="T40" s="42">
        <v>0.10650761529449357</v>
      </c>
      <c r="U40" s="26">
        <v>1.0650761529449357E-4</v>
      </c>
      <c r="V40" s="43">
        <v>4.8493000000000004</v>
      </c>
      <c r="AR40" s="39"/>
    </row>
    <row r="41" spans="1:44" x14ac:dyDescent="0.25">
      <c r="A41" s="26">
        <v>1862</v>
      </c>
      <c r="B41" s="39">
        <v>4.3380736788544545E-2</v>
      </c>
      <c r="C41" s="39">
        <v>1.7192662796035554</v>
      </c>
      <c r="D41" s="39">
        <v>1.5999914078020924E-2</v>
      </c>
      <c r="E41" s="39">
        <v>1.9146655799434888E-2</v>
      </c>
      <c r="I41" s="39">
        <v>1.7899195970029484E-2</v>
      </c>
      <c r="J41" s="39">
        <v>6.0541824003624345E-2</v>
      </c>
      <c r="K41" s="39">
        <v>0.79966852652662834</v>
      </c>
      <c r="L41" s="39">
        <v>1.7148194682925926E-2</v>
      </c>
      <c r="M41" s="39">
        <v>1.6885904796037302E-2</v>
      </c>
      <c r="N41" s="41"/>
      <c r="O41" s="39">
        <v>2.4112025061510292E-2</v>
      </c>
      <c r="P41" s="39">
        <v>9.386642503663067</v>
      </c>
      <c r="Q41" s="39"/>
      <c r="R41" s="39"/>
      <c r="T41" s="42">
        <v>0.1096371011950444</v>
      </c>
      <c r="U41" s="26">
        <v>1.096371011950444E-4</v>
      </c>
      <c r="V41" s="43">
        <v>4.8493000000000004</v>
      </c>
      <c r="AR41" s="39"/>
    </row>
    <row r="42" spans="1:44" x14ac:dyDescent="0.25">
      <c r="A42" s="26">
        <v>1863</v>
      </c>
      <c r="B42" s="39">
        <v>4.3510817600292906E-2</v>
      </c>
      <c r="C42" s="39">
        <v>1.6930806435677195</v>
      </c>
      <c r="D42" s="39">
        <v>2.1867320719301409E-2</v>
      </c>
      <c r="E42" s="39">
        <v>2.4160100433152809E-2</v>
      </c>
      <c r="I42" s="39">
        <v>1.2862628599423713E-2</v>
      </c>
      <c r="J42" s="39">
        <v>5.4934730795122934E-2</v>
      </c>
      <c r="K42" s="39">
        <v>0.83161305424301546</v>
      </c>
      <c r="L42" s="39">
        <v>2.0480066458429615E-2</v>
      </c>
      <c r="M42" s="39">
        <v>2.0096644764673315E-2</v>
      </c>
      <c r="N42" s="41"/>
      <c r="O42" s="39">
        <v>2.8360400506251205E-2</v>
      </c>
      <c r="P42" s="39">
        <v>9.7516258154130373</v>
      </c>
      <c r="Q42" s="39"/>
      <c r="R42" s="39"/>
      <c r="T42" s="42">
        <v>0.11354604292040422</v>
      </c>
      <c r="U42" s="26">
        <v>1.1354604292040422E-4</v>
      </c>
      <c r="V42" s="43">
        <v>4.8493000000000004</v>
      </c>
      <c r="AR42" s="39"/>
    </row>
    <row r="43" spans="1:44" x14ac:dyDescent="0.25">
      <c r="A43" s="26">
        <v>1864</v>
      </c>
      <c r="B43" s="39">
        <v>4.6099626344734142E-2</v>
      </c>
      <c r="C43" s="39">
        <v>1.8825543061204355</v>
      </c>
      <c r="D43" s="39">
        <v>2.519223751860673E-2</v>
      </c>
      <c r="E43" s="39">
        <v>2.7215505836111428E-2</v>
      </c>
      <c r="I43" s="39">
        <v>1.7617949058773862E-2</v>
      </c>
      <c r="J43" s="39">
        <v>4.5350053720795376E-2</v>
      </c>
      <c r="K43" s="39">
        <v>0.74671976186650135</v>
      </c>
      <c r="L43" s="39">
        <v>2.1269156174944966E-2</v>
      </c>
      <c r="M43" s="39">
        <v>2.0485789387268524E-2</v>
      </c>
      <c r="N43" s="41"/>
      <c r="O43" s="39">
        <v>3.2999954107420244E-2</v>
      </c>
      <c r="P43" s="39">
        <v>11.182057650585854</v>
      </c>
      <c r="Q43" s="39"/>
      <c r="R43" s="39"/>
      <c r="T43" s="42">
        <v>0.11145786892554616</v>
      </c>
      <c r="U43" s="26">
        <v>1.1145786892554615E-4</v>
      </c>
      <c r="V43" s="43">
        <v>4.8493000000000004</v>
      </c>
      <c r="AR43" s="39"/>
    </row>
    <row r="44" spans="1:44" x14ac:dyDescent="0.25">
      <c r="A44" s="26">
        <v>1865</v>
      </c>
      <c r="B44" s="39">
        <v>5.0024443935088619E-2</v>
      </c>
      <c r="C44" s="39">
        <v>1.861953094165719</v>
      </c>
      <c r="D44" s="39">
        <v>2.3172805013600327E-2</v>
      </c>
      <c r="E44" s="39">
        <v>2.5820040681151828E-2</v>
      </c>
      <c r="I44" s="39">
        <v>2.4898220278773201E-2</v>
      </c>
      <c r="J44" s="39">
        <v>7.3892497021162365E-2</v>
      </c>
      <c r="K44" s="39">
        <v>0.98535535449084966</v>
      </c>
      <c r="L44" s="39">
        <v>2.9956418008603457E-2</v>
      </c>
      <c r="M44" s="39">
        <v>1.5245631949171773E-2</v>
      </c>
      <c r="N44" s="41"/>
      <c r="O44" s="39">
        <v>4.7893891939581719E-2</v>
      </c>
      <c r="P44" s="39">
        <v>10.446001369212093</v>
      </c>
      <c r="Q44" s="39"/>
      <c r="R44" s="39"/>
      <c r="T44" s="42">
        <v>0.10416666666666667</v>
      </c>
      <c r="U44" s="26">
        <v>1.0416666666666667E-4</v>
      </c>
      <c r="V44" s="44">
        <v>4.8493000000000004</v>
      </c>
      <c r="AR44" s="39"/>
    </row>
    <row r="45" spans="1:44" x14ac:dyDescent="0.25">
      <c r="A45" s="26">
        <v>1866</v>
      </c>
      <c r="B45" s="39">
        <v>4.728428362223723E-2</v>
      </c>
      <c r="C45" s="39">
        <v>1.7819688679014665</v>
      </c>
      <c r="D45" s="39">
        <v>2.2972041833589505E-2</v>
      </c>
      <c r="E45" s="39">
        <v>2.6286838641697424E-2</v>
      </c>
      <c r="I45" s="39">
        <v>3.2178491498772541E-2</v>
      </c>
      <c r="J45" s="39">
        <v>5.1896696233448468E-2</v>
      </c>
      <c r="K45" s="39">
        <v>0.94641780123065855</v>
      </c>
      <c r="L45" s="39">
        <v>2.7043767180421761E-2</v>
      </c>
      <c r="M45" s="39">
        <v>2.0290682250460892E-2</v>
      </c>
      <c r="N45" s="41"/>
      <c r="O45" s="39">
        <v>4.7497576588555288E-2</v>
      </c>
      <c r="P45" s="39">
        <v>10.16468864117825</v>
      </c>
      <c r="Q45" s="39"/>
      <c r="R45" s="39"/>
      <c r="T45" s="42">
        <v>0.10104071940992219</v>
      </c>
      <c r="U45" s="26">
        <v>1.010407194099222E-4</v>
      </c>
      <c r="V45" s="43">
        <v>4.8493000000000004</v>
      </c>
      <c r="AR45" s="39"/>
    </row>
    <row r="46" spans="1:44" x14ac:dyDescent="0.25">
      <c r="A46" s="26">
        <v>1867</v>
      </c>
      <c r="B46" s="39">
        <v>4.3367925072585398E-2</v>
      </c>
      <c r="C46" s="39">
        <v>1.7599347716616633</v>
      </c>
      <c r="D46" s="39">
        <v>1.8482309106930397E-2</v>
      </c>
      <c r="E46" s="39">
        <v>2.2214085376279509E-2</v>
      </c>
      <c r="I46" s="39">
        <v>2.5337850059707557E-2</v>
      </c>
      <c r="J46" s="39">
        <v>4.4218382810435969E-2</v>
      </c>
      <c r="K46" s="39">
        <v>0.83119149691896599</v>
      </c>
      <c r="L46" s="39">
        <v>3.0690098045315844E-2</v>
      </c>
      <c r="M46" s="39">
        <v>1.3842549055448097E-2</v>
      </c>
      <c r="N46" s="41"/>
      <c r="O46" s="39">
        <v>3.6193839627269894E-2</v>
      </c>
      <c r="P46" s="39">
        <v>9.7244991643609104</v>
      </c>
      <c r="Q46" s="39"/>
      <c r="R46" s="39"/>
      <c r="T46" s="42">
        <v>9.3492894540014956E-2</v>
      </c>
      <c r="U46" s="26">
        <v>9.3492894540014957E-5</v>
      </c>
      <c r="V46" s="43">
        <v>4.8493000000000004</v>
      </c>
      <c r="AR46" s="39"/>
    </row>
    <row r="47" spans="1:44" x14ac:dyDescent="0.25">
      <c r="A47" s="26">
        <v>1868</v>
      </c>
      <c r="B47" s="39">
        <v>4.4488626795657592E-2</v>
      </c>
      <c r="C47" s="39">
        <v>1.6796041193287228</v>
      </c>
      <c r="D47" s="39">
        <v>1.6273383959035659E-2</v>
      </c>
      <c r="E47" s="39">
        <v>2.029179372096062E-2</v>
      </c>
      <c r="I47" s="39">
        <v>2.7404012366904977E-2</v>
      </c>
      <c r="J47" s="39">
        <v>5.4711343863828595E-2</v>
      </c>
      <c r="K47" s="39">
        <v>0.67751409184510769</v>
      </c>
      <c r="L47" s="39">
        <v>2.8165454397107954E-2</v>
      </c>
      <c r="M47" s="39">
        <v>1.4826892772200777E-2</v>
      </c>
      <c r="N47" s="41"/>
      <c r="O47" s="39">
        <v>3.6500474592568874E-2</v>
      </c>
      <c r="P47" s="39">
        <v>9.015127203206097</v>
      </c>
      <c r="Q47" s="39"/>
      <c r="R47" s="39"/>
      <c r="T47" s="42">
        <v>7.0831562544269727E-2</v>
      </c>
      <c r="U47" s="26">
        <v>7.0831562544269725E-5</v>
      </c>
      <c r="V47" s="43">
        <v>4.8493000000000004</v>
      </c>
      <c r="AR47" s="39"/>
    </row>
    <row r="48" spans="1:44" x14ac:dyDescent="0.25">
      <c r="A48" s="26">
        <v>1869</v>
      </c>
      <c r="B48" s="39">
        <v>4.4997641376406008E-2</v>
      </c>
      <c r="C48" s="39">
        <v>1.7129216834750569</v>
      </c>
      <c r="D48" s="39">
        <v>1.653562972353197E-2</v>
      </c>
      <c r="E48" s="39">
        <v>2.0614451542384109E-2</v>
      </c>
      <c r="I48" s="39">
        <v>2.0998571256116948E-2</v>
      </c>
      <c r="J48" s="39">
        <v>3.9980456697234421E-2</v>
      </c>
      <c r="K48" s="39">
        <v>0.83877562251600024</v>
      </c>
      <c r="L48" s="39">
        <v>2.2408887315420546E-2</v>
      </c>
      <c r="M48" s="39">
        <v>1.7209147924125857E-2</v>
      </c>
      <c r="N48" s="41"/>
      <c r="O48" s="39">
        <v>4.3347827815796353E-2</v>
      </c>
      <c r="P48" s="39">
        <v>9.0770668213353325</v>
      </c>
      <c r="Q48" s="39"/>
      <c r="R48" s="39"/>
      <c r="T48" s="42">
        <v>7.8388335815630636E-2</v>
      </c>
      <c r="U48" s="26">
        <v>7.8388335815630629E-5</v>
      </c>
      <c r="V48" s="43">
        <v>4.8493000000000004</v>
      </c>
      <c r="AR48" s="39"/>
    </row>
    <row r="49" spans="1:44" x14ac:dyDescent="0.25">
      <c r="A49" s="26">
        <v>1870</v>
      </c>
      <c r="B49" s="39">
        <v>4.7033478857379185E-2</v>
      </c>
      <c r="C49" s="39">
        <v>1.7225910807062628</v>
      </c>
      <c r="D49" s="39">
        <v>1.6124988079632536E-2</v>
      </c>
      <c r="E49" s="39">
        <v>2.0552680047399158E-2</v>
      </c>
      <c r="I49" s="39">
        <v>1.9198911519572138E-2</v>
      </c>
      <c r="J49" s="39">
        <v>4.5074189073574175E-2</v>
      </c>
      <c r="K49" s="39">
        <v>1.2983153110028536</v>
      </c>
      <c r="L49" s="39">
        <v>1.7735474349221566E-2</v>
      </c>
      <c r="M49" s="39">
        <v>1.8382603717622684E-2</v>
      </c>
      <c r="N49" s="41"/>
      <c r="O49" s="39">
        <v>4.0460663494622996E-2</v>
      </c>
      <c r="P49" s="39">
        <v>9.711627807910288</v>
      </c>
      <c r="Q49" s="39"/>
      <c r="R49" s="39"/>
      <c r="T49" s="42">
        <v>9.1928663357234791E-2</v>
      </c>
      <c r="U49" s="26">
        <v>9.1928663357234789E-5</v>
      </c>
      <c r="V49" s="44">
        <v>4.8493000000000004</v>
      </c>
      <c r="AR49" s="39"/>
    </row>
    <row r="50" spans="1:44" s="30" customFormat="1" x14ac:dyDescent="0.25">
      <c r="A50" s="30">
        <v>1871</v>
      </c>
      <c r="B50" s="39">
        <v>4.775062676591426E-2</v>
      </c>
      <c r="C50" s="39">
        <v>1.7749017554366548</v>
      </c>
      <c r="D50" s="39">
        <v>1.5676067177211386E-2</v>
      </c>
      <c r="E50" s="39">
        <v>2.0402362664853943E-2</v>
      </c>
      <c r="F50" s="26"/>
      <c r="G50" s="26"/>
      <c r="H50" s="26"/>
      <c r="I50" s="39">
        <v>2.2228866315756681E-2</v>
      </c>
      <c r="J50" s="39">
        <v>5.391389767047202E-2</v>
      </c>
      <c r="K50" s="41">
        <v>1.1191081750446763</v>
      </c>
      <c r="L50" s="39">
        <v>1.9821524313167735E-2</v>
      </c>
      <c r="M50" s="41">
        <v>2.3830980274356664E-2</v>
      </c>
      <c r="N50" s="41">
        <v>4.0446507616630418</v>
      </c>
      <c r="O50" s="39">
        <v>3.6431560126649901E-2</v>
      </c>
      <c r="P50" s="39">
        <v>9.7608362354347697</v>
      </c>
      <c r="Q50" s="39">
        <v>0.38144001444736836</v>
      </c>
      <c r="R50" s="39">
        <v>8.208436485052431</v>
      </c>
      <c r="T50" s="42">
        <v>0.10013016921998598</v>
      </c>
      <c r="U50" s="30">
        <v>1.0013016921998598E-4</v>
      </c>
      <c r="V50" s="43">
        <v>4.8493000000000004</v>
      </c>
      <c r="AR50" s="41"/>
    </row>
    <row r="51" spans="1:44" x14ac:dyDescent="0.25">
      <c r="A51" s="26">
        <v>1872</v>
      </c>
      <c r="B51" s="39">
        <v>5.0338625983541954E-2</v>
      </c>
      <c r="C51" s="39">
        <v>2.2654986576632918</v>
      </c>
      <c r="D51" s="39">
        <v>1.638697824044064E-2</v>
      </c>
      <c r="E51" s="39">
        <v>2.1530130161855902E-2</v>
      </c>
      <c r="I51" s="39">
        <v>2.0072452181329883E-2</v>
      </c>
      <c r="J51" s="39">
        <v>5.5151987188285019E-2</v>
      </c>
      <c r="K51" s="39">
        <v>1.1377626273659114</v>
      </c>
      <c r="L51" s="39">
        <v>2.1138014230517713E-2</v>
      </c>
      <c r="M51" s="39">
        <v>2.4062500000000001E-2</v>
      </c>
      <c r="N51" s="41">
        <v>4.0978389489741351</v>
      </c>
      <c r="O51" s="39">
        <v>2.8536067784572367E-2</v>
      </c>
      <c r="P51" s="39">
        <v>13.848573049917091</v>
      </c>
      <c r="Q51" s="39">
        <v>0.39881673730295175</v>
      </c>
      <c r="R51" s="39">
        <v>9.2404042776804793</v>
      </c>
      <c r="T51" s="42">
        <v>0.10416666666666667</v>
      </c>
      <c r="U51" s="26">
        <v>1.0416666666666667E-4</v>
      </c>
      <c r="V51" s="43">
        <v>4.8493000000000004</v>
      </c>
      <c r="AR51" s="39"/>
    </row>
    <row r="52" spans="1:44" x14ac:dyDescent="0.25">
      <c r="A52" s="26">
        <v>1873</v>
      </c>
      <c r="B52" s="39">
        <v>5.6923451862765533E-2</v>
      </c>
      <c r="C52" s="39">
        <v>2.7999590742977118</v>
      </c>
      <c r="D52" s="39">
        <v>1.6308045912058439E-2</v>
      </c>
      <c r="E52" s="39">
        <v>2.1027370956471565E-2</v>
      </c>
      <c r="I52" s="39">
        <v>1.861790270039778E-2</v>
      </c>
      <c r="J52" s="39">
        <v>5.7798916155383843E-2</v>
      </c>
      <c r="K52" s="39">
        <v>1.3808008341945857</v>
      </c>
      <c r="L52" s="39">
        <v>2.4519312722169152E-2</v>
      </c>
      <c r="M52" s="39">
        <v>2.4026962383126765E-2</v>
      </c>
      <c r="N52" s="41">
        <v>5.1540930218734413</v>
      </c>
      <c r="O52" s="39">
        <v>2.7655663386032269E-2</v>
      </c>
      <c r="P52" s="39">
        <v>15.043677091261319</v>
      </c>
      <c r="Q52" s="39">
        <v>0.49347767817366583</v>
      </c>
      <c r="R52" s="39">
        <v>12.329862444728688</v>
      </c>
      <c r="T52" s="42">
        <v>0.10871928680147858</v>
      </c>
      <c r="U52" s="26">
        <v>1.0871928680147858E-4</v>
      </c>
      <c r="V52" s="43">
        <v>4.8493000000000004</v>
      </c>
      <c r="AR52" s="39"/>
    </row>
    <row r="53" spans="1:44" x14ac:dyDescent="0.25">
      <c r="A53" s="26">
        <v>1874</v>
      </c>
      <c r="B53" s="39">
        <v>5.1819890810526792E-2</v>
      </c>
      <c r="C53" s="39">
        <v>2.3865248405054404</v>
      </c>
      <c r="D53" s="39">
        <v>1.5017759987363922E-2</v>
      </c>
      <c r="E53" s="39">
        <v>2.1092718205834339E-2</v>
      </c>
      <c r="I53" s="39">
        <v>1.8131542932814972E-2</v>
      </c>
      <c r="J53" s="39">
        <v>5.3789427243339016E-2</v>
      </c>
      <c r="K53" s="39">
        <v>1.2279026174271803</v>
      </c>
      <c r="L53" s="39">
        <v>2.2169699322788478E-2</v>
      </c>
      <c r="M53" s="39">
        <v>2.6855731012998176E-2</v>
      </c>
      <c r="N53" s="41">
        <v>4.856952275265928</v>
      </c>
      <c r="O53" s="39">
        <v>2.7660589316776327E-2</v>
      </c>
      <c r="P53" s="39">
        <v>14.040781980289028</v>
      </c>
      <c r="Q53" s="39">
        <v>0.3587422014867423</v>
      </c>
      <c r="R53" s="39">
        <v>12.746118979419808</v>
      </c>
      <c r="T53" s="42">
        <v>0.1074229240519927</v>
      </c>
      <c r="U53" s="26">
        <v>1.0742292405199271E-4</v>
      </c>
      <c r="V53" s="43">
        <v>4.8493000000000004</v>
      </c>
      <c r="AR53" s="39"/>
    </row>
    <row r="54" spans="1:44" x14ac:dyDescent="0.25">
      <c r="A54" s="26">
        <v>1875</v>
      </c>
      <c r="B54" s="39">
        <v>4.9708443513642925E-2</v>
      </c>
      <c r="C54" s="39">
        <v>1.9628831307603003</v>
      </c>
      <c r="D54" s="39">
        <v>1.4034984688329305E-2</v>
      </c>
      <c r="E54" s="39">
        <v>2.0323284181638396E-2</v>
      </c>
      <c r="I54" s="39">
        <v>2.0836684097286604E-2</v>
      </c>
      <c r="J54" s="39">
        <v>3.8338899368518656E-2</v>
      </c>
      <c r="K54" s="39">
        <v>1.2388024523888792</v>
      </c>
      <c r="L54" s="39">
        <v>1.822976243612642E-2</v>
      </c>
      <c r="M54" s="39">
        <v>3.4875808097992511E-2</v>
      </c>
      <c r="N54" s="41">
        <v>4.442884040071176</v>
      </c>
      <c r="O54" s="39">
        <v>3.7708810362495286E-2</v>
      </c>
      <c r="P54" s="39">
        <v>11.817382769149587</v>
      </c>
      <c r="Q54" s="39">
        <v>0.31742180446212043</v>
      </c>
      <c r="R54" s="39">
        <v>8.679250574668119</v>
      </c>
      <c r="T54" s="42">
        <v>0.11341726210729272</v>
      </c>
      <c r="U54" s="26">
        <v>1.1341726210729273E-4</v>
      </c>
      <c r="V54" s="44">
        <v>4.8493000000000004</v>
      </c>
      <c r="AR54" s="39"/>
    </row>
    <row r="55" spans="1:44" x14ac:dyDescent="0.25">
      <c r="A55" s="26">
        <v>1876</v>
      </c>
      <c r="B55" s="39">
        <v>4.931835786097967E-2</v>
      </c>
      <c r="C55" s="39">
        <v>1.7785780238515458</v>
      </c>
      <c r="D55" s="39">
        <v>1.3171834558042944E-2</v>
      </c>
      <c r="E55" s="39">
        <v>1.885276221007821E-2</v>
      </c>
      <c r="I55" s="39">
        <v>1.7627880868203064E-2</v>
      </c>
      <c r="J55" s="39">
        <v>4.5580441399282218E-2</v>
      </c>
      <c r="K55" s="39">
        <v>1.072912867828663</v>
      </c>
      <c r="L55" s="39">
        <v>1.8689967070153378E-2</v>
      </c>
      <c r="M55" s="39">
        <v>3.0623020063357972E-2</v>
      </c>
      <c r="N55" s="41">
        <v>4.5083963556997793</v>
      </c>
      <c r="O55" s="39">
        <v>3.8470600919946793E-2</v>
      </c>
      <c r="P55" s="39">
        <v>10.593626263414748</v>
      </c>
      <c r="Q55" s="39">
        <v>0.31850065274621026</v>
      </c>
      <c r="R55" s="39">
        <v>8.3131849792432728</v>
      </c>
      <c r="T55" s="42">
        <v>0.10559662090813093</v>
      </c>
      <c r="U55" s="26">
        <v>1.0559662090813094E-4</v>
      </c>
      <c r="V55" s="43">
        <v>4.8493000000000004</v>
      </c>
      <c r="AR55" s="39"/>
    </row>
    <row r="56" spans="1:44" x14ac:dyDescent="0.25">
      <c r="A56" s="26">
        <v>1877</v>
      </c>
      <c r="B56" s="39">
        <v>4.9596791564221851E-2</v>
      </c>
      <c r="C56" s="39">
        <v>1.7520610653636171</v>
      </c>
      <c r="D56" s="39">
        <v>1.2528087201286276E-2</v>
      </c>
      <c r="E56" s="39">
        <v>1.8138145985118339E-2</v>
      </c>
      <c r="I56" s="39">
        <v>1.5815676916738713E-2</v>
      </c>
      <c r="J56" s="39">
        <v>4.7606832994357459E-2</v>
      </c>
      <c r="K56" s="39">
        <v>1.1958405063031474</v>
      </c>
      <c r="L56" s="39">
        <v>1.9964698723860082E-2</v>
      </c>
      <c r="M56" s="39">
        <v>2.8656227612322175E-2</v>
      </c>
      <c r="N56" s="41">
        <v>4.2315188823568102</v>
      </c>
      <c r="O56" s="39">
        <v>3.0814221863120175E-2</v>
      </c>
      <c r="P56" s="39">
        <v>9.6494335329778202</v>
      </c>
      <c r="Q56" s="39">
        <v>0.29916399955455253</v>
      </c>
      <c r="R56" s="39">
        <v>7.5929676169513094</v>
      </c>
      <c r="T56" s="42">
        <v>0.10234367004400777</v>
      </c>
      <c r="U56" s="26">
        <v>1.0234367004400776E-4</v>
      </c>
      <c r="V56" s="43">
        <v>4.8493000000000004</v>
      </c>
      <c r="AR56" s="39"/>
    </row>
    <row r="57" spans="1:44" x14ac:dyDescent="0.25">
      <c r="A57" s="26">
        <v>1878</v>
      </c>
      <c r="B57" s="39">
        <v>4.8383319354066021E-2</v>
      </c>
      <c r="C57" s="39">
        <v>1.6820053782222433</v>
      </c>
      <c r="D57" s="39">
        <v>1.1932016463177857E-2</v>
      </c>
      <c r="E57" s="39">
        <v>1.6844505788064963E-2</v>
      </c>
      <c r="I57" s="39">
        <v>1.9351108004199591E-2</v>
      </c>
      <c r="J57" s="39">
        <v>4.1938955953066813E-2</v>
      </c>
      <c r="K57" s="39">
        <v>0.97108715075384122</v>
      </c>
      <c r="L57" s="39">
        <v>1.8583917768171601E-2</v>
      </c>
      <c r="M57" s="39">
        <v>2.5805218388607477E-2</v>
      </c>
      <c r="N57" s="41">
        <v>4.3118451287449844</v>
      </c>
      <c r="O57" s="39">
        <v>2.4301036785863428E-2</v>
      </c>
      <c r="P57" s="39">
        <v>8.9115181697316732</v>
      </c>
      <c r="Q57" s="39">
        <v>0.26445980240433792</v>
      </c>
      <c r="R57" s="39">
        <v>7.4411752916954264</v>
      </c>
      <c r="T57" s="42">
        <v>9.5574882920768434E-2</v>
      </c>
      <c r="U57" s="26">
        <v>9.5574882920768429E-5</v>
      </c>
      <c r="V57" s="43">
        <v>4.8493000000000004</v>
      </c>
      <c r="AR57" s="39"/>
    </row>
    <row r="58" spans="1:44" x14ac:dyDescent="0.25">
      <c r="A58" s="26">
        <v>1879</v>
      </c>
      <c r="B58" s="39">
        <v>4.7433291965199645E-2</v>
      </c>
      <c r="C58" s="39">
        <v>1.6441970886117172</v>
      </c>
      <c r="D58" s="39">
        <v>1.093388783728937E-2</v>
      </c>
      <c r="E58" s="39">
        <v>1.5722779701488374E-2</v>
      </c>
      <c r="I58" s="39">
        <v>1.4388244417844009E-2</v>
      </c>
      <c r="J58" s="39">
        <v>3.9880140064826805E-2</v>
      </c>
      <c r="K58" s="39">
        <v>0.95017003039315207</v>
      </c>
      <c r="L58" s="39">
        <v>1.5150572371136012E-2</v>
      </c>
      <c r="M58" s="39">
        <v>3.6961168507303167E-2</v>
      </c>
      <c r="N58" s="41">
        <v>4.3643680948574897</v>
      </c>
      <c r="O58" s="39">
        <v>1.9321587068468767E-2</v>
      </c>
      <c r="P58" s="39">
        <v>8.3627600893040555</v>
      </c>
      <c r="Q58" s="39">
        <v>0.22717128966904443</v>
      </c>
      <c r="R58" s="39">
        <v>6.7239259896054113</v>
      </c>
      <c r="T58" s="42">
        <v>8.9063056644104022E-2</v>
      </c>
      <c r="U58" s="26">
        <v>8.9063056644104023E-5</v>
      </c>
      <c r="V58" s="43">
        <v>4.8535000000000004</v>
      </c>
      <c r="AR58" s="39"/>
    </row>
    <row r="59" spans="1:44" x14ac:dyDescent="0.25">
      <c r="A59" s="26">
        <v>1880</v>
      </c>
      <c r="B59" s="39">
        <v>4.6822954071087407E-2</v>
      </c>
      <c r="C59" s="39">
        <v>1.6897527858447263</v>
      </c>
      <c r="D59" s="39">
        <v>1.1869071745188281E-2</v>
      </c>
      <c r="E59" s="39">
        <v>1.6447376867780635E-2</v>
      </c>
      <c r="I59" s="39">
        <v>1.5922439541182255E-2</v>
      </c>
      <c r="J59" s="39">
        <v>3.7901761535173113E-2</v>
      </c>
      <c r="K59" s="39">
        <v>0.84187409063742369</v>
      </c>
      <c r="L59" s="39">
        <v>1.7578209348923454E-2</v>
      </c>
      <c r="M59" s="39">
        <v>3.406370834100534E-2</v>
      </c>
      <c r="N59" s="41">
        <v>4.2425106233111869</v>
      </c>
      <c r="O59" s="39">
        <v>2.0224238831884858E-2</v>
      </c>
      <c r="P59" s="39">
        <v>9.4930433086782955</v>
      </c>
      <c r="Q59" s="39">
        <v>0.20483762052750321</v>
      </c>
      <c r="R59" s="39">
        <v>8.3184214083622372</v>
      </c>
      <c r="T59" s="42">
        <v>9.2064076597311723E-2</v>
      </c>
      <c r="U59" s="26">
        <v>9.2064076597311723E-5</v>
      </c>
      <c r="V59" s="44">
        <v>4.8445</v>
      </c>
      <c r="AR59" s="39"/>
    </row>
    <row r="60" spans="1:44" x14ac:dyDescent="0.25">
      <c r="A60" s="26">
        <v>1881</v>
      </c>
      <c r="B60" s="39">
        <v>4.8791299671094884E-2</v>
      </c>
      <c r="C60" s="39">
        <v>1.6353126705432921</v>
      </c>
      <c r="D60" s="39">
        <v>1.1441239567891408E-2</v>
      </c>
      <c r="E60" s="39">
        <v>1.6188141858113153E-2</v>
      </c>
      <c r="I60" s="39">
        <v>1.625483385278137E-2</v>
      </c>
      <c r="J60" s="39">
        <v>3.3977470296481987E-2</v>
      </c>
      <c r="K60" s="39">
        <v>0.97375950175742176</v>
      </c>
      <c r="L60" s="39">
        <v>1.6225464182206186E-2</v>
      </c>
      <c r="M60" s="39">
        <v>3.3771449434100036E-2</v>
      </c>
      <c r="N60" s="41">
        <v>4.451143878084534</v>
      </c>
      <c r="O60" s="39">
        <v>2.5100265201661351E-2</v>
      </c>
      <c r="P60" s="39">
        <v>8.4852350123493743</v>
      </c>
      <c r="Q60" s="39">
        <v>0.21694610019932439</v>
      </c>
      <c r="R60" s="39">
        <v>7.2850576530206466</v>
      </c>
      <c r="T60" s="42">
        <v>9.1274187659729833E-2</v>
      </c>
      <c r="U60" s="26">
        <v>9.1274187659729831E-5</v>
      </c>
      <c r="V60" s="43">
        <v>4.8295000000000003</v>
      </c>
      <c r="AR60" s="39"/>
    </row>
    <row r="61" spans="1:44" x14ac:dyDescent="0.25">
      <c r="A61" s="26">
        <v>1882</v>
      </c>
      <c r="B61" s="39">
        <v>5.0227838803602716E-2</v>
      </c>
      <c r="C61" s="39">
        <v>1.6504996854688494</v>
      </c>
      <c r="D61" s="39">
        <v>1.1393924759271866E-2</v>
      </c>
      <c r="E61" s="39">
        <v>1.5935618713703678E-2</v>
      </c>
      <c r="I61" s="39">
        <v>1.8946108409605991E-2</v>
      </c>
      <c r="J61" s="39">
        <v>3.8631052330962423E-2</v>
      </c>
      <c r="K61" s="39">
        <v>1.0076291842057139</v>
      </c>
      <c r="L61" s="39">
        <v>1.8098741473353788E-2</v>
      </c>
      <c r="M61" s="39">
        <v>3.3057122708039489E-2</v>
      </c>
      <c r="N61" s="41">
        <v>4.092148064592541</v>
      </c>
      <c r="O61" s="39">
        <v>2.9145252482178099E-2</v>
      </c>
      <c r="P61" s="39">
        <v>8.946580215923003</v>
      </c>
      <c r="Q61" s="39">
        <v>0.22442927068013729</v>
      </c>
      <c r="R61" s="39">
        <v>7.3171874171495359</v>
      </c>
      <c r="T61" s="42">
        <v>8.8152327221438648E-2</v>
      </c>
      <c r="U61" s="26">
        <v>8.8152327221438644E-5</v>
      </c>
      <c r="V61" s="43">
        <v>4.8697999999999997</v>
      </c>
      <c r="AR61" s="39"/>
    </row>
    <row r="62" spans="1:44" x14ac:dyDescent="0.25">
      <c r="A62" s="26">
        <v>1883</v>
      </c>
      <c r="B62" s="39">
        <v>4.1799715602572347E-2</v>
      </c>
      <c r="C62" s="39">
        <v>1.7083282908183888</v>
      </c>
      <c r="D62" s="39">
        <v>1.0539160461068512E-2</v>
      </c>
      <c r="E62" s="39">
        <v>1.509837713859395E-2</v>
      </c>
      <c r="I62" s="39">
        <v>2.1907884442987937E-2</v>
      </c>
      <c r="J62" s="39">
        <v>4.389143650412633E-2</v>
      </c>
      <c r="K62" s="39">
        <v>1.1411146516551482</v>
      </c>
      <c r="L62" s="39">
        <v>1.5298642076007705E-2</v>
      </c>
      <c r="M62" s="39">
        <v>3.6837376460017966E-2</v>
      </c>
      <c r="N62" s="41">
        <v>4.145997195606606</v>
      </c>
      <c r="O62" s="39">
        <v>3.0048328706950216E-2</v>
      </c>
      <c r="P62" s="39">
        <v>8.869275649654595</v>
      </c>
      <c r="Q62" s="39">
        <v>0.21933368413471577</v>
      </c>
      <c r="R62" s="39">
        <v>6.8939683498795059</v>
      </c>
      <c r="T62" s="42">
        <v>8.9847259658580411E-2</v>
      </c>
      <c r="U62" s="26">
        <v>8.9847259658580413E-5</v>
      </c>
      <c r="V62" s="43">
        <v>4.8490000000000002</v>
      </c>
      <c r="AR62" s="39"/>
    </row>
    <row r="63" spans="1:44" x14ac:dyDescent="0.25">
      <c r="A63" s="26">
        <v>1884</v>
      </c>
      <c r="B63" s="39">
        <v>3.0017136004479469E-2</v>
      </c>
      <c r="C63" s="39">
        <v>1.6268078448495433</v>
      </c>
      <c r="D63" s="39">
        <v>1.0409649278169489E-2</v>
      </c>
      <c r="E63" s="39">
        <v>1.5049434870144759E-2</v>
      </c>
      <c r="I63" s="39">
        <v>1.7930127240523723E-2</v>
      </c>
      <c r="J63" s="39">
        <v>3.8459684658125583E-2</v>
      </c>
      <c r="K63" s="39">
        <v>1.0072026193507504</v>
      </c>
      <c r="L63" s="39">
        <v>1.4697168521724903E-2</v>
      </c>
      <c r="M63" s="39">
        <v>2.585983966899405E-2</v>
      </c>
      <c r="N63" s="41">
        <v>3.9713431417090992</v>
      </c>
      <c r="O63" s="39">
        <v>2.4036746458712028E-2</v>
      </c>
      <c r="P63" s="39">
        <v>8.2248363911823414</v>
      </c>
      <c r="Q63" s="39">
        <v>0.17331182591398039</v>
      </c>
      <c r="R63" s="39">
        <v>6.3645274159537779</v>
      </c>
      <c r="T63" s="42">
        <v>8.619946556331351E-2</v>
      </c>
      <c r="U63" s="26">
        <v>8.6199465563313506E-5</v>
      </c>
      <c r="V63" s="43">
        <v>4.8537999999999997</v>
      </c>
      <c r="AR63" s="39"/>
    </row>
    <row r="64" spans="1:44" x14ac:dyDescent="0.25">
      <c r="A64" s="26">
        <v>1885</v>
      </c>
      <c r="B64" s="39">
        <v>3.4506349150214097E-2</v>
      </c>
      <c r="C64" s="39">
        <v>1.4654680393446218</v>
      </c>
      <c r="D64" s="39">
        <v>9.581251656124808E-3</v>
      </c>
      <c r="E64" s="39">
        <v>1.4131440386159112E-2</v>
      </c>
      <c r="I64" s="39">
        <v>1.718436236713872E-2</v>
      </c>
      <c r="J64" s="39">
        <v>3.5313515887325141E-2</v>
      </c>
      <c r="K64" s="39">
        <v>0.98393291547271455</v>
      </c>
      <c r="L64" s="39">
        <v>1.2441876633880777E-2</v>
      </c>
      <c r="M64" s="39">
        <v>2.51781840718934E-2</v>
      </c>
      <c r="N64" s="41">
        <v>3.8059152567967431</v>
      </c>
      <c r="O64" s="39">
        <v>2.0917010913866874E-2</v>
      </c>
      <c r="P64" s="39">
        <v>7.6399486244613852</v>
      </c>
      <c r="Q64" s="39">
        <v>0.14756903624423662</v>
      </c>
      <c r="R64" s="39">
        <v>6.2727613311496295</v>
      </c>
      <c r="T64" s="42">
        <v>7.747133560582585E-2</v>
      </c>
      <c r="U64" s="26">
        <v>7.7471335605825849E-5</v>
      </c>
      <c r="V64" s="44">
        <v>4.8559999999999999</v>
      </c>
      <c r="AR64" s="39"/>
    </row>
    <row r="65" spans="1:44" x14ac:dyDescent="0.25">
      <c r="A65" s="26">
        <v>1886</v>
      </c>
      <c r="B65" s="39">
        <v>2.8970270603829094E-2</v>
      </c>
      <c r="C65" s="39">
        <v>1.3715248266412055</v>
      </c>
      <c r="D65" s="39">
        <v>9.2332922610159421E-3</v>
      </c>
      <c r="E65" s="39">
        <v>1.3564608264310638E-2</v>
      </c>
      <c r="I65" s="39">
        <v>1.4859085160689388E-2</v>
      </c>
      <c r="J65" s="39">
        <v>3.3242104583583433E-2</v>
      </c>
      <c r="K65" s="39">
        <v>0.96913446636014655</v>
      </c>
      <c r="L65" s="39">
        <v>1.2312120171811852E-2</v>
      </c>
      <c r="M65" s="39">
        <v>2.9588102468270653E-2</v>
      </c>
      <c r="N65" s="41">
        <v>3.4341553524278647</v>
      </c>
      <c r="O65" s="39">
        <v>1.8928999933570775E-2</v>
      </c>
      <c r="P65" s="39">
        <v>7.3029407962548509</v>
      </c>
      <c r="Q65" s="39">
        <v>0.14194627493964476</v>
      </c>
      <c r="R65" s="39">
        <v>5.0918891775875217</v>
      </c>
      <c r="T65" s="42">
        <v>7.7863427548080663E-2</v>
      </c>
      <c r="U65" s="26">
        <v>7.7863427548080662E-5</v>
      </c>
      <c r="V65" s="43">
        <v>4.8613999999999997</v>
      </c>
      <c r="AR65" s="39"/>
    </row>
    <row r="66" spans="1:44" x14ac:dyDescent="0.25">
      <c r="A66" s="26">
        <v>1887</v>
      </c>
      <c r="B66" s="39">
        <v>3.0719920316320252E-2</v>
      </c>
      <c r="C66" s="39">
        <v>1.4536400667451905</v>
      </c>
      <c r="D66" s="47">
        <v>9.7737541321712279E-3</v>
      </c>
      <c r="E66" s="39">
        <v>1.3972443675117097E-2</v>
      </c>
      <c r="I66" s="39">
        <v>1.1964182397449936E-2</v>
      </c>
      <c r="J66" s="39">
        <v>3.0406748582092902E-2</v>
      </c>
      <c r="K66" s="39">
        <v>0.9261848108525621</v>
      </c>
      <c r="L66" s="39">
        <v>1.1867254908311827E-2</v>
      </c>
      <c r="M66" s="39">
        <v>3.0852655198204935E-2</v>
      </c>
      <c r="N66" s="41">
        <v>3.527805799445304</v>
      </c>
      <c r="O66" s="39">
        <v>1.9453898036296234E-2</v>
      </c>
      <c r="P66" s="39">
        <v>7.2590264646861575</v>
      </c>
      <c r="Q66" s="39">
        <v>0.15167183350167757</v>
      </c>
      <c r="R66" s="39">
        <v>5.2669742248119764</v>
      </c>
      <c r="T66" s="42">
        <v>9.3492894540014956E-2</v>
      </c>
      <c r="U66" s="26">
        <v>9.3492894540014957E-5</v>
      </c>
      <c r="V66" s="43">
        <v>4.8517999999999999</v>
      </c>
      <c r="AR66" s="39"/>
    </row>
    <row r="67" spans="1:44" x14ac:dyDescent="0.25">
      <c r="A67" s="26">
        <v>1888</v>
      </c>
      <c r="B67" s="39">
        <v>3.3773623470398133E-2</v>
      </c>
      <c r="C67" s="39">
        <v>1.8677335686019712</v>
      </c>
      <c r="D67" s="48">
        <v>9.8188479931882646E-3</v>
      </c>
      <c r="E67" s="39">
        <v>1.3811772138147329E-2</v>
      </c>
      <c r="G67" s="49">
        <v>1.040671158009231E-2</v>
      </c>
      <c r="H67" s="49">
        <v>9.2309844062842192E-3</v>
      </c>
      <c r="I67" s="39">
        <v>1.1531790211367922E-2</v>
      </c>
      <c r="J67" s="39">
        <v>2.5230077144909761E-2</v>
      </c>
      <c r="K67" s="39">
        <v>1.1224102158079232</v>
      </c>
      <c r="L67" s="39">
        <v>1.1706186128561384E-2</v>
      </c>
      <c r="M67" s="39">
        <v>2.7354024197790636E-2</v>
      </c>
      <c r="N67" s="41">
        <v>3.5712677168821503</v>
      </c>
      <c r="O67" s="39">
        <v>2.0838888700687213E-2</v>
      </c>
      <c r="P67" s="39">
        <v>7.3218092342856105</v>
      </c>
      <c r="Q67" s="39">
        <v>0.20980125126822702</v>
      </c>
      <c r="R67" s="39">
        <v>5.1038719065607143</v>
      </c>
      <c r="T67" s="42">
        <v>0.10520778537611783</v>
      </c>
      <c r="U67" s="26">
        <v>1.0520778537611783E-4</v>
      </c>
      <c r="V67" s="43">
        <v>4.8703000000000003</v>
      </c>
      <c r="AR67" s="39"/>
    </row>
    <row r="68" spans="1:44" x14ac:dyDescent="0.25">
      <c r="A68" s="26">
        <v>1889</v>
      </c>
      <c r="B68" s="39">
        <v>3.260238071205885E-2</v>
      </c>
      <c r="C68" s="39">
        <v>2.1261367159207714</v>
      </c>
      <c r="D68" s="41">
        <v>1.0280337612599713E-2</v>
      </c>
      <c r="E68" s="39">
        <v>1.3833206172188077E-2</v>
      </c>
      <c r="G68" s="39">
        <v>1.0944192990585725E-2</v>
      </c>
      <c r="H68" s="39">
        <v>9.6164822346137008E-3</v>
      </c>
      <c r="I68" s="39">
        <v>1.2796294803457552E-2</v>
      </c>
      <c r="J68" s="39">
        <v>2.2647216163661159E-2</v>
      </c>
      <c r="K68" s="39">
        <v>1.1752047919425328</v>
      </c>
      <c r="L68" s="39">
        <v>1.3460634326818191E-2</v>
      </c>
      <c r="M68" s="39">
        <v>3.5250055078211065E-2</v>
      </c>
      <c r="N68" s="41">
        <v>3.5654509247456474</v>
      </c>
      <c r="O68" s="39">
        <v>2.2772893550739481E-2</v>
      </c>
      <c r="P68" s="39">
        <v>7.9424277578569935</v>
      </c>
      <c r="Q68" s="39">
        <v>0.22979003338370552</v>
      </c>
      <c r="R68" s="39">
        <v>5.7782876665242036</v>
      </c>
      <c r="T68" s="42">
        <v>0.11015642211940957</v>
      </c>
      <c r="U68" s="26">
        <v>1.1015642211940957E-4</v>
      </c>
      <c r="V68" s="43">
        <v>4.8686999999999996</v>
      </c>
      <c r="AR68" s="39"/>
    </row>
    <row r="69" spans="1:44" s="30" customFormat="1" x14ac:dyDescent="0.25">
      <c r="A69" s="30">
        <v>1890</v>
      </c>
      <c r="B69" s="39">
        <v>3.0542946733594339E-2</v>
      </c>
      <c r="C69" s="39">
        <v>1.9528097226798855</v>
      </c>
      <c r="D69" s="41">
        <v>1.0003763556453393E-2</v>
      </c>
      <c r="E69" s="39">
        <v>1.391673840867853E-2</v>
      </c>
      <c r="F69" s="26"/>
      <c r="G69" s="39">
        <v>1.0594882789622629E-2</v>
      </c>
      <c r="H69" s="39">
        <v>9.4126443232841559E-3</v>
      </c>
      <c r="I69" s="39">
        <v>1.1921147751854705E-2</v>
      </c>
      <c r="J69" s="39">
        <v>2.1297458884017347E-2</v>
      </c>
      <c r="K69" s="41">
        <v>1.0029622169083681</v>
      </c>
      <c r="L69" s="39">
        <v>1.183338689214306E-2</v>
      </c>
      <c r="M69" s="41">
        <v>3.3844128983736017E-2</v>
      </c>
      <c r="N69" s="41">
        <v>3.6454197846607581</v>
      </c>
      <c r="O69" s="39">
        <v>1.8733518724477413E-2</v>
      </c>
      <c r="P69" s="39">
        <v>8.7654906014425915</v>
      </c>
      <c r="Q69" s="39">
        <v>0.19123921653793002</v>
      </c>
      <c r="R69" s="39">
        <v>6.6516987146282007</v>
      </c>
      <c r="T69" s="42">
        <v>9.4011469399266703E-2</v>
      </c>
      <c r="U69" s="30">
        <v>9.4011469399266708E-5</v>
      </c>
      <c r="V69" s="44">
        <v>4.8605</v>
      </c>
      <c r="AR69" s="41"/>
    </row>
    <row r="70" spans="1:44" x14ac:dyDescent="0.25">
      <c r="A70" s="30">
        <v>1891</v>
      </c>
      <c r="B70" s="39">
        <v>2.929116516411661E-2</v>
      </c>
      <c r="C70" s="39">
        <v>1.6054483840173448</v>
      </c>
      <c r="D70" s="41">
        <v>9.1567215398915876E-3</v>
      </c>
      <c r="E70" s="39">
        <v>1.329787876848609E-2</v>
      </c>
      <c r="F70" s="39">
        <v>1.359828576930093E-2</v>
      </c>
      <c r="G70" s="39">
        <v>9.3247024816414253E-3</v>
      </c>
      <c r="H70" s="39">
        <v>8.9887405981417499E-3</v>
      </c>
      <c r="I70" s="39">
        <v>1.2597725349673017E-2</v>
      </c>
      <c r="J70" s="39"/>
      <c r="K70" s="39">
        <v>0.94657023088666292</v>
      </c>
      <c r="L70" s="39">
        <v>1.3182763714753257E-2</v>
      </c>
      <c r="M70" s="39">
        <v>3.2296130675113346E-2</v>
      </c>
      <c r="N70" s="41">
        <v>3.2269467536347083</v>
      </c>
      <c r="O70" s="39">
        <v>1.8827027881921699E-2</v>
      </c>
      <c r="P70" s="39">
        <v>7.3397899904022763</v>
      </c>
      <c r="Q70" s="39">
        <v>0.13953247646695618</v>
      </c>
      <c r="R70" s="39">
        <v>5.88101444145709</v>
      </c>
      <c r="T70" s="42">
        <v>6.2107943605987211E-2</v>
      </c>
      <c r="U70" s="26">
        <v>6.2107943605987204E-5</v>
      </c>
      <c r="V70" s="43">
        <v>4.8611000000000004</v>
      </c>
      <c r="AR70" s="39"/>
    </row>
    <row r="71" spans="1:44" x14ac:dyDescent="0.25">
      <c r="A71" s="30">
        <v>1892</v>
      </c>
      <c r="B71" s="39">
        <v>2.6862325930090004E-2</v>
      </c>
      <c r="C71" s="39">
        <v>1.4715722237212296</v>
      </c>
      <c r="D71" s="41">
        <v>8.0498343694901595E-3</v>
      </c>
      <c r="E71" s="39">
        <v>1.2440719335254705E-2</v>
      </c>
      <c r="F71" s="39">
        <v>1.2140533719649694E-2</v>
      </c>
      <c r="G71" s="39">
        <v>9.0221075241081004E-3</v>
      </c>
      <c r="H71" s="39">
        <v>7.0775612148722194E-3</v>
      </c>
      <c r="I71" s="39">
        <v>1.3793606453777805E-2</v>
      </c>
      <c r="J71" s="39"/>
      <c r="K71" s="39">
        <v>1.1205668081182256</v>
      </c>
      <c r="L71" s="39">
        <v>1.326019987762219E-2</v>
      </c>
      <c r="M71" s="39">
        <v>2.6067776218167235E-2</v>
      </c>
      <c r="N71" s="41">
        <v>2.9899633027335852</v>
      </c>
      <c r="O71" s="39">
        <v>1.8442075100820788E-2</v>
      </c>
      <c r="P71" s="39">
        <v>7.6275498676069828</v>
      </c>
      <c r="Q71" s="39">
        <v>0.1284153169923643</v>
      </c>
      <c r="R71" s="39">
        <v>5.1542535452723239</v>
      </c>
      <c r="T71" s="42">
        <v>5.0130338881090836E-2</v>
      </c>
      <c r="U71" s="26">
        <v>5.0130338881090835E-5</v>
      </c>
      <c r="V71" s="44">
        <v>4.8731</v>
      </c>
      <c r="AR71" s="39"/>
    </row>
    <row r="72" spans="1:44" x14ac:dyDescent="0.25">
      <c r="A72" s="30">
        <v>1893</v>
      </c>
      <c r="B72" s="39">
        <v>2.6806118517746991E-2</v>
      </c>
      <c r="C72" s="39">
        <v>1.3296527267923199</v>
      </c>
      <c r="D72" s="41">
        <v>9.209300111533307E-3</v>
      </c>
      <c r="E72" s="39">
        <v>1.3586007744616548E-2</v>
      </c>
      <c r="F72" s="39">
        <v>1.3559708378376728E-2</v>
      </c>
      <c r="G72" s="39">
        <v>1.0074443512463406E-2</v>
      </c>
      <c r="H72" s="39">
        <v>8.3441567106032084E-3</v>
      </c>
      <c r="I72" s="39">
        <v>1.3374830164197351E-2</v>
      </c>
      <c r="J72" s="39"/>
      <c r="K72" s="39">
        <v>1.030724032776611</v>
      </c>
      <c r="L72" s="39">
        <v>1.0765769847510818E-2</v>
      </c>
      <c r="M72" s="39">
        <v>3.864547606395826E-2</v>
      </c>
      <c r="N72" s="41">
        <v>2.9267080350708179</v>
      </c>
      <c r="O72" s="39">
        <v>2.4876887618045029E-2</v>
      </c>
      <c r="P72" s="39">
        <v>7.7289664587007225</v>
      </c>
      <c r="Q72" s="39">
        <v>0.11680066469509369</v>
      </c>
      <c r="R72" s="39">
        <v>4.771540495886649</v>
      </c>
      <c r="T72" s="42">
        <v>4.8306845079947827E-2</v>
      </c>
      <c r="U72" s="26">
        <v>4.8306845079947828E-5</v>
      </c>
      <c r="V72" s="43">
        <v>4.8639000000000001</v>
      </c>
      <c r="AR72" s="39"/>
    </row>
    <row r="73" spans="1:44" x14ac:dyDescent="0.25">
      <c r="A73" s="30">
        <v>1894</v>
      </c>
      <c r="B73" s="39">
        <v>2.8110508443372494E-2</v>
      </c>
      <c r="C73" s="39">
        <v>1.3506517235664568</v>
      </c>
      <c r="D73" s="41">
        <v>9.2964142283524943E-3</v>
      </c>
      <c r="E73" s="39">
        <v>1.3363875768301723E-2</v>
      </c>
      <c r="F73" s="39">
        <v>1.3571077326475148E-2</v>
      </c>
      <c r="G73" s="39">
        <v>9.7364280584932763E-3</v>
      </c>
      <c r="H73" s="39">
        <v>8.8564003982117123E-3</v>
      </c>
      <c r="I73" s="39">
        <v>1.226379567737681E-2</v>
      </c>
      <c r="J73" s="39"/>
      <c r="K73" s="39">
        <v>0.87601438194859527</v>
      </c>
      <c r="L73" s="39">
        <v>9.4320105756265683E-3</v>
      </c>
      <c r="M73" s="39">
        <v>2.7757917315052363E-2</v>
      </c>
      <c r="N73" s="41">
        <v>2.7146077756938807</v>
      </c>
      <c r="O73" s="39">
        <v>2.1068632943043519E-2</v>
      </c>
      <c r="P73" s="39">
        <v>7.5798661735864652</v>
      </c>
      <c r="Q73" s="39">
        <v>0.11474203594915594</v>
      </c>
      <c r="R73" s="39">
        <v>4.5908646484466997</v>
      </c>
      <c r="T73" s="42">
        <v>4.2057450477352064E-2</v>
      </c>
      <c r="U73" s="26">
        <v>4.2057450477352063E-5</v>
      </c>
      <c r="V73" s="43">
        <v>4.8769</v>
      </c>
      <c r="AR73" s="39"/>
    </row>
    <row r="74" spans="1:44" x14ac:dyDescent="0.25">
      <c r="A74" s="30">
        <v>1895</v>
      </c>
      <c r="B74" s="39">
        <v>2.715839793812409E-2</v>
      </c>
      <c r="C74" s="39">
        <v>1.196000577549629</v>
      </c>
      <c r="D74" s="41">
        <v>9.0738754918271158E-3</v>
      </c>
      <c r="E74" s="39">
        <v>1.2685551730965224E-2</v>
      </c>
      <c r="F74" s="39">
        <v>1.353116884483891E-2</v>
      </c>
      <c r="G74" s="39">
        <v>9.6986712056275556E-3</v>
      </c>
      <c r="H74" s="39">
        <v>8.4490797780266778E-3</v>
      </c>
      <c r="I74" s="39">
        <v>1.1849201890248776E-2</v>
      </c>
      <c r="J74" s="39"/>
      <c r="K74" s="39">
        <v>0.85193084502228966</v>
      </c>
      <c r="L74" s="39">
        <v>8.5972694046455161E-3</v>
      </c>
      <c r="M74" s="39">
        <v>2.2359322595337669E-2</v>
      </c>
      <c r="N74" s="41">
        <v>2.814467213056159</v>
      </c>
      <c r="O74" s="39">
        <v>1.9696516260659228E-2</v>
      </c>
      <c r="P74" s="39">
        <v>6.8120753113525456</v>
      </c>
      <c r="Q74" s="39">
        <v>0.1036343323858339</v>
      </c>
      <c r="R74" s="39">
        <v>4.0281844405330478</v>
      </c>
      <c r="T74" s="42">
        <v>4.1406152954329013E-2</v>
      </c>
      <c r="U74" s="26">
        <v>4.1406152954329015E-5</v>
      </c>
      <c r="V74" s="44">
        <v>4.8883000000000001</v>
      </c>
      <c r="AR74" s="39"/>
    </row>
    <row r="75" spans="1:44" x14ac:dyDescent="0.25">
      <c r="A75" s="30">
        <v>1896</v>
      </c>
      <c r="B75" s="39">
        <v>2.7447934190376194E-2</v>
      </c>
      <c r="C75" s="39">
        <v>1.3230127580970024</v>
      </c>
      <c r="D75" s="41">
        <v>9.109454394043117E-3</v>
      </c>
      <c r="E75" s="39">
        <v>1.2601797841874096E-2</v>
      </c>
      <c r="F75" s="39">
        <v>1.3583612760877861E-2</v>
      </c>
      <c r="G75" s="39">
        <v>9.3641415220011414E-3</v>
      </c>
      <c r="H75" s="39">
        <v>8.8547672660850944E-3</v>
      </c>
      <c r="I75" s="39">
        <v>1.2392436094074838E-2</v>
      </c>
      <c r="J75" s="39"/>
      <c r="K75" s="39">
        <v>0.82487038649040878</v>
      </c>
      <c r="L75" s="39">
        <v>9.9418411151205276E-3</v>
      </c>
      <c r="M75" s="39">
        <v>2.7942453649511007E-2</v>
      </c>
      <c r="N75" s="41">
        <v>2.8511505207850405</v>
      </c>
      <c r="O75" s="39">
        <v>1.5730497902329225E-2</v>
      </c>
      <c r="P75" s="39">
        <v>7.0060628260582085</v>
      </c>
      <c r="Q75" s="39">
        <v>0.12685609313384036</v>
      </c>
      <c r="R75" s="39">
        <v>4.9544043636180435</v>
      </c>
      <c r="T75" s="42">
        <v>3.7760072499339201E-2</v>
      </c>
      <c r="U75" s="26">
        <v>3.7760072499339198E-5</v>
      </c>
      <c r="V75" s="43">
        <v>4.8712</v>
      </c>
      <c r="AR75" s="39"/>
    </row>
    <row r="76" spans="1:44" x14ac:dyDescent="0.25">
      <c r="A76" s="30">
        <v>1897</v>
      </c>
      <c r="B76" s="39">
        <v>2.7034963048944156E-2</v>
      </c>
      <c r="C76" s="39">
        <v>1.3466684063547749</v>
      </c>
      <c r="D76" s="41">
        <v>8.1589810851682831E-3</v>
      </c>
      <c r="E76" s="39">
        <v>1.1501086509949627E-2</v>
      </c>
      <c r="F76" s="39">
        <v>1.184485703791866E-2</v>
      </c>
      <c r="G76" s="39">
        <v>8.7722553330972629E-3</v>
      </c>
      <c r="H76" s="39">
        <v>7.5457068372393023E-3</v>
      </c>
      <c r="I76" s="39">
        <v>9.8477471631895613E-3</v>
      </c>
      <c r="J76" s="39"/>
      <c r="K76" s="39">
        <v>0.75158766198746052</v>
      </c>
      <c r="L76" s="39">
        <v>1.1277957758075552E-2</v>
      </c>
      <c r="M76" s="39">
        <v>2.5407648023670921E-2</v>
      </c>
      <c r="N76" s="41">
        <v>2.7918093911045547</v>
      </c>
      <c r="O76" s="39">
        <v>1.2867809116622119E-2</v>
      </c>
      <c r="P76" s="39">
        <v>7.1500351578494268</v>
      </c>
      <c r="Q76" s="39">
        <v>0.12799867060438166</v>
      </c>
      <c r="R76" s="39">
        <v>5.0741898411974953</v>
      </c>
      <c r="T76" s="42">
        <v>3.2161579776798635E-2</v>
      </c>
      <c r="U76" s="26">
        <v>3.2161579776798632E-5</v>
      </c>
      <c r="V76" s="43">
        <v>4.8632999999999997</v>
      </c>
      <c r="AR76" s="39"/>
    </row>
    <row r="77" spans="1:44" x14ac:dyDescent="0.25">
      <c r="A77" s="30">
        <v>1898</v>
      </c>
      <c r="B77" s="39">
        <v>2.7250016713233433E-2</v>
      </c>
      <c r="C77" s="39">
        <v>1.4807954771129712</v>
      </c>
      <c r="D77" s="41">
        <v>7.6048040676066405E-3</v>
      </c>
      <c r="E77" s="39">
        <v>1.0683092534149412E-2</v>
      </c>
      <c r="F77" s="39">
        <v>1.1147061257690067E-2</v>
      </c>
      <c r="G77" s="39">
        <v>8.5119378118212307E-3</v>
      </c>
      <c r="H77" s="39">
        <v>6.6976703233920503E-3</v>
      </c>
      <c r="I77" s="39">
        <v>1.2413816334479381E-2</v>
      </c>
      <c r="J77" s="39"/>
      <c r="K77" s="39">
        <v>0.7759347245892747</v>
      </c>
      <c r="L77" s="39">
        <v>1.2761965193956086E-2</v>
      </c>
      <c r="M77" s="39">
        <v>2.9349225839298013E-2</v>
      </c>
      <c r="N77" s="41">
        <v>3.2555969087182599</v>
      </c>
      <c r="O77" s="39">
        <v>1.4155474245126243E-2</v>
      </c>
      <c r="P77" s="39">
        <v>7.6662864325674498</v>
      </c>
      <c r="Q77" s="39">
        <v>0.13521339001921401</v>
      </c>
      <c r="R77" s="39">
        <v>4.8796299651179629</v>
      </c>
      <c r="T77" s="42">
        <v>2.994818963193675E-2</v>
      </c>
      <c r="U77" s="26">
        <v>2.9948189631936749E-5</v>
      </c>
      <c r="V77" s="43">
        <v>4.8476999999999997</v>
      </c>
      <c r="AR77" s="39"/>
    </row>
    <row r="78" spans="1:44" x14ac:dyDescent="0.25">
      <c r="A78" s="30">
        <v>1899</v>
      </c>
      <c r="B78" s="39">
        <v>2.6635052549529026E-2</v>
      </c>
      <c r="C78" s="39">
        <v>1.4392347899966755</v>
      </c>
      <c r="D78" s="41">
        <v>8.8137708037450344E-3</v>
      </c>
      <c r="E78" s="39">
        <v>1.0843240108483164E-2</v>
      </c>
      <c r="F78" s="39">
        <v>1.2286459384608163E-2</v>
      </c>
      <c r="G78" s="39">
        <v>9.8570859629596511E-3</v>
      </c>
      <c r="H78" s="39">
        <v>7.7704556445304168E-3</v>
      </c>
      <c r="I78" s="39">
        <v>1.3383653448764561E-2</v>
      </c>
      <c r="J78" s="39"/>
      <c r="K78" s="39">
        <v>0.86588779820967376</v>
      </c>
      <c r="L78" s="39">
        <v>1.0340305112778201E-2</v>
      </c>
      <c r="M78" s="39">
        <v>2.9130124887663082E-2</v>
      </c>
      <c r="N78" s="41">
        <v>3.2811753557881307</v>
      </c>
      <c r="O78" s="39">
        <v>1.4844511609043294E-2</v>
      </c>
      <c r="P78" s="39">
        <v>8.752189334880752</v>
      </c>
      <c r="Q78" s="39">
        <v>0.11478992088497568</v>
      </c>
      <c r="R78" s="39">
        <v>5.1112926088334989</v>
      </c>
      <c r="T78" s="42">
        <v>3.0989494561343707E-2</v>
      </c>
      <c r="U78" s="26">
        <v>3.0989494561343705E-5</v>
      </c>
      <c r="V78" s="43">
        <v>4.8638000000000003</v>
      </c>
      <c r="AR78" s="39"/>
    </row>
    <row r="79" spans="1:44" x14ac:dyDescent="0.25">
      <c r="A79" s="30">
        <v>1900</v>
      </c>
      <c r="B79" s="39">
        <v>3.2047303026444068E-2</v>
      </c>
      <c r="C79" s="39">
        <v>1.9003006674124285</v>
      </c>
      <c r="D79" s="41">
        <v>9.8799105786307219E-3</v>
      </c>
      <c r="E79" s="39">
        <v>1.1671576526826604E-2</v>
      </c>
      <c r="F79" s="39">
        <v>1.3525843147751605E-2</v>
      </c>
      <c r="G79" s="39">
        <v>1.1107237350678215E-2</v>
      </c>
      <c r="H79" s="39">
        <v>8.6525838065832292E-3</v>
      </c>
      <c r="I79" s="39">
        <v>1.1191495773480935E-2</v>
      </c>
      <c r="J79" s="39"/>
      <c r="K79" s="39">
        <v>1.1060180247962617</v>
      </c>
      <c r="L79" s="39">
        <v>1.0158525517053563E-2</v>
      </c>
      <c r="M79" s="39">
        <v>3.4437715235720222E-2</v>
      </c>
      <c r="N79" s="41">
        <v>3.0518734548389013</v>
      </c>
      <c r="O79" s="39">
        <v>1.6542580331133171E-2</v>
      </c>
      <c r="P79" s="39">
        <v>11.369032340295577</v>
      </c>
      <c r="Q79" s="39">
        <v>0.14679722600119424</v>
      </c>
      <c r="R79" s="39">
        <v>7.1618932093666432</v>
      </c>
      <c r="T79" s="42">
        <v>3.95835807307129E-2</v>
      </c>
      <c r="U79" s="26">
        <v>3.9583580730712898E-5</v>
      </c>
      <c r="V79" s="44">
        <v>4.8651999999999997</v>
      </c>
      <c r="X79" s="26">
        <f>273278*T79</f>
        <v>10817.321774927759</v>
      </c>
      <c r="AR79" s="39"/>
    </row>
    <row r="80" spans="1:44" s="30" customFormat="1" x14ac:dyDescent="0.25">
      <c r="A80" s="30">
        <v>1901</v>
      </c>
      <c r="B80" s="39">
        <v>3.0360502631737105E-2</v>
      </c>
      <c r="C80" s="39">
        <v>1.5848202210945279</v>
      </c>
      <c r="D80" s="41">
        <v>1.1439178172663367E-2</v>
      </c>
      <c r="E80" s="39">
        <v>1.1831275431474079E-2</v>
      </c>
      <c r="F80" s="39">
        <v>1.3211119703519649E-2</v>
      </c>
      <c r="G80" s="39">
        <v>1.1884589897436822E-2</v>
      </c>
      <c r="H80" s="39">
        <v>1.0993766447889913E-2</v>
      </c>
      <c r="I80" s="39">
        <v>1.1451875723249039E-2</v>
      </c>
      <c r="J80" s="39"/>
      <c r="K80" s="41">
        <v>1.1798278545393965</v>
      </c>
      <c r="L80" s="39">
        <v>9.9673200271655892E-3</v>
      </c>
      <c r="M80" s="41">
        <v>3.5546708374804496E-2</v>
      </c>
      <c r="N80" s="41">
        <v>3.1352960260912295</v>
      </c>
      <c r="O80" s="39">
        <v>1.8697908790175029E-2</v>
      </c>
      <c r="P80" s="39">
        <v>10.813409596083888</v>
      </c>
      <c r="Q80" s="39">
        <v>0.11748664921526586</v>
      </c>
      <c r="R80" s="39">
        <v>5.6092892600116038</v>
      </c>
      <c r="T80" s="42">
        <v>4.739561116640599E-2</v>
      </c>
      <c r="U80" s="30">
        <v>4.7395611166405993E-5</v>
      </c>
      <c r="V80" s="43">
        <v>4.8727</v>
      </c>
      <c r="AR80" s="41"/>
    </row>
    <row r="81" spans="1:44" x14ac:dyDescent="0.25">
      <c r="A81" s="30">
        <v>1902</v>
      </c>
      <c r="B81" s="39">
        <v>2.8845245623001999E-2</v>
      </c>
      <c r="C81" s="39">
        <v>1.3838898691070582</v>
      </c>
      <c r="D81" s="41">
        <v>1.04794916670399E-2</v>
      </c>
      <c r="E81" s="39">
        <v>1.1580564627367321E-2</v>
      </c>
      <c r="F81" s="39">
        <v>1.2582221440448413E-2</v>
      </c>
      <c r="G81" s="39">
        <v>1.0978330507960181E-2</v>
      </c>
      <c r="H81" s="39">
        <v>9.9806528261196185E-3</v>
      </c>
      <c r="I81" s="39">
        <v>1.7410636871541488E-2</v>
      </c>
      <c r="J81" s="39"/>
      <c r="K81" s="39">
        <v>1.0260812805771651</v>
      </c>
      <c r="L81" s="39">
        <v>9.7845185940792882E-3</v>
      </c>
      <c r="M81" s="39">
        <v>3.0420905645322162E-2</v>
      </c>
      <c r="N81" s="41">
        <v>2.6877867257922001</v>
      </c>
      <c r="O81" s="39">
        <v>2.2274588228380601E-2</v>
      </c>
      <c r="P81" s="39">
        <v>8.7690138047462547</v>
      </c>
      <c r="Q81" s="39">
        <v>0.10184454247909375</v>
      </c>
      <c r="R81" s="39">
        <v>5.7929952672814036</v>
      </c>
      <c r="T81" s="42">
        <v>4.9870337123478957E-2</v>
      </c>
      <c r="U81" s="26">
        <v>4.9870337123478956E-5</v>
      </c>
      <c r="V81" s="43">
        <v>4.8719000000000001</v>
      </c>
      <c r="AR81" s="39"/>
    </row>
    <row r="82" spans="1:44" x14ac:dyDescent="0.25">
      <c r="A82" s="30">
        <v>1903</v>
      </c>
      <c r="B82" s="39">
        <v>3.0266553817908756E-2</v>
      </c>
      <c r="C82" s="39">
        <v>1.2368329470189483</v>
      </c>
      <c r="D82" s="41">
        <v>1.0636814191305344E-2</v>
      </c>
      <c r="E82" s="39">
        <v>1.1195940728595906E-2</v>
      </c>
      <c r="F82" s="39">
        <v>1.275327923673291E-2</v>
      </c>
      <c r="G82" s="39">
        <v>1.110356729259443E-2</v>
      </c>
      <c r="H82" s="39">
        <v>1.0170061090016258E-2</v>
      </c>
      <c r="I82" s="39">
        <v>1.6251766032509468E-2</v>
      </c>
      <c r="J82" s="39"/>
      <c r="K82" s="39">
        <v>1.1303539404900402</v>
      </c>
      <c r="L82" s="39">
        <v>9.8629619633417188E-3</v>
      </c>
      <c r="M82" s="39">
        <v>3.2500000000000001E-2</v>
      </c>
      <c r="N82" s="41">
        <v>2.8917096876313102</v>
      </c>
      <c r="O82" s="39">
        <v>2.4633490921930009E-2</v>
      </c>
      <c r="P82" s="39">
        <v>8.6610048054255753</v>
      </c>
      <c r="Q82" s="39">
        <v>8.8945306168704275E-2</v>
      </c>
      <c r="R82" s="39">
        <v>5.8690367691136434</v>
      </c>
      <c r="T82" s="42">
        <v>0.05</v>
      </c>
      <c r="U82" s="26">
        <v>5.0000000000000002E-5</v>
      </c>
      <c r="V82" s="43">
        <v>4.8631000000000002</v>
      </c>
      <c r="AR82" s="39"/>
    </row>
    <row r="83" spans="1:44" x14ac:dyDescent="0.25">
      <c r="A83" s="30">
        <v>1904</v>
      </c>
      <c r="B83" s="39">
        <v>3.4243276173398514E-2</v>
      </c>
      <c r="C83" s="39">
        <v>1.1973222975114506</v>
      </c>
      <c r="D83" s="41">
        <v>1.0825288040065419E-2</v>
      </c>
      <c r="E83" s="39">
        <v>1.2408140090399646E-2</v>
      </c>
      <c r="F83" s="39">
        <v>1.379288169801977E-2</v>
      </c>
      <c r="G83" s="39">
        <v>1.2385163256453691E-2</v>
      </c>
      <c r="H83" s="39">
        <v>9.2654128236771462E-3</v>
      </c>
      <c r="I83" s="39">
        <v>1.3142758098457882E-2</v>
      </c>
      <c r="J83" s="39"/>
      <c r="K83" s="39">
        <v>1.3966657732161232</v>
      </c>
      <c r="L83" s="39">
        <v>1.1547726656218876E-2</v>
      </c>
      <c r="M83" s="39">
        <v>3.411057937073618E-2</v>
      </c>
      <c r="N83" s="41">
        <v>2.653607150811772</v>
      </c>
      <c r="O83" s="39">
        <v>1.9227371890033415E-2</v>
      </c>
      <c r="P83" s="39">
        <v>8.1159340213987452</v>
      </c>
      <c r="Q83" s="39">
        <v>8.8391852139931143E-2</v>
      </c>
      <c r="R83" s="39">
        <v>4.8476178827725116</v>
      </c>
      <c r="T83" s="42">
        <v>5.0911312493636091E-2</v>
      </c>
      <c r="U83" s="26">
        <v>5.0911312493636091E-5</v>
      </c>
      <c r="V83" s="43">
        <v>4.8676000000000004</v>
      </c>
      <c r="AR83" s="39"/>
    </row>
    <row r="84" spans="1:44" x14ac:dyDescent="0.25">
      <c r="A84" s="30">
        <v>1905</v>
      </c>
      <c r="B84" s="39">
        <v>3.0172514504248547E-2</v>
      </c>
      <c r="C84" s="39">
        <v>1.3068031045485624</v>
      </c>
      <c r="D84" s="41">
        <v>1.0770354456677594E-2</v>
      </c>
      <c r="E84" s="39">
        <v>1.2794658520873116E-2</v>
      </c>
      <c r="F84" s="39">
        <v>1.396667569281382E-2</v>
      </c>
      <c r="G84" s="39">
        <v>1.2272215634040882E-2</v>
      </c>
      <c r="H84" s="39">
        <v>9.268493279314307E-3</v>
      </c>
      <c r="I84" s="39">
        <v>1.1225484310502409E-2</v>
      </c>
      <c r="J84" s="39"/>
      <c r="K84" s="39">
        <v>1.6818653344265113</v>
      </c>
      <c r="L84" s="39">
        <v>1.3965111149673181E-2</v>
      </c>
      <c r="M84" s="39">
        <v>4.5024167383963455E-2</v>
      </c>
      <c r="N84" s="41">
        <v>2.4442194460186739</v>
      </c>
      <c r="O84" s="39">
        <v>1.914620061671829E-2</v>
      </c>
      <c r="P84" s="39">
        <v>8.3336229994292204</v>
      </c>
      <c r="Q84" s="39">
        <v>0.10708199563872216</v>
      </c>
      <c r="R84" s="39">
        <v>4.6597616232582579</v>
      </c>
      <c r="T84" s="42">
        <v>6.6212010858769779E-2</v>
      </c>
      <c r="U84" s="26">
        <v>6.6212010858769784E-5</v>
      </c>
      <c r="V84" s="44">
        <v>4.8651999999999997</v>
      </c>
      <c r="AR84" s="39"/>
    </row>
    <row r="85" spans="1:44" x14ac:dyDescent="0.25">
      <c r="A85" s="30">
        <v>1906</v>
      </c>
      <c r="B85" s="39">
        <v>2.6715552712174389E-2</v>
      </c>
      <c r="C85" s="39">
        <v>1.3758167665694261</v>
      </c>
      <c r="D85" s="41">
        <v>1.288600171281068E-2</v>
      </c>
      <c r="E85" s="39">
        <v>1.2157088480488737E-2</v>
      </c>
      <c r="F85" s="39">
        <v>1.5320955624509316E-2</v>
      </c>
      <c r="G85" s="39">
        <v>1.3324274181601639E-2</v>
      </c>
      <c r="H85" s="39">
        <v>1.244772924401972E-2</v>
      </c>
      <c r="I85" s="39">
        <v>1.1382953278918253E-2</v>
      </c>
      <c r="J85" s="39"/>
      <c r="K85" s="39">
        <v>1.2678333325188362</v>
      </c>
      <c r="L85" s="39">
        <v>1.1952288327490632E-2</v>
      </c>
      <c r="M85" s="39">
        <v>4.8563334682314857E-2</v>
      </c>
      <c r="N85" s="41">
        <v>2.5491695000142931</v>
      </c>
      <c r="O85" s="39">
        <v>2.017561452737315E-2</v>
      </c>
      <c r="P85" s="39">
        <v>8.6485195095405611</v>
      </c>
      <c r="Q85" s="39">
        <v>0.11496558016006997</v>
      </c>
      <c r="R85" s="39">
        <v>5.3513643957624248</v>
      </c>
      <c r="T85" s="42">
        <v>6.7449075947659518E-2</v>
      </c>
      <c r="U85" s="26">
        <v>6.7449075947659522E-5</v>
      </c>
      <c r="V85" s="43">
        <v>4.8507999999999996</v>
      </c>
      <c r="AR85" s="39"/>
    </row>
    <row r="86" spans="1:44" x14ac:dyDescent="0.25">
      <c r="A86" s="30">
        <v>1907</v>
      </c>
      <c r="B86" s="39">
        <v>2.21337843460572E-2</v>
      </c>
      <c r="C86" s="39">
        <v>1.418868620418495</v>
      </c>
      <c r="D86" s="41">
        <v>1.1920657861445982E-2</v>
      </c>
      <c r="E86" s="39">
        <v>1.3625098866411762E-2</v>
      </c>
      <c r="F86" s="39">
        <v>1.5360749985274896E-2</v>
      </c>
      <c r="G86" s="39">
        <v>1.3874954981390205E-2</v>
      </c>
      <c r="H86" s="39">
        <v>9.9663607415017563E-3</v>
      </c>
      <c r="I86" s="39">
        <v>1.2328470273165585E-2</v>
      </c>
      <c r="J86" s="39"/>
      <c r="K86" s="39">
        <v>1.4496570026163123</v>
      </c>
      <c r="L86" s="39">
        <v>1.0794821939960057E-2</v>
      </c>
      <c r="M86" s="39">
        <v>4.5656309448319603E-2</v>
      </c>
      <c r="N86" s="41">
        <v>2.338893906681176</v>
      </c>
      <c r="O86" s="39">
        <v>2.4405159546282484E-2</v>
      </c>
      <c r="P86" s="39">
        <v>8.8335947255637528</v>
      </c>
      <c r="Q86" s="39">
        <v>0.11300892826021103</v>
      </c>
      <c r="R86" s="39">
        <v>6.491631359858566</v>
      </c>
      <c r="T86" s="42">
        <v>6.3411540900443888E-2</v>
      </c>
      <c r="U86" s="26">
        <v>6.3411540900443894E-5</v>
      </c>
      <c r="V86" s="43">
        <v>4.8578999999999999</v>
      </c>
      <c r="AR86" s="39"/>
    </row>
    <row r="87" spans="1:44" x14ac:dyDescent="0.25">
      <c r="A87" s="30">
        <v>1908</v>
      </c>
      <c r="B87" s="39">
        <v>2.4451866039659906E-2</v>
      </c>
      <c r="C87" s="39">
        <v>1.3410059063136457</v>
      </c>
      <c r="D87" s="41">
        <v>1.3131708386481433E-2</v>
      </c>
      <c r="E87" s="39">
        <v>1.3375062110731894E-2</v>
      </c>
      <c r="F87" s="39">
        <v>1.5817843917901333E-2</v>
      </c>
      <c r="G87" s="39">
        <v>1.4298166373763511E-2</v>
      </c>
      <c r="H87" s="39">
        <v>1.1965250399199353E-2</v>
      </c>
      <c r="I87" s="39">
        <v>1.4961516506787537E-2</v>
      </c>
      <c r="J87" s="39"/>
      <c r="K87" s="39">
        <v>1.2672534003925762</v>
      </c>
      <c r="L87" s="39">
        <v>1.2958632278131257E-2</v>
      </c>
      <c r="M87" s="39">
        <v>4.988948531733501E-2</v>
      </c>
      <c r="N87" s="41">
        <v>2.2525459244671322</v>
      </c>
      <c r="O87" s="39">
        <v>2.3810752075850348E-2</v>
      </c>
      <c r="P87" s="39">
        <v>8.8116483112821378</v>
      </c>
      <c r="Q87" s="39">
        <v>9.6953831352788469E-2</v>
      </c>
      <c r="R87" s="39">
        <v>6.3110030302365372</v>
      </c>
      <c r="T87" s="42">
        <v>6.3151247237132932E-2</v>
      </c>
      <c r="U87" s="26">
        <v>6.3151247237132926E-5</v>
      </c>
      <c r="V87" s="43">
        <v>4.8655999999999997</v>
      </c>
      <c r="AR87" s="39"/>
    </row>
    <row r="88" spans="1:44" x14ac:dyDescent="0.25">
      <c r="A88" s="30">
        <v>1909</v>
      </c>
      <c r="B88" s="39">
        <v>2.2014032688045661E-2</v>
      </c>
      <c r="C88" s="39">
        <v>1.2991682837294292</v>
      </c>
      <c r="D88" s="41">
        <v>1.4945544978395779E-2</v>
      </c>
      <c r="E88" s="39">
        <v>1.270056715000337E-2</v>
      </c>
      <c r="F88" s="39">
        <v>1.520841655858193E-2</v>
      </c>
      <c r="G88" s="39">
        <v>1.3032475542773888E-2</v>
      </c>
      <c r="H88" s="39">
        <v>1.6858614414017668E-2</v>
      </c>
      <c r="I88" s="39">
        <v>1.686431273450089E-2</v>
      </c>
      <c r="J88" s="39"/>
      <c r="K88" s="39">
        <v>1.1710063066918741</v>
      </c>
      <c r="L88" s="39">
        <v>1.3825454227061383E-2</v>
      </c>
      <c r="M88" s="39">
        <v>4.7994947900221026E-2</v>
      </c>
      <c r="N88" s="41">
        <v>1.9770568670446846</v>
      </c>
      <c r="O88" s="39">
        <v>2.6178605330056118E-2</v>
      </c>
      <c r="P88" s="39">
        <v>8.3287384163466598</v>
      </c>
      <c r="Q88" s="39">
        <v>9.8408035393013626E-2</v>
      </c>
      <c r="R88" s="39">
        <v>5.9067863431333461</v>
      </c>
      <c r="T88" s="42">
        <v>6.3151247237132932E-2</v>
      </c>
      <c r="U88" s="26">
        <v>6.3151247237132926E-5</v>
      </c>
      <c r="V88" s="43">
        <v>4.8728999999999996</v>
      </c>
      <c r="AR88" s="39"/>
    </row>
    <row r="89" spans="1:44" x14ac:dyDescent="0.25">
      <c r="A89" s="30">
        <v>1910</v>
      </c>
      <c r="B89" s="39">
        <v>2.3306262186004938E-2</v>
      </c>
      <c r="C89" s="39">
        <v>1.558398859908072</v>
      </c>
      <c r="D89" s="41">
        <v>1.3163654925880029E-2</v>
      </c>
      <c r="E89" s="39">
        <v>1.3750650434220914E-2</v>
      </c>
      <c r="F89" s="39">
        <v>1.7604743186582811E-2</v>
      </c>
      <c r="G89" s="39">
        <v>1.4375169080084398E-2</v>
      </c>
      <c r="H89" s="39">
        <v>1.1952140771675661E-2</v>
      </c>
      <c r="I89" s="39">
        <v>2.1407801001886707E-2</v>
      </c>
      <c r="J89" s="39"/>
      <c r="K89" s="39">
        <v>1.6323582181256457</v>
      </c>
      <c r="L89" s="39">
        <v>1.4083563088648162E-2</v>
      </c>
      <c r="M89" s="39">
        <v>5.2763309206521003E-2</v>
      </c>
      <c r="N89" s="41">
        <v>2.0912936010559213</v>
      </c>
      <c r="O89" s="39">
        <v>3.0918106212187987E-2</v>
      </c>
      <c r="P89" s="39">
        <v>8.6997184146520201</v>
      </c>
      <c r="Q89" s="39">
        <v>0.12931857990484005</v>
      </c>
      <c r="R89" s="39">
        <v>6.0899803191327457</v>
      </c>
      <c r="T89" s="42">
        <v>6.7645268213488471E-2</v>
      </c>
      <c r="U89" s="26">
        <v>6.7645268213488468E-5</v>
      </c>
      <c r="V89" s="43">
        <v>4.8630000000000004</v>
      </c>
      <c r="AR89" s="39"/>
    </row>
    <row r="90" spans="1:44" x14ac:dyDescent="0.25">
      <c r="A90" s="30">
        <v>1911</v>
      </c>
      <c r="B90" s="39">
        <v>2.4540378893415149E-2</v>
      </c>
      <c r="C90" s="39">
        <v>1.6178371727757239</v>
      </c>
      <c r="D90" s="41">
        <v>1.356617982562365E-2</v>
      </c>
      <c r="E90" s="39">
        <v>1.3827334726988749E-2</v>
      </c>
      <c r="F90" s="39">
        <v>1.8092902446556942E-2</v>
      </c>
      <c r="G90" s="39">
        <v>1.5292746002666285E-2</v>
      </c>
      <c r="H90" s="39">
        <v>1.1839613648581014E-2</v>
      </c>
      <c r="I90" s="39">
        <v>1.7896523314906928E-2</v>
      </c>
      <c r="J90" s="39"/>
      <c r="K90" s="39">
        <v>1.3981067230226709</v>
      </c>
      <c r="L90" s="39">
        <v>1.3288072569720023E-2</v>
      </c>
      <c r="M90" s="39">
        <v>5.2356020942408377E-2</v>
      </c>
      <c r="N90" s="41">
        <v>2.2388632399793886</v>
      </c>
      <c r="O90" s="39">
        <v>2.634842576413924E-2</v>
      </c>
      <c r="P90" s="39">
        <v>8.8724797773011446</v>
      </c>
      <c r="Q90" s="39">
        <v>0.13968577729229212</v>
      </c>
      <c r="R90" s="39">
        <v>6.4799625135556367</v>
      </c>
      <c r="T90" s="42">
        <v>6.7123103772318435E-2</v>
      </c>
      <c r="U90" s="26">
        <v>6.712310377231843E-5</v>
      </c>
      <c r="V90" s="43">
        <v>4.8623000000000003</v>
      </c>
      <c r="AR90" s="39"/>
    </row>
    <row r="91" spans="1:44" x14ac:dyDescent="0.25">
      <c r="A91" s="30">
        <v>1912</v>
      </c>
      <c r="B91" s="39">
        <v>2.5801699163944061E-2</v>
      </c>
      <c r="C91" s="39">
        <v>1.8174845489549634</v>
      </c>
      <c r="D91" s="41">
        <v>1.3386092203665691E-2</v>
      </c>
      <c r="E91" s="39">
        <v>1.4382734774305881E-2</v>
      </c>
      <c r="F91" s="39">
        <v>1.8429959544683419E-2</v>
      </c>
      <c r="G91" s="39">
        <v>1.5351241535743918E-2</v>
      </c>
      <c r="H91" s="39">
        <v>1.1420942871587462E-2</v>
      </c>
      <c r="I91" s="39">
        <v>1.7011603489948651E-2</v>
      </c>
      <c r="J91" s="39"/>
      <c r="K91" s="39">
        <v>1.4705514941383706</v>
      </c>
      <c r="L91" s="39">
        <v>1.3151612384053515E-2</v>
      </c>
      <c r="M91" s="39">
        <v>7.8761359811511278E-2</v>
      </c>
      <c r="N91" s="41">
        <v>2.416502107716207</v>
      </c>
      <c r="O91" s="39">
        <v>2.2940205262088696E-2</v>
      </c>
      <c r="P91" s="39">
        <v>9.8422737580159474</v>
      </c>
      <c r="Q91" s="39">
        <v>0.15888378148536236</v>
      </c>
      <c r="R91" s="39">
        <v>7.2742016822052094</v>
      </c>
      <c r="T91" s="42">
        <v>6.7317401548300237E-2</v>
      </c>
      <c r="U91" s="26">
        <v>6.7317401548300232E-5</v>
      </c>
      <c r="V91" s="43">
        <v>4.8658000000000001</v>
      </c>
      <c r="AR91" s="39"/>
    </row>
    <row r="92" spans="1:44" s="30" customFormat="1" x14ac:dyDescent="0.25">
      <c r="A92" s="30">
        <v>1913</v>
      </c>
      <c r="B92" s="39">
        <v>2.5146572232636454E-2</v>
      </c>
      <c r="C92" s="39">
        <v>1.7464675446811151</v>
      </c>
      <c r="D92" s="41">
        <v>1.5580444510211254E-2</v>
      </c>
      <c r="E92" s="39">
        <v>1.6449213405693674E-2</v>
      </c>
      <c r="F92" s="39">
        <v>1.8603063989893243E-2</v>
      </c>
      <c r="G92" s="39">
        <v>1.6767398627566404E-2</v>
      </c>
      <c r="H92" s="39">
        <v>1.4393490392856105E-2</v>
      </c>
      <c r="I92" s="39">
        <v>1.7549334630404752E-2</v>
      </c>
      <c r="J92" s="39"/>
      <c r="K92" s="41">
        <v>1.3469564770584268</v>
      </c>
      <c r="L92" s="39">
        <v>1.2920790315343506E-2</v>
      </c>
      <c r="M92" s="41">
        <v>7.2492952074103903E-2</v>
      </c>
      <c r="N92" s="41">
        <v>2.4887900835831975</v>
      </c>
      <c r="O92" s="39">
        <v>2.8038191006199906E-2</v>
      </c>
      <c r="P92" s="39">
        <v>10.718720032480404</v>
      </c>
      <c r="Q92" s="39">
        <v>0.13821767329429108</v>
      </c>
      <c r="R92" s="39">
        <v>8.0968507102279119</v>
      </c>
      <c r="T92" s="42">
        <v>6.7123103772318435E-2</v>
      </c>
      <c r="U92" s="30">
        <v>6.712310377231843E-5</v>
      </c>
      <c r="V92" s="43">
        <v>4.8636999999999997</v>
      </c>
      <c r="AR92" s="41"/>
    </row>
    <row r="96" spans="1:44" x14ac:dyDescent="0.25">
      <c r="M96" s="30"/>
      <c r="N96" s="26"/>
    </row>
    <row r="97" spans="13:14" x14ac:dyDescent="0.25">
      <c r="M97" s="30"/>
      <c r="N97" s="26"/>
    </row>
    <row r="98" spans="13:14" x14ac:dyDescent="0.25">
      <c r="M98" s="30"/>
      <c r="N98" s="26"/>
    </row>
    <row r="99" spans="13:14" x14ac:dyDescent="0.25">
      <c r="M99" s="30"/>
      <c r="N99" s="26"/>
    </row>
    <row r="100" spans="13:14" x14ac:dyDescent="0.25">
      <c r="M100" s="30"/>
      <c r="N100" s="26"/>
    </row>
    <row r="101" spans="13:14" x14ac:dyDescent="0.25">
      <c r="M101" s="30"/>
      <c r="N101" s="26"/>
    </row>
    <row r="102" spans="13:14" x14ac:dyDescent="0.25">
      <c r="M102" s="30"/>
      <c r="N102" s="26"/>
    </row>
    <row r="103" spans="13:14" x14ac:dyDescent="0.25">
      <c r="M103" s="30"/>
      <c r="N103" s="26"/>
    </row>
    <row r="104" spans="13:14" x14ac:dyDescent="0.25">
      <c r="M104" s="30"/>
      <c r="N104" s="26"/>
    </row>
    <row r="105" spans="13:14" x14ac:dyDescent="0.25">
      <c r="M105" s="30"/>
      <c r="N105" s="26"/>
    </row>
    <row r="106" spans="13:14" x14ac:dyDescent="0.25">
      <c r="M106" s="30"/>
      <c r="N106" s="26"/>
    </row>
    <row r="107" spans="13:14" x14ac:dyDescent="0.25">
      <c r="M107" s="30"/>
      <c r="N107" s="26"/>
    </row>
    <row r="108" spans="13:14" x14ac:dyDescent="0.25">
      <c r="M108" s="30"/>
      <c r="N108" s="26"/>
    </row>
    <row r="109" spans="13:14" x14ac:dyDescent="0.25">
      <c r="M109" s="30"/>
      <c r="N109" s="26"/>
    </row>
    <row r="110" spans="13:14" x14ac:dyDescent="0.25">
      <c r="M110" s="30"/>
      <c r="N110" s="26"/>
    </row>
    <row r="111" spans="13:14" x14ac:dyDescent="0.25">
      <c r="M111" s="30"/>
      <c r="N111" s="26"/>
    </row>
    <row r="112" spans="13:14" x14ac:dyDescent="0.25">
      <c r="M112" s="30"/>
      <c r="N112" s="26"/>
    </row>
    <row r="113" spans="13:14" x14ac:dyDescent="0.25">
      <c r="M113" s="30"/>
      <c r="N113" s="26"/>
    </row>
    <row r="114" spans="13:14" x14ac:dyDescent="0.25">
      <c r="M114" s="30"/>
      <c r="N114" s="26"/>
    </row>
    <row r="115" spans="13:14" x14ac:dyDescent="0.25">
      <c r="M115" s="30"/>
      <c r="N115" s="26"/>
    </row>
    <row r="116" spans="13:14" x14ac:dyDescent="0.25">
      <c r="M116" s="30"/>
      <c r="N116" s="26"/>
    </row>
    <row r="117" spans="13:14" x14ac:dyDescent="0.25">
      <c r="M117" s="30"/>
      <c r="N117" s="26"/>
    </row>
    <row r="118" spans="13:14" x14ac:dyDescent="0.25">
      <c r="M118" s="30"/>
      <c r="N118" s="26"/>
    </row>
    <row r="119" spans="13:14" x14ac:dyDescent="0.25">
      <c r="M119" s="30"/>
      <c r="N119" s="26"/>
    </row>
    <row r="120" spans="13:14" x14ac:dyDescent="0.25">
      <c r="M120" s="30"/>
      <c r="N120" s="26"/>
    </row>
    <row r="121" spans="13:14" x14ac:dyDescent="0.25">
      <c r="M121" s="30"/>
      <c r="N121" s="26"/>
    </row>
    <row r="122" spans="13:14" x14ac:dyDescent="0.25">
      <c r="M122" s="30"/>
      <c r="N122" s="26"/>
    </row>
    <row r="123" spans="13:14" x14ac:dyDescent="0.25">
      <c r="M123" s="30"/>
      <c r="N123" s="26"/>
    </row>
  </sheetData>
  <mergeCells count="1">
    <mergeCell ref="D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C79" sqref="C79"/>
    </sheetView>
  </sheetViews>
  <sheetFormatPr defaultColWidth="11.42578125" defaultRowHeight="12.75" x14ac:dyDescent="0.2"/>
  <cols>
    <col min="1" max="1" width="11.42578125" style="50"/>
    <col min="2" max="2" width="11.42578125" style="51"/>
    <col min="3" max="3" width="15.140625" style="51" customWidth="1"/>
    <col min="4" max="4" width="9.42578125" style="51" customWidth="1"/>
    <col min="5" max="5" width="9.42578125" style="52" customWidth="1"/>
    <col min="6" max="6" width="9.42578125" style="53" customWidth="1"/>
    <col min="7" max="7" width="9.42578125" style="54" customWidth="1"/>
    <col min="8" max="10" width="11.42578125" style="50"/>
    <col min="11" max="11" width="11.42578125" style="57"/>
    <col min="12" max="12" width="9.42578125" style="53" customWidth="1"/>
    <col min="13" max="15" width="11.42578125" style="50"/>
    <col min="16" max="16" width="11.42578125" style="57"/>
    <col min="17" max="17" width="9.42578125" style="53" customWidth="1"/>
    <col min="18" max="20" width="11.42578125" style="50"/>
    <col min="21" max="21" width="11.42578125" style="57"/>
    <col min="22" max="22" width="9.42578125" style="53" customWidth="1"/>
    <col min="23" max="24" width="11.42578125" style="50"/>
    <col min="25" max="25" width="11.42578125" style="57"/>
    <col min="26" max="26" width="11.42578125" style="64"/>
    <col min="27" max="258" width="11.42578125" style="50"/>
    <col min="259" max="259" width="15.140625" style="50" customWidth="1"/>
    <col min="260" max="263" width="9.42578125" style="50" customWidth="1"/>
    <col min="264" max="267" width="11.42578125" style="50"/>
    <col min="268" max="268" width="9.42578125" style="50" customWidth="1"/>
    <col min="269" max="272" width="11.42578125" style="50"/>
    <col min="273" max="273" width="9.42578125" style="50" customWidth="1"/>
    <col min="274" max="277" width="11.42578125" style="50"/>
    <col min="278" max="278" width="9.42578125" style="50" customWidth="1"/>
    <col min="279" max="514" width="11.42578125" style="50"/>
    <col min="515" max="515" width="15.140625" style="50" customWidth="1"/>
    <col min="516" max="519" width="9.42578125" style="50" customWidth="1"/>
    <col min="520" max="523" width="11.42578125" style="50"/>
    <col min="524" max="524" width="9.42578125" style="50" customWidth="1"/>
    <col min="525" max="528" width="11.42578125" style="50"/>
    <col min="529" max="529" width="9.42578125" style="50" customWidth="1"/>
    <col min="530" max="533" width="11.42578125" style="50"/>
    <col min="534" max="534" width="9.42578125" style="50" customWidth="1"/>
    <col min="535" max="770" width="11.42578125" style="50"/>
    <col min="771" max="771" width="15.140625" style="50" customWidth="1"/>
    <col min="772" max="775" width="9.42578125" style="50" customWidth="1"/>
    <col min="776" max="779" width="11.42578125" style="50"/>
    <col min="780" max="780" width="9.42578125" style="50" customWidth="1"/>
    <col min="781" max="784" width="11.42578125" style="50"/>
    <col min="785" max="785" width="9.42578125" style="50" customWidth="1"/>
    <col min="786" max="789" width="11.42578125" style="50"/>
    <col min="790" max="790" width="9.42578125" style="50" customWidth="1"/>
    <col min="791" max="1026" width="11.42578125" style="50"/>
    <col min="1027" max="1027" width="15.140625" style="50" customWidth="1"/>
    <col min="1028" max="1031" width="9.42578125" style="50" customWidth="1"/>
    <col min="1032" max="1035" width="11.42578125" style="50"/>
    <col min="1036" max="1036" width="9.42578125" style="50" customWidth="1"/>
    <col min="1037" max="1040" width="11.42578125" style="50"/>
    <col min="1041" max="1041" width="9.42578125" style="50" customWidth="1"/>
    <col min="1042" max="1045" width="11.42578125" style="50"/>
    <col min="1046" max="1046" width="9.42578125" style="50" customWidth="1"/>
    <col min="1047" max="1282" width="11.42578125" style="50"/>
    <col min="1283" max="1283" width="15.140625" style="50" customWidth="1"/>
    <col min="1284" max="1287" width="9.42578125" style="50" customWidth="1"/>
    <col min="1288" max="1291" width="11.42578125" style="50"/>
    <col min="1292" max="1292" width="9.42578125" style="50" customWidth="1"/>
    <col min="1293" max="1296" width="11.42578125" style="50"/>
    <col min="1297" max="1297" width="9.42578125" style="50" customWidth="1"/>
    <col min="1298" max="1301" width="11.42578125" style="50"/>
    <col min="1302" max="1302" width="9.42578125" style="50" customWidth="1"/>
    <col min="1303" max="1538" width="11.42578125" style="50"/>
    <col min="1539" max="1539" width="15.140625" style="50" customWidth="1"/>
    <col min="1540" max="1543" width="9.42578125" style="50" customWidth="1"/>
    <col min="1544" max="1547" width="11.42578125" style="50"/>
    <col min="1548" max="1548" width="9.42578125" style="50" customWidth="1"/>
    <col min="1549" max="1552" width="11.42578125" style="50"/>
    <col min="1553" max="1553" width="9.42578125" style="50" customWidth="1"/>
    <col min="1554" max="1557" width="11.42578125" style="50"/>
    <col min="1558" max="1558" width="9.42578125" style="50" customWidth="1"/>
    <col min="1559" max="1794" width="11.42578125" style="50"/>
    <col min="1795" max="1795" width="15.140625" style="50" customWidth="1"/>
    <col min="1796" max="1799" width="9.42578125" style="50" customWidth="1"/>
    <col min="1800" max="1803" width="11.42578125" style="50"/>
    <col min="1804" max="1804" width="9.42578125" style="50" customWidth="1"/>
    <col min="1805" max="1808" width="11.42578125" style="50"/>
    <col min="1809" max="1809" width="9.42578125" style="50" customWidth="1"/>
    <col min="1810" max="1813" width="11.42578125" style="50"/>
    <col min="1814" max="1814" width="9.42578125" style="50" customWidth="1"/>
    <col min="1815" max="2050" width="11.42578125" style="50"/>
    <col min="2051" max="2051" width="15.140625" style="50" customWidth="1"/>
    <col min="2052" max="2055" width="9.42578125" style="50" customWidth="1"/>
    <col min="2056" max="2059" width="11.42578125" style="50"/>
    <col min="2060" max="2060" width="9.42578125" style="50" customWidth="1"/>
    <col min="2061" max="2064" width="11.42578125" style="50"/>
    <col min="2065" max="2065" width="9.42578125" style="50" customWidth="1"/>
    <col min="2066" max="2069" width="11.42578125" style="50"/>
    <col min="2070" max="2070" width="9.42578125" style="50" customWidth="1"/>
    <col min="2071" max="2306" width="11.42578125" style="50"/>
    <col min="2307" max="2307" width="15.140625" style="50" customWidth="1"/>
    <col min="2308" max="2311" width="9.42578125" style="50" customWidth="1"/>
    <col min="2312" max="2315" width="11.42578125" style="50"/>
    <col min="2316" max="2316" width="9.42578125" style="50" customWidth="1"/>
    <col min="2317" max="2320" width="11.42578125" style="50"/>
    <col min="2321" max="2321" width="9.42578125" style="50" customWidth="1"/>
    <col min="2322" max="2325" width="11.42578125" style="50"/>
    <col min="2326" max="2326" width="9.42578125" style="50" customWidth="1"/>
    <col min="2327" max="2562" width="11.42578125" style="50"/>
    <col min="2563" max="2563" width="15.140625" style="50" customWidth="1"/>
    <col min="2564" max="2567" width="9.42578125" style="50" customWidth="1"/>
    <col min="2568" max="2571" width="11.42578125" style="50"/>
    <col min="2572" max="2572" width="9.42578125" style="50" customWidth="1"/>
    <col min="2573" max="2576" width="11.42578125" style="50"/>
    <col min="2577" max="2577" width="9.42578125" style="50" customWidth="1"/>
    <col min="2578" max="2581" width="11.42578125" style="50"/>
    <col min="2582" max="2582" width="9.42578125" style="50" customWidth="1"/>
    <col min="2583" max="2818" width="11.42578125" style="50"/>
    <col min="2819" max="2819" width="15.140625" style="50" customWidth="1"/>
    <col min="2820" max="2823" width="9.42578125" style="50" customWidth="1"/>
    <col min="2824" max="2827" width="11.42578125" style="50"/>
    <col min="2828" max="2828" width="9.42578125" style="50" customWidth="1"/>
    <col min="2829" max="2832" width="11.42578125" style="50"/>
    <col min="2833" max="2833" width="9.42578125" style="50" customWidth="1"/>
    <col min="2834" max="2837" width="11.42578125" style="50"/>
    <col min="2838" max="2838" width="9.42578125" style="50" customWidth="1"/>
    <col min="2839" max="3074" width="11.42578125" style="50"/>
    <col min="3075" max="3075" width="15.140625" style="50" customWidth="1"/>
    <col min="3076" max="3079" width="9.42578125" style="50" customWidth="1"/>
    <col min="3080" max="3083" width="11.42578125" style="50"/>
    <col min="3084" max="3084" width="9.42578125" style="50" customWidth="1"/>
    <col min="3085" max="3088" width="11.42578125" style="50"/>
    <col min="3089" max="3089" width="9.42578125" style="50" customWidth="1"/>
    <col min="3090" max="3093" width="11.42578125" style="50"/>
    <col min="3094" max="3094" width="9.42578125" style="50" customWidth="1"/>
    <col min="3095" max="3330" width="11.42578125" style="50"/>
    <col min="3331" max="3331" width="15.140625" style="50" customWidth="1"/>
    <col min="3332" max="3335" width="9.42578125" style="50" customWidth="1"/>
    <col min="3336" max="3339" width="11.42578125" style="50"/>
    <col min="3340" max="3340" width="9.42578125" style="50" customWidth="1"/>
    <col min="3341" max="3344" width="11.42578125" style="50"/>
    <col min="3345" max="3345" width="9.42578125" style="50" customWidth="1"/>
    <col min="3346" max="3349" width="11.42578125" style="50"/>
    <col min="3350" max="3350" width="9.42578125" style="50" customWidth="1"/>
    <col min="3351" max="3586" width="11.42578125" style="50"/>
    <col min="3587" max="3587" width="15.140625" style="50" customWidth="1"/>
    <col min="3588" max="3591" width="9.42578125" style="50" customWidth="1"/>
    <col min="3592" max="3595" width="11.42578125" style="50"/>
    <col min="3596" max="3596" width="9.42578125" style="50" customWidth="1"/>
    <col min="3597" max="3600" width="11.42578125" style="50"/>
    <col min="3601" max="3601" width="9.42578125" style="50" customWidth="1"/>
    <col min="3602" max="3605" width="11.42578125" style="50"/>
    <col min="3606" max="3606" width="9.42578125" style="50" customWidth="1"/>
    <col min="3607" max="3842" width="11.42578125" style="50"/>
    <col min="3843" max="3843" width="15.140625" style="50" customWidth="1"/>
    <col min="3844" max="3847" width="9.42578125" style="50" customWidth="1"/>
    <col min="3848" max="3851" width="11.42578125" style="50"/>
    <col min="3852" max="3852" width="9.42578125" style="50" customWidth="1"/>
    <col min="3853" max="3856" width="11.42578125" style="50"/>
    <col min="3857" max="3857" width="9.42578125" style="50" customWidth="1"/>
    <col min="3858" max="3861" width="11.42578125" style="50"/>
    <col min="3862" max="3862" width="9.42578125" style="50" customWidth="1"/>
    <col min="3863" max="4098" width="11.42578125" style="50"/>
    <col min="4099" max="4099" width="15.140625" style="50" customWidth="1"/>
    <col min="4100" max="4103" width="9.42578125" style="50" customWidth="1"/>
    <col min="4104" max="4107" width="11.42578125" style="50"/>
    <col min="4108" max="4108" width="9.42578125" style="50" customWidth="1"/>
    <col min="4109" max="4112" width="11.42578125" style="50"/>
    <col min="4113" max="4113" width="9.42578125" style="50" customWidth="1"/>
    <col min="4114" max="4117" width="11.42578125" style="50"/>
    <col min="4118" max="4118" width="9.42578125" style="50" customWidth="1"/>
    <col min="4119" max="4354" width="11.42578125" style="50"/>
    <col min="4355" max="4355" width="15.140625" style="50" customWidth="1"/>
    <col min="4356" max="4359" width="9.42578125" style="50" customWidth="1"/>
    <col min="4360" max="4363" width="11.42578125" style="50"/>
    <col min="4364" max="4364" width="9.42578125" style="50" customWidth="1"/>
    <col min="4365" max="4368" width="11.42578125" style="50"/>
    <col min="4369" max="4369" width="9.42578125" style="50" customWidth="1"/>
    <col min="4370" max="4373" width="11.42578125" style="50"/>
    <col min="4374" max="4374" width="9.42578125" style="50" customWidth="1"/>
    <col min="4375" max="4610" width="11.42578125" style="50"/>
    <col min="4611" max="4611" width="15.140625" style="50" customWidth="1"/>
    <col min="4612" max="4615" width="9.42578125" style="50" customWidth="1"/>
    <col min="4616" max="4619" width="11.42578125" style="50"/>
    <col min="4620" max="4620" width="9.42578125" style="50" customWidth="1"/>
    <col min="4621" max="4624" width="11.42578125" style="50"/>
    <col min="4625" max="4625" width="9.42578125" style="50" customWidth="1"/>
    <col min="4626" max="4629" width="11.42578125" style="50"/>
    <col min="4630" max="4630" width="9.42578125" style="50" customWidth="1"/>
    <col min="4631" max="4866" width="11.42578125" style="50"/>
    <col min="4867" max="4867" width="15.140625" style="50" customWidth="1"/>
    <col min="4868" max="4871" width="9.42578125" style="50" customWidth="1"/>
    <col min="4872" max="4875" width="11.42578125" style="50"/>
    <col min="4876" max="4876" width="9.42578125" style="50" customWidth="1"/>
    <col min="4877" max="4880" width="11.42578125" style="50"/>
    <col min="4881" max="4881" width="9.42578125" style="50" customWidth="1"/>
    <col min="4882" max="4885" width="11.42578125" style="50"/>
    <col min="4886" max="4886" width="9.42578125" style="50" customWidth="1"/>
    <col min="4887" max="5122" width="11.42578125" style="50"/>
    <col min="5123" max="5123" width="15.140625" style="50" customWidth="1"/>
    <col min="5124" max="5127" width="9.42578125" style="50" customWidth="1"/>
    <col min="5128" max="5131" width="11.42578125" style="50"/>
    <col min="5132" max="5132" width="9.42578125" style="50" customWidth="1"/>
    <col min="5133" max="5136" width="11.42578125" style="50"/>
    <col min="5137" max="5137" width="9.42578125" style="50" customWidth="1"/>
    <col min="5138" max="5141" width="11.42578125" style="50"/>
    <col min="5142" max="5142" width="9.42578125" style="50" customWidth="1"/>
    <col min="5143" max="5378" width="11.42578125" style="50"/>
    <col min="5379" max="5379" width="15.140625" style="50" customWidth="1"/>
    <col min="5380" max="5383" width="9.42578125" style="50" customWidth="1"/>
    <col min="5384" max="5387" width="11.42578125" style="50"/>
    <col min="5388" max="5388" width="9.42578125" style="50" customWidth="1"/>
    <col min="5389" max="5392" width="11.42578125" style="50"/>
    <col min="5393" max="5393" width="9.42578125" style="50" customWidth="1"/>
    <col min="5394" max="5397" width="11.42578125" style="50"/>
    <col min="5398" max="5398" width="9.42578125" style="50" customWidth="1"/>
    <col min="5399" max="5634" width="11.42578125" style="50"/>
    <col min="5635" max="5635" width="15.140625" style="50" customWidth="1"/>
    <col min="5636" max="5639" width="9.42578125" style="50" customWidth="1"/>
    <col min="5640" max="5643" width="11.42578125" style="50"/>
    <col min="5644" max="5644" width="9.42578125" style="50" customWidth="1"/>
    <col min="5645" max="5648" width="11.42578125" style="50"/>
    <col min="5649" max="5649" width="9.42578125" style="50" customWidth="1"/>
    <col min="5650" max="5653" width="11.42578125" style="50"/>
    <col min="5654" max="5654" width="9.42578125" style="50" customWidth="1"/>
    <col min="5655" max="5890" width="11.42578125" style="50"/>
    <col min="5891" max="5891" width="15.140625" style="50" customWidth="1"/>
    <col min="5892" max="5895" width="9.42578125" style="50" customWidth="1"/>
    <col min="5896" max="5899" width="11.42578125" style="50"/>
    <col min="5900" max="5900" width="9.42578125" style="50" customWidth="1"/>
    <col min="5901" max="5904" width="11.42578125" style="50"/>
    <col min="5905" max="5905" width="9.42578125" style="50" customWidth="1"/>
    <col min="5906" max="5909" width="11.42578125" style="50"/>
    <col min="5910" max="5910" width="9.42578125" style="50" customWidth="1"/>
    <col min="5911" max="6146" width="11.42578125" style="50"/>
    <col min="6147" max="6147" width="15.140625" style="50" customWidth="1"/>
    <col min="6148" max="6151" width="9.42578125" style="50" customWidth="1"/>
    <col min="6152" max="6155" width="11.42578125" style="50"/>
    <col min="6156" max="6156" width="9.42578125" style="50" customWidth="1"/>
    <col min="6157" max="6160" width="11.42578125" style="50"/>
    <col min="6161" max="6161" width="9.42578125" style="50" customWidth="1"/>
    <col min="6162" max="6165" width="11.42578125" style="50"/>
    <col min="6166" max="6166" width="9.42578125" style="50" customWidth="1"/>
    <col min="6167" max="6402" width="11.42578125" style="50"/>
    <col min="6403" max="6403" width="15.140625" style="50" customWidth="1"/>
    <col min="6404" max="6407" width="9.42578125" style="50" customWidth="1"/>
    <col min="6408" max="6411" width="11.42578125" style="50"/>
    <col min="6412" max="6412" width="9.42578125" style="50" customWidth="1"/>
    <col min="6413" max="6416" width="11.42578125" style="50"/>
    <col min="6417" max="6417" width="9.42578125" style="50" customWidth="1"/>
    <col min="6418" max="6421" width="11.42578125" style="50"/>
    <col min="6422" max="6422" width="9.42578125" style="50" customWidth="1"/>
    <col min="6423" max="6658" width="11.42578125" style="50"/>
    <col min="6659" max="6659" width="15.140625" style="50" customWidth="1"/>
    <col min="6660" max="6663" width="9.42578125" style="50" customWidth="1"/>
    <col min="6664" max="6667" width="11.42578125" style="50"/>
    <col min="6668" max="6668" width="9.42578125" style="50" customWidth="1"/>
    <col min="6669" max="6672" width="11.42578125" style="50"/>
    <col min="6673" max="6673" width="9.42578125" style="50" customWidth="1"/>
    <col min="6674" max="6677" width="11.42578125" style="50"/>
    <col min="6678" max="6678" width="9.42578125" style="50" customWidth="1"/>
    <col min="6679" max="6914" width="11.42578125" style="50"/>
    <col min="6915" max="6915" width="15.140625" style="50" customWidth="1"/>
    <col min="6916" max="6919" width="9.42578125" style="50" customWidth="1"/>
    <col min="6920" max="6923" width="11.42578125" style="50"/>
    <col min="6924" max="6924" width="9.42578125" style="50" customWidth="1"/>
    <col min="6925" max="6928" width="11.42578125" style="50"/>
    <col min="6929" max="6929" width="9.42578125" style="50" customWidth="1"/>
    <col min="6930" max="6933" width="11.42578125" style="50"/>
    <col min="6934" max="6934" width="9.42578125" style="50" customWidth="1"/>
    <col min="6935" max="7170" width="11.42578125" style="50"/>
    <col min="7171" max="7171" width="15.140625" style="50" customWidth="1"/>
    <col min="7172" max="7175" width="9.42578125" style="50" customWidth="1"/>
    <col min="7176" max="7179" width="11.42578125" style="50"/>
    <col min="7180" max="7180" width="9.42578125" style="50" customWidth="1"/>
    <col min="7181" max="7184" width="11.42578125" style="50"/>
    <col min="7185" max="7185" width="9.42578125" style="50" customWidth="1"/>
    <col min="7186" max="7189" width="11.42578125" style="50"/>
    <col min="7190" max="7190" width="9.42578125" style="50" customWidth="1"/>
    <col min="7191" max="7426" width="11.42578125" style="50"/>
    <col min="7427" max="7427" width="15.140625" style="50" customWidth="1"/>
    <col min="7428" max="7431" width="9.42578125" style="50" customWidth="1"/>
    <col min="7432" max="7435" width="11.42578125" style="50"/>
    <col min="7436" max="7436" width="9.42578125" style="50" customWidth="1"/>
    <col min="7437" max="7440" width="11.42578125" style="50"/>
    <col min="7441" max="7441" width="9.42578125" style="50" customWidth="1"/>
    <col min="7442" max="7445" width="11.42578125" style="50"/>
    <col min="7446" max="7446" width="9.42578125" style="50" customWidth="1"/>
    <col min="7447" max="7682" width="11.42578125" style="50"/>
    <col min="7683" max="7683" width="15.140625" style="50" customWidth="1"/>
    <col min="7684" max="7687" width="9.42578125" style="50" customWidth="1"/>
    <col min="7688" max="7691" width="11.42578125" style="50"/>
    <col min="7692" max="7692" width="9.42578125" style="50" customWidth="1"/>
    <col min="7693" max="7696" width="11.42578125" style="50"/>
    <col min="7697" max="7697" width="9.42578125" style="50" customWidth="1"/>
    <col min="7698" max="7701" width="11.42578125" style="50"/>
    <col min="7702" max="7702" width="9.42578125" style="50" customWidth="1"/>
    <col min="7703" max="7938" width="11.42578125" style="50"/>
    <col min="7939" max="7939" width="15.140625" style="50" customWidth="1"/>
    <col min="7940" max="7943" width="9.42578125" style="50" customWidth="1"/>
    <col min="7944" max="7947" width="11.42578125" style="50"/>
    <col min="7948" max="7948" width="9.42578125" style="50" customWidth="1"/>
    <col min="7949" max="7952" width="11.42578125" style="50"/>
    <col min="7953" max="7953" width="9.42578125" style="50" customWidth="1"/>
    <col min="7954" max="7957" width="11.42578125" style="50"/>
    <col min="7958" max="7958" width="9.42578125" style="50" customWidth="1"/>
    <col min="7959" max="8194" width="11.42578125" style="50"/>
    <col min="8195" max="8195" width="15.140625" style="50" customWidth="1"/>
    <col min="8196" max="8199" width="9.42578125" style="50" customWidth="1"/>
    <col min="8200" max="8203" width="11.42578125" style="50"/>
    <col min="8204" max="8204" width="9.42578125" style="50" customWidth="1"/>
    <col min="8205" max="8208" width="11.42578125" style="50"/>
    <col min="8209" max="8209" width="9.42578125" style="50" customWidth="1"/>
    <col min="8210" max="8213" width="11.42578125" style="50"/>
    <col min="8214" max="8214" width="9.42578125" style="50" customWidth="1"/>
    <col min="8215" max="8450" width="11.42578125" style="50"/>
    <col min="8451" max="8451" width="15.140625" style="50" customWidth="1"/>
    <col min="8452" max="8455" width="9.42578125" style="50" customWidth="1"/>
    <col min="8456" max="8459" width="11.42578125" style="50"/>
    <col min="8460" max="8460" width="9.42578125" style="50" customWidth="1"/>
    <col min="8461" max="8464" width="11.42578125" style="50"/>
    <col min="8465" max="8465" width="9.42578125" style="50" customWidth="1"/>
    <col min="8466" max="8469" width="11.42578125" style="50"/>
    <col min="8470" max="8470" width="9.42578125" style="50" customWidth="1"/>
    <col min="8471" max="8706" width="11.42578125" style="50"/>
    <col min="8707" max="8707" width="15.140625" style="50" customWidth="1"/>
    <col min="8708" max="8711" width="9.42578125" style="50" customWidth="1"/>
    <col min="8712" max="8715" width="11.42578125" style="50"/>
    <col min="8716" max="8716" width="9.42578125" style="50" customWidth="1"/>
    <col min="8717" max="8720" width="11.42578125" style="50"/>
    <col min="8721" max="8721" width="9.42578125" style="50" customWidth="1"/>
    <col min="8722" max="8725" width="11.42578125" style="50"/>
    <col min="8726" max="8726" width="9.42578125" style="50" customWidth="1"/>
    <col min="8727" max="8962" width="11.42578125" style="50"/>
    <col min="8963" max="8963" width="15.140625" style="50" customWidth="1"/>
    <col min="8964" max="8967" width="9.42578125" style="50" customWidth="1"/>
    <col min="8968" max="8971" width="11.42578125" style="50"/>
    <col min="8972" max="8972" width="9.42578125" style="50" customWidth="1"/>
    <col min="8973" max="8976" width="11.42578125" style="50"/>
    <col min="8977" max="8977" width="9.42578125" style="50" customWidth="1"/>
    <col min="8978" max="8981" width="11.42578125" style="50"/>
    <col min="8982" max="8982" width="9.42578125" style="50" customWidth="1"/>
    <col min="8983" max="9218" width="11.42578125" style="50"/>
    <col min="9219" max="9219" width="15.140625" style="50" customWidth="1"/>
    <col min="9220" max="9223" width="9.42578125" style="50" customWidth="1"/>
    <col min="9224" max="9227" width="11.42578125" style="50"/>
    <col min="9228" max="9228" width="9.42578125" style="50" customWidth="1"/>
    <col min="9229" max="9232" width="11.42578125" style="50"/>
    <col min="9233" max="9233" width="9.42578125" style="50" customWidth="1"/>
    <col min="9234" max="9237" width="11.42578125" style="50"/>
    <col min="9238" max="9238" width="9.42578125" style="50" customWidth="1"/>
    <col min="9239" max="9474" width="11.42578125" style="50"/>
    <col min="9475" max="9475" width="15.140625" style="50" customWidth="1"/>
    <col min="9476" max="9479" width="9.42578125" style="50" customWidth="1"/>
    <col min="9480" max="9483" width="11.42578125" style="50"/>
    <col min="9484" max="9484" width="9.42578125" style="50" customWidth="1"/>
    <col min="9485" max="9488" width="11.42578125" style="50"/>
    <col min="9489" max="9489" width="9.42578125" style="50" customWidth="1"/>
    <col min="9490" max="9493" width="11.42578125" style="50"/>
    <col min="9494" max="9494" width="9.42578125" style="50" customWidth="1"/>
    <col min="9495" max="9730" width="11.42578125" style="50"/>
    <col min="9731" max="9731" width="15.140625" style="50" customWidth="1"/>
    <col min="9732" max="9735" width="9.42578125" style="50" customWidth="1"/>
    <col min="9736" max="9739" width="11.42578125" style="50"/>
    <col min="9740" max="9740" width="9.42578125" style="50" customWidth="1"/>
    <col min="9741" max="9744" width="11.42578125" style="50"/>
    <col min="9745" max="9745" width="9.42578125" style="50" customWidth="1"/>
    <col min="9746" max="9749" width="11.42578125" style="50"/>
    <col min="9750" max="9750" width="9.42578125" style="50" customWidth="1"/>
    <col min="9751" max="9986" width="11.42578125" style="50"/>
    <col min="9987" max="9987" width="15.140625" style="50" customWidth="1"/>
    <col min="9988" max="9991" width="9.42578125" style="50" customWidth="1"/>
    <col min="9992" max="9995" width="11.42578125" style="50"/>
    <col min="9996" max="9996" width="9.42578125" style="50" customWidth="1"/>
    <col min="9997" max="10000" width="11.42578125" style="50"/>
    <col min="10001" max="10001" width="9.42578125" style="50" customWidth="1"/>
    <col min="10002" max="10005" width="11.42578125" style="50"/>
    <col min="10006" max="10006" width="9.42578125" style="50" customWidth="1"/>
    <col min="10007" max="10242" width="11.42578125" style="50"/>
    <col min="10243" max="10243" width="15.140625" style="50" customWidth="1"/>
    <col min="10244" max="10247" width="9.42578125" style="50" customWidth="1"/>
    <col min="10248" max="10251" width="11.42578125" style="50"/>
    <col min="10252" max="10252" width="9.42578125" style="50" customWidth="1"/>
    <col min="10253" max="10256" width="11.42578125" style="50"/>
    <col min="10257" max="10257" width="9.42578125" style="50" customWidth="1"/>
    <col min="10258" max="10261" width="11.42578125" style="50"/>
    <col min="10262" max="10262" width="9.42578125" style="50" customWidth="1"/>
    <col min="10263" max="10498" width="11.42578125" style="50"/>
    <col min="10499" max="10499" width="15.140625" style="50" customWidth="1"/>
    <col min="10500" max="10503" width="9.42578125" style="50" customWidth="1"/>
    <col min="10504" max="10507" width="11.42578125" style="50"/>
    <col min="10508" max="10508" width="9.42578125" style="50" customWidth="1"/>
    <col min="10509" max="10512" width="11.42578125" style="50"/>
    <col min="10513" max="10513" width="9.42578125" style="50" customWidth="1"/>
    <col min="10514" max="10517" width="11.42578125" style="50"/>
    <col min="10518" max="10518" width="9.42578125" style="50" customWidth="1"/>
    <col min="10519" max="10754" width="11.42578125" style="50"/>
    <col min="10755" max="10755" width="15.140625" style="50" customWidth="1"/>
    <col min="10756" max="10759" width="9.42578125" style="50" customWidth="1"/>
    <col min="10760" max="10763" width="11.42578125" style="50"/>
    <col min="10764" max="10764" width="9.42578125" style="50" customWidth="1"/>
    <col min="10765" max="10768" width="11.42578125" style="50"/>
    <col min="10769" max="10769" width="9.42578125" style="50" customWidth="1"/>
    <col min="10770" max="10773" width="11.42578125" style="50"/>
    <col min="10774" max="10774" width="9.42578125" style="50" customWidth="1"/>
    <col min="10775" max="11010" width="11.42578125" style="50"/>
    <col min="11011" max="11011" width="15.140625" style="50" customWidth="1"/>
    <col min="11012" max="11015" width="9.42578125" style="50" customWidth="1"/>
    <col min="11016" max="11019" width="11.42578125" style="50"/>
    <col min="11020" max="11020" width="9.42578125" style="50" customWidth="1"/>
    <col min="11021" max="11024" width="11.42578125" style="50"/>
    <col min="11025" max="11025" width="9.42578125" style="50" customWidth="1"/>
    <col min="11026" max="11029" width="11.42578125" style="50"/>
    <col min="11030" max="11030" width="9.42578125" style="50" customWidth="1"/>
    <col min="11031" max="11266" width="11.42578125" style="50"/>
    <col min="11267" max="11267" width="15.140625" style="50" customWidth="1"/>
    <col min="11268" max="11271" width="9.42578125" style="50" customWidth="1"/>
    <col min="11272" max="11275" width="11.42578125" style="50"/>
    <col min="11276" max="11276" width="9.42578125" style="50" customWidth="1"/>
    <col min="11277" max="11280" width="11.42578125" style="50"/>
    <col min="11281" max="11281" width="9.42578125" style="50" customWidth="1"/>
    <col min="11282" max="11285" width="11.42578125" style="50"/>
    <col min="11286" max="11286" width="9.42578125" style="50" customWidth="1"/>
    <col min="11287" max="11522" width="11.42578125" style="50"/>
    <col min="11523" max="11523" width="15.140625" style="50" customWidth="1"/>
    <col min="11524" max="11527" width="9.42578125" style="50" customWidth="1"/>
    <col min="11528" max="11531" width="11.42578125" style="50"/>
    <col min="11532" max="11532" width="9.42578125" style="50" customWidth="1"/>
    <col min="11533" max="11536" width="11.42578125" style="50"/>
    <col min="11537" max="11537" width="9.42578125" style="50" customWidth="1"/>
    <col min="11538" max="11541" width="11.42578125" style="50"/>
    <col min="11542" max="11542" width="9.42578125" style="50" customWidth="1"/>
    <col min="11543" max="11778" width="11.42578125" style="50"/>
    <col min="11779" max="11779" width="15.140625" style="50" customWidth="1"/>
    <col min="11780" max="11783" width="9.42578125" style="50" customWidth="1"/>
    <col min="11784" max="11787" width="11.42578125" style="50"/>
    <col min="11788" max="11788" width="9.42578125" style="50" customWidth="1"/>
    <col min="11789" max="11792" width="11.42578125" style="50"/>
    <col min="11793" max="11793" width="9.42578125" style="50" customWidth="1"/>
    <col min="11794" max="11797" width="11.42578125" style="50"/>
    <col min="11798" max="11798" width="9.42578125" style="50" customWidth="1"/>
    <col min="11799" max="12034" width="11.42578125" style="50"/>
    <col min="12035" max="12035" width="15.140625" style="50" customWidth="1"/>
    <col min="12036" max="12039" width="9.42578125" style="50" customWidth="1"/>
    <col min="12040" max="12043" width="11.42578125" style="50"/>
    <col min="12044" max="12044" width="9.42578125" style="50" customWidth="1"/>
    <col min="12045" max="12048" width="11.42578125" style="50"/>
    <col min="12049" max="12049" width="9.42578125" style="50" customWidth="1"/>
    <col min="12050" max="12053" width="11.42578125" style="50"/>
    <col min="12054" max="12054" width="9.42578125" style="50" customWidth="1"/>
    <col min="12055" max="12290" width="11.42578125" style="50"/>
    <col min="12291" max="12291" width="15.140625" style="50" customWidth="1"/>
    <col min="12292" max="12295" width="9.42578125" style="50" customWidth="1"/>
    <col min="12296" max="12299" width="11.42578125" style="50"/>
    <col min="12300" max="12300" width="9.42578125" style="50" customWidth="1"/>
    <col min="12301" max="12304" width="11.42578125" style="50"/>
    <col min="12305" max="12305" width="9.42578125" style="50" customWidth="1"/>
    <col min="12306" max="12309" width="11.42578125" style="50"/>
    <col min="12310" max="12310" width="9.42578125" style="50" customWidth="1"/>
    <col min="12311" max="12546" width="11.42578125" style="50"/>
    <col min="12547" max="12547" width="15.140625" style="50" customWidth="1"/>
    <col min="12548" max="12551" width="9.42578125" style="50" customWidth="1"/>
    <col min="12552" max="12555" width="11.42578125" style="50"/>
    <col min="12556" max="12556" width="9.42578125" style="50" customWidth="1"/>
    <col min="12557" max="12560" width="11.42578125" style="50"/>
    <col min="12561" max="12561" width="9.42578125" style="50" customWidth="1"/>
    <col min="12562" max="12565" width="11.42578125" style="50"/>
    <col min="12566" max="12566" width="9.42578125" style="50" customWidth="1"/>
    <col min="12567" max="12802" width="11.42578125" style="50"/>
    <col min="12803" max="12803" width="15.140625" style="50" customWidth="1"/>
    <col min="12804" max="12807" width="9.42578125" style="50" customWidth="1"/>
    <col min="12808" max="12811" width="11.42578125" style="50"/>
    <col min="12812" max="12812" width="9.42578125" style="50" customWidth="1"/>
    <col min="12813" max="12816" width="11.42578125" style="50"/>
    <col min="12817" max="12817" width="9.42578125" style="50" customWidth="1"/>
    <col min="12818" max="12821" width="11.42578125" style="50"/>
    <col min="12822" max="12822" width="9.42578125" style="50" customWidth="1"/>
    <col min="12823" max="13058" width="11.42578125" style="50"/>
    <col min="13059" max="13059" width="15.140625" style="50" customWidth="1"/>
    <col min="13060" max="13063" width="9.42578125" style="50" customWidth="1"/>
    <col min="13064" max="13067" width="11.42578125" style="50"/>
    <col min="13068" max="13068" width="9.42578125" style="50" customWidth="1"/>
    <col min="13069" max="13072" width="11.42578125" style="50"/>
    <col min="13073" max="13073" width="9.42578125" style="50" customWidth="1"/>
    <col min="13074" max="13077" width="11.42578125" style="50"/>
    <col min="13078" max="13078" width="9.42578125" style="50" customWidth="1"/>
    <col min="13079" max="13314" width="11.42578125" style="50"/>
    <col min="13315" max="13315" width="15.140625" style="50" customWidth="1"/>
    <col min="13316" max="13319" width="9.42578125" style="50" customWidth="1"/>
    <col min="13320" max="13323" width="11.42578125" style="50"/>
    <col min="13324" max="13324" width="9.42578125" style="50" customWidth="1"/>
    <col min="13325" max="13328" width="11.42578125" style="50"/>
    <col min="13329" max="13329" width="9.42578125" style="50" customWidth="1"/>
    <col min="13330" max="13333" width="11.42578125" style="50"/>
    <col min="13334" max="13334" width="9.42578125" style="50" customWidth="1"/>
    <col min="13335" max="13570" width="11.42578125" style="50"/>
    <col min="13571" max="13571" width="15.140625" style="50" customWidth="1"/>
    <col min="13572" max="13575" width="9.42578125" style="50" customWidth="1"/>
    <col min="13576" max="13579" width="11.42578125" style="50"/>
    <col min="13580" max="13580" width="9.42578125" style="50" customWidth="1"/>
    <col min="13581" max="13584" width="11.42578125" style="50"/>
    <col min="13585" max="13585" width="9.42578125" style="50" customWidth="1"/>
    <col min="13586" max="13589" width="11.42578125" style="50"/>
    <col min="13590" max="13590" width="9.42578125" style="50" customWidth="1"/>
    <col min="13591" max="13826" width="11.42578125" style="50"/>
    <col min="13827" max="13827" width="15.140625" style="50" customWidth="1"/>
    <col min="13828" max="13831" width="9.42578125" style="50" customWidth="1"/>
    <col min="13832" max="13835" width="11.42578125" style="50"/>
    <col min="13836" max="13836" width="9.42578125" style="50" customWidth="1"/>
    <col min="13837" max="13840" width="11.42578125" style="50"/>
    <col min="13841" max="13841" width="9.42578125" style="50" customWidth="1"/>
    <col min="13842" max="13845" width="11.42578125" style="50"/>
    <col min="13846" max="13846" width="9.42578125" style="50" customWidth="1"/>
    <col min="13847" max="14082" width="11.42578125" style="50"/>
    <col min="14083" max="14083" width="15.140625" style="50" customWidth="1"/>
    <col min="14084" max="14087" width="9.42578125" style="50" customWidth="1"/>
    <col min="14088" max="14091" width="11.42578125" style="50"/>
    <col min="14092" max="14092" width="9.42578125" style="50" customWidth="1"/>
    <col min="14093" max="14096" width="11.42578125" style="50"/>
    <col min="14097" max="14097" width="9.42578125" style="50" customWidth="1"/>
    <col min="14098" max="14101" width="11.42578125" style="50"/>
    <col min="14102" max="14102" width="9.42578125" style="50" customWidth="1"/>
    <col min="14103" max="14338" width="11.42578125" style="50"/>
    <col min="14339" max="14339" width="15.140625" style="50" customWidth="1"/>
    <col min="14340" max="14343" width="9.42578125" style="50" customWidth="1"/>
    <col min="14344" max="14347" width="11.42578125" style="50"/>
    <col min="14348" max="14348" width="9.42578125" style="50" customWidth="1"/>
    <col min="14349" max="14352" width="11.42578125" style="50"/>
    <col min="14353" max="14353" width="9.42578125" style="50" customWidth="1"/>
    <col min="14354" max="14357" width="11.42578125" style="50"/>
    <col min="14358" max="14358" width="9.42578125" style="50" customWidth="1"/>
    <col min="14359" max="14594" width="11.42578125" style="50"/>
    <col min="14595" max="14595" width="15.140625" style="50" customWidth="1"/>
    <col min="14596" max="14599" width="9.42578125" style="50" customWidth="1"/>
    <col min="14600" max="14603" width="11.42578125" style="50"/>
    <col min="14604" max="14604" width="9.42578125" style="50" customWidth="1"/>
    <col min="14605" max="14608" width="11.42578125" style="50"/>
    <col min="14609" max="14609" width="9.42578125" style="50" customWidth="1"/>
    <col min="14610" max="14613" width="11.42578125" style="50"/>
    <col min="14614" max="14614" width="9.42578125" style="50" customWidth="1"/>
    <col min="14615" max="14850" width="11.42578125" style="50"/>
    <col min="14851" max="14851" width="15.140625" style="50" customWidth="1"/>
    <col min="14852" max="14855" width="9.42578125" style="50" customWidth="1"/>
    <col min="14856" max="14859" width="11.42578125" style="50"/>
    <col min="14860" max="14860" width="9.42578125" style="50" customWidth="1"/>
    <col min="14861" max="14864" width="11.42578125" style="50"/>
    <col min="14865" max="14865" width="9.42578125" style="50" customWidth="1"/>
    <col min="14866" max="14869" width="11.42578125" style="50"/>
    <col min="14870" max="14870" width="9.42578125" style="50" customWidth="1"/>
    <col min="14871" max="15106" width="11.42578125" style="50"/>
    <col min="15107" max="15107" width="15.140625" style="50" customWidth="1"/>
    <col min="15108" max="15111" width="9.42578125" style="50" customWidth="1"/>
    <col min="15112" max="15115" width="11.42578125" style="50"/>
    <col min="15116" max="15116" width="9.42578125" style="50" customWidth="1"/>
    <col min="15117" max="15120" width="11.42578125" style="50"/>
    <col min="15121" max="15121" width="9.42578125" style="50" customWidth="1"/>
    <col min="15122" max="15125" width="11.42578125" style="50"/>
    <col min="15126" max="15126" width="9.42578125" style="50" customWidth="1"/>
    <col min="15127" max="15362" width="11.42578125" style="50"/>
    <col min="15363" max="15363" width="15.140625" style="50" customWidth="1"/>
    <col min="15364" max="15367" width="9.42578125" style="50" customWidth="1"/>
    <col min="15368" max="15371" width="11.42578125" style="50"/>
    <col min="15372" max="15372" width="9.42578125" style="50" customWidth="1"/>
    <col min="15373" max="15376" width="11.42578125" style="50"/>
    <col min="15377" max="15377" width="9.42578125" style="50" customWidth="1"/>
    <col min="15378" max="15381" width="11.42578125" style="50"/>
    <col min="15382" max="15382" width="9.42578125" style="50" customWidth="1"/>
    <col min="15383" max="15618" width="11.42578125" style="50"/>
    <col min="15619" max="15619" width="15.140625" style="50" customWidth="1"/>
    <col min="15620" max="15623" width="9.42578125" style="50" customWidth="1"/>
    <col min="15624" max="15627" width="11.42578125" style="50"/>
    <col min="15628" max="15628" width="9.42578125" style="50" customWidth="1"/>
    <col min="15629" max="15632" width="11.42578125" style="50"/>
    <col min="15633" max="15633" width="9.42578125" style="50" customWidth="1"/>
    <col min="15634" max="15637" width="11.42578125" style="50"/>
    <col min="15638" max="15638" width="9.42578125" style="50" customWidth="1"/>
    <col min="15639" max="15874" width="11.42578125" style="50"/>
    <col min="15875" max="15875" width="15.140625" style="50" customWidth="1"/>
    <col min="15876" max="15879" width="9.42578125" style="50" customWidth="1"/>
    <col min="15880" max="15883" width="11.42578125" style="50"/>
    <col min="15884" max="15884" width="9.42578125" style="50" customWidth="1"/>
    <col min="15885" max="15888" width="11.42578125" style="50"/>
    <col min="15889" max="15889" width="9.42578125" style="50" customWidth="1"/>
    <col min="15890" max="15893" width="11.42578125" style="50"/>
    <col min="15894" max="15894" width="9.42578125" style="50" customWidth="1"/>
    <col min="15895" max="16130" width="11.42578125" style="50"/>
    <col min="16131" max="16131" width="15.140625" style="50" customWidth="1"/>
    <col min="16132" max="16135" width="9.42578125" style="50" customWidth="1"/>
    <col min="16136" max="16139" width="11.42578125" style="50"/>
    <col min="16140" max="16140" width="9.42578125" style="50" customWidth="1"/>
    <col min="16141" max="16144" width="11.42578125" style="50"/>
    <col min="16145" max="16145" width="9.42578125" style="50" customWidth="1"/>
    <col min="16146" max="16149" width="11.42578125" style="50"/>
    <col min="16150" max="16150" width="9.42578125" style="50" customWidth="1"/>
    <col min="16151" max="16384" width="11.42578125" style="50"/>
  </cols>
  <sheetData>
    <row r="1" spans="1:26" x14ac:dyDescent="0.2">
      <c r="A1" s="50" t="s">
        <v>96</v>
      </c>
      <c r="B1" s="75" t="s">
        <v>55</v>
      </c>
      <c r="C1" s="75"/>
      <c r="D1" s="75"/>
      <c r="E1" s="75"/>
      <c r="F1" s="76"/>
      <c r="G1" s="77" t="s">
        <v>56</v>
      </c>
      <c r="H1" s="78"/>
      <c r="I1" s="78"/>
      <c r="J1" s="78"/>
      <c r="K1" s="78"/>
      <c r="L1" s="79"/>
      <c r="M1" s="77" t="s">
        <v>57</v>
      </c>
      <c r="N1" s="78"/>
      <c r="O1" s="78"/>
      <c r="P1" s="78"/>
      <c r="Q1" s="79"/>
      <c r="R1" s="77" t="s">
        <v>58</v>
      </c>
      <c r="S1" s="78"/>
      <c r="T1" s="78"/>
      <c r="U1" s="78"/>
      <c r="V1" s="79"/>
      <c r="W1" s="80" t="s">
        <v>88</v>
      </c>
      <c r="X1" s="81"/>
      <c r="Y1" s="81"/>
      <c r="Z1" s="82"/>
    </row>
    <row r="2" spans="1:26" x14ac:dyDescent="0.2">
      <c r="A2" s="50" t="s">
        <v>113</v>
      </c>
      <c r="B2" s="51" t="s">
        <v>89</v>
      </c>
      <c r="C2" s="51" t="s">
        <v>72</v>
      </c>
      <c r="D2" s="51" t="s">
        <v>90</v>
      </c>
      <c r="E2" s="52" t="s">
        <v>91</v>
      </c>
      <c r="F2" s="53" t="s">
        <v>92</v>
      </c>
      <c r="H2" s="50" t="s">
        <v>93</v>
      </c>
      <c r="I2" s="51" t="s">
        <v>72</v>
      </c>
      <c r="J2" s="51" t="s">
        <v>90</v>
      </c>
      <c r="K2" s="52" t="s">
        <v>91</v>
      </c>
      <c r="L2" s="53" t="s">
        <v>92</v>
      </c>
      <c r="M2" s="50" t="s">
        <v>94</v>
      </c>
      <c r="N2" s="51" t="s">
        <v>72</v>
      </c>
      <c r="O2" s="51" t="s">
        <v>90</v>
      </c>
      <c r="P2" s="52" t="s">
        <v>91</v>
      </c>
      <c r="Q2" s="53" t="s">
        <v>92</v>
      </c>
      <c r="R2" s="50" t="s">
        <v>95</v>
      </c>
      <c r="S2" s="51" t="s">
        <v>72</v>
      </c>
      <c r="T2" s="51" t="s">
        <v>90</v>
      </c>
      <c r="U2" s="52" t="s">
        <v>91</v>
      </c>
      <c r="V2" s="53" t="s">
        <v>92</v>
      </c>
      <c r="W2" s="51" t="s">
        <v>72</v>
      </c>
      <c r="X2" s="51" t="s">
        <v>90</v>
      </c>
      <c r="Y2" s="52" t="s">
        <v>91</v>
      </c>
      <c r="Z2" s="53" t="s">
        <v>92</v>
      </c>
    </row>
    <row r="3" spans="1:26" x14ac:dyDescent="0.2">
      <c r="A3" s="50">
        <v>1821</v>
      </c>
      <c r="D3" s="51">
        <f>[1]Coffee!$W5</f>
        <v>107.24395127170122</v>
      </c>
      <c r="F3" s="53">
        <f t="shared" ref="F3:F27" si="0">D3</f>
        <v>107.24395127170122</v>
      </c>
      <c r="J3" s="55">
        <f>[1]Sugar!$M5</f>
        <v>29.239047790517986</v>
      </c>
      <c r="K3" s="56"/>
      <c r="L3" s="53">
        <f t="shared" ref="L3:L27" si="1">J3</f>
        <v>29.239047790517986</v>
      </c>
      <c r="O3" s="55">
        <f>[1]Cotton!$L4</f>
        <v>61.520885923248294</v>
      </c>
      <c r="P3" s="56"/>
      <c r="Q3" s="53">
        <f t="shared" ref="Q3:Q27" si="2">O3</f>
        <v>61.520885923248294</v>
      </c>
      <c r="T3" s="55">
        <f>'[2]Adjusted prices'!$U5</f>
        <v>60.196897749095449</v>
      </c>
      <c r="U3" s="56"/>
      <c r="V3" s="53">
        <f t="shared" ref="V3:V27" si="3">T3</f>
        <v>60.196897749095449</v>
      </c>
      <c r="X3" s="55">
        <f>[1]Cacao!$U4</f>
        <v>63.791653472735263</v>
      </c>
      <c r="Z3" s="58">
        <f>X3</f>
        <v>63.791653472735263</v>
      </c>
    </row>
    <row r="4" spans="1:26" x14ac:dyDescent="0.2">
      <c r="A4" s="50">
        <f t="shared" ref="A4:A35" si="4">A3+1</f>
        <v>1822</v>
      </c>
      <c r="D4" s="51">
        <f>[1]Coffee!$W6</f>
        <v>102.50178942270273</v>
      </c>
      <c r="F4" s="53">
        <f t="shared" si="0"/>
        <v>102.50178942270273</v>
      </c>
      <c r="J4" s="55">
        <f>[1]Sugar!$M6</f>
        <v>27.251749862207337</v>
      </c>
      <c r="K4" s="56"/>
      <c r="L4" s="53">
        <f t="shared" si="1"/>
        <v>27.251749862207337</v>
      </c>
      <c r="O4" s="55">
        <f>[1]Cotton!$L5</f>
        <v>50.644827136698382</v>
      </c>
      <c r="P4" s="56"/>
      <c r="Q4" s="53">
        <f t="shared" si="2"/>
        <v>50.644827136698382</v>
      </c>
      <c r="T4" s="55">
        <f>'[2]Adjusted prices'!$U6</f>
        <v>68.394520980798816</v>
      </c>
      <c r="U4" s="56"/>
      <c r="V4" s="53">
        <f t="shared" si="3"/>
        <v>68.394520980798816</v>
      </c>
      <c r="X4" s="55">
        <f>[1]Cacao!$U5</f>
        <v>54.423461861650949</v>
      </c>
      <c r="Z4" s="58">
        <f t="shared" ref="Z4:Z31" si="5">X4</f>
        <v>54.423461861650949</v>
      </c>
    </row>
    <row r="5" spans="1:26" x14ac:dyDescent="0.2">
      <c r="A5" s="50">
        <f t="shared" si="4"/>
        <v>1823</v>
      </c>
      <c r="D5" s="51">
        <f>[1]Coffee!$W7</f>
        <v>108.2371416329397</v>
      </c>
      <c r="F5" s="53">
        <f t="shared" si="0"/>
        <v>108.2371416329397</v>
      </c>
      <c r="J5" s="55">
        <f>[1]Sugar!$M7</f>
        <v>29.278081934877449</v>
      </c>
      <c r="K5" s="56"/>
      <c r="L5" s="53">
        <f t="shared" si="1"/>
        <v>29.278081934877449</v>
      </c>
      <c r="O5" s="55">
        <f>[1]Cotton!$L6</f>
        <v>51.453297594405157</v>
      </c>
      <c r="P5" s="56"/>
      <c r="Q5" s="53">
        <f t="shared" si="2"/>
        <v>51.453297594405157</v>
      </c>
      <c r="T5" s="55">
        <f>'[2]Adjusted prices'!$U7</f>
        <v>70.646885069446881</v>
      </c>
      <c r="U5" s="56"/>
      <c r="V5" s="53">
        <f t="shared" si="3"/>
        <v>70.646885069446881</v>
      </c>
      <c r="X5" s="55">
        <f>[1]Cacao!$U6</f>
        <v>55.355274433127526</v>
      </c>
      <c r="Z5" s="58">
        <f t="shared" si="5"/>
        <v>55.355274433127526</v>
      </c>
    </row>
    <row r="6" spans="1:26" x14ac:dyDescent="0.2">
      <c r="A6" s="50">
        <f t="shared" si="4"/>
        <v>1824</v>
      </c>
      <c r="D6" s="51">
        <f>[1]Coffee!$W8</f>
        <v>69.54066772752121</v>
      </c>
      <c r="F6" s="53">
        <f t="shared" si="0"/>
        <v>69.54066772752121</v>
      </c>
      <c r="J6" s="55">
        <f>[1]Sugar!$M8</f>
        <v>28.815987739617302</v>
      </c>
      <c r="K6" s="56"/>
      <c r="L6" s="53">
        <f t="shared" si="1"/>
        <v>28.815987739617302</v>
      </c>
      <c r="O6" s="55">
        <f>[1]Cotton!$L7</f>
        <v>57.177235890632211</v>
      </c>
      <c r="P6" s="56"/>
      <c r="Q6" s="53">
        <f t="shared" si="2"/>
        <v>57.177235890632211</v>
      </c>
      <c r="T6" s="55">
        <f>'[2]Adjusted prices'!$U8</f>
        <v>67.745864585367514</v>
      </c>
      <c r="U6" s="56"/>
      <c r="V6" s="53">
        <f t="shared" si="3"/>
        <v>67.745864585367514</v>
      </c>
      <c r="X6" s="55">
        <f>[1]Cacao!$U7</f>
        <v>61.377174474862294</v>
      </c>
      <c r="Z6" s="58">
        <f t="shared" si="5"/>
        <v>61.377174474862294</v>
      </c>
    </row>
    <row r="7" spans="1:26" x14ac:dyDescent="0.2">
      <c r="A7" s="50">
        <f t="shared" si="4"/>
        <v>1825</v>
      </c>
      <c r="D7" s="51">
        <f>[1]Coffee!$W9</f>
        <v>67.29319107363375</v>
      </c>
      <c r="F7" s="53">
        <f t="shared" si="0"/>
        <v>67.29319107363375</v>
      </c>
      <c r="J7" s="55">
        <f>[1]Sugar!$M9</f>
        <v>36.578734706975297</v>
      </c>
      <c r="K7" s="56"/>
      <c r="L7" s="53">
        <f t="shared" si="1"/>
        <v>36.578734706975297</v>
      </c>
      <c r="O7" s="55">
        <f>[1]Cotton!$L8</f>
        <v>79.015814988872734</v>
      </c>
      <c r="P7" s="56"/>
      <c r="Q7" s="53">
        <f t="shared" si="2"/>
        <v>79.015814988872734</v>
      </c>
      <c r="T7" s="55">
        <f>'[2]Adjusted prices'!$U9</f>
        <v>71.566792243622729</v>
      </c>
      <c r="U7" s="56"/>
      <c r="V7" s="53">
        <f t="shared" si="3"/>
        <v>71.566792243622729</v>
      </c>
      <c r="X7" s="55">
        <f>[1]Cacao!$U8</f>
        <v>62.538411348532179</v>
      </c>
      <c r="Z7" s="58">
        <f t="shared" si="5"/>
        <v>62.538411348532179</v>
      </c>
    </row>
    <row r="8" spans="1:26" x14ac:dyDescent="0.2">
      <c r="A8" s="50">
        <f t="shared" si="4"/>
        <v>1826</v>
      </c>
      <c r="D8" s="51">
        <f>[1]Coffee!$W10</f>
        <v>57.327197765407767</v>
      </c>
      <c r="F8" s="53">
        <f t="shared" si="0"/>
        <v>57.327197765407767</v>
      </c>
      <c r="J8" s="55">
        <f>[1]Sugar!$M10</f>
        <v>28.768415744653346</v>
      </c>
      <c r="K8" s="56"/>
      <c r="L8" s="53">
        <f t="shared" si="1"/>
        <v>28.768415744653346</v>
      </c>
      <c r="O8" s="55">
        <f>[1]Cotton!$L9</f>
        <v>40.86727700392639</v>
      </c>
      <c r="P8" s="56"/>
      <c r="Q8" s="53">
        <f t="shared" si="2"/>
        <v>40.86727700392639</v>
      </c>
      <c r="T8" s="55">
        <f>'[2]Adjusted prices'!$U10</f>
        <v>65.595604129042243</v>
      </c>
      <c r="U8" s="56"/>
      <c r="V8" s="53">
        <f t="shared" si="3"/>
        <v>65.595604129042243</v>
      </c>
      <c r="X8" s="55">
        <f>[1]Cacao!$U9</f>
        <v>54.110016241999745</v>
      </c>
      <c r="Z8" s="58">
        <f t="shared" si="5"/>
        <v>54.110016241999745</v>
      </c>
    </row>
    <row r="9" spans="1:26" x14ac:dyDescent="0.2">
      <c r="A9" s="50">
        <f t="shared" si="4"/>
        <v>1827</v>
      </c>
      <c r="D9" s="51">
        <f>[1]Coffee!$W11</f>
        <v>53.184541599161818</v>
      </c>
      <c r="F9" s="53">
        <f t="shared" si="0"/>
        <v>53.184541599161818</v>
      </c>
      <c r="J9" s="55">
        <f>[1]Sugar!$M11</f>
        <v>33.644282578651037</v>
      </c>
      <c r="K9" s="56"/>
      <c r="L9" s="53">
        <f t="shared" si="1"/>
        <v>33.644282578651037</v>
      </c>
      <c r="O9" s="55">
        <f>[1]Cotton!$L10</f>
        <v>42.409420529179094</v>
      </c>
      <c r="P9" s="56"/>
      <c r="Q9" s="53">
        <f t="shared" si="2"/>
        <v>42.409420529179094</v>
      </c>
      <c r="T9" s="55">
        <f>'[2]Adjusted prices'!$U11</f>
        <v>72.470230496724</v>
      </c>
      <c r="U9" s="56"/>
      <c r="V9" s="53">
        <f t="shared" si="3"/>
        <v>72.470230496724</v>
      </c>
      <c r="X9" s="55">
        <f>[1]Cacao!$U10</f>
        <v>44.081830222991286</v>
      </c>
      <c r="Z9" s="58">
        <f t="shared" si="5"/>
        <v>44.081830222991286</v>
      </c>
    </row>
    <row r="10" spans="1:26" x14ac:dyDescent="0.2">
      <c r="A10" s="50">
        <f t="shared" si="4"/>
        <v>1828</v>
      </c>
      <c r="D10" s="51">
        <f>[1]Coffee!$W12</f>
        <v>49.62947719210824</v>
      </c>
      <c r="F10" s="53">
        <f t="shared" si="0"/>
        <v>49.62947719210824</v>
      </c>
      <c r="J10" s="55">
        <f>[1]Sugar!$M12</f>
        <v>32.52337236519169</v>
      </c>
      <c r="K10" s="56"/>
      <c r="L10" s="53">
        <f t="shared" si="1"/>
        <v>32.52337236519169</v>
      </c>
      <c r="O10" s="55">
        <f>[1]Cotton!$L11</f>
        <v>46.256542553902925</v>
      </c>
      <c r="P10" s="56"/>
      <c r="Q10" s="53">
        <f t="shared" si="2"/>
        <v>46.256542553902925</v>
      </c>
      <c r="T10" s="55">
        <f>'[2]Adjusted prices'!$U12</f>
        <v>78.323510599750961</v>
      </c>
      <c r="U10" s="56"/>
      <c r="V10" s="53">
        <f t="shared" si="3"/>
        <v>78.323510599750961</v>
      </c>
      <c r="X10" s="55">
        <f>[1]Cacao!$U11</f>
        <v>46.914251099379868</v>
      </c>
      <c r="Z10" s="58">
        <f t="shared" si="5"/>
        <v>46.914251099379868</v>
      </c>
    </row>
    <row r="11" spans="1:26" x14ac:dyDescent="0.2">
      <c r="A11" s="50">
        <f t="shared" si="4"/>
        <v>1829</v>
      </c>
      <c r="D11" s="51">
        <f>[1]Coffee!$W13</f>
        <v>46.737553442585906</v>
      </c>
      <c r="F11" s="53">
        <f t="shared" si="0"/>
        <v>46.737553442585906</v>
      </c>
      <c r="J11" s="55">
        <f>[1]Sugar!$M13</f>
        <v>28.44688459365593</v>
      </c>
      <c r="K11" s="56"/>
      <c r="L11" s="53">
        <f t="shared" si="1"/>
        <v>28.44688459365593</v>
      </c>
      <c r="O11" s="55">
        <f>[1]Cotton!$L12</f>
        <v>40.10360676579468</v>
      </c>
      <c r="P11" s="56"/>
      <c r="Q11" s="53">
        <f t="shared" si="2"/>
        <v>40.10360676579468</v>
      </c>
      <c r="T11" s="55">
        <f>'[2]Adjusted prices'!$U13</f>
        <v>60.601106643533079</v>
      </c>
      <c r="U11" s="56"/>
      <c r="V11" s="53">
        <f t="shared" si="3"/>
        <v>60.601106643533079</v>
      </c>
      <c r="X11" s="55">
        <f>[1]Cacao!$U12</f>
        <v>44.956222030621916</v>
      </c>
      <c r="Z11" s="58">
        <f t="shared" si="5"/>
        <v>44.956222030621916</v>
      </c>
    </row>
    <row r="12" spans="1:26" x14ac:dyDescent="0.2">
      <c r="A12" s="50">
        <f t="shared" si="4"/>
        <v>1830</v>
      </c>
      <c r="D12" s="51">
        <f>[1]Coffee!$W14</f>
        <v>44.83341572152456</v>
      </c>
      <c r="F12" s="53">
        <f t="shared" si="0"/>
        <v>44.83341572152456</v>
      </c>
      <c r="J12" s="55">
        <f>[1]Sugar!$M14</f>
        <v>25.756916761997985</v>
      </c>
      <c r="K12" s="56"/>
      <c r="L12" s="53">
        <f t="shared" si="1"/>
        <v>25.756916761997985</v>
      </c>
      <c r="O12" s="55">
        <f>[1]Cotton!$L13</f>
        <v>49.746606849430208</v>
      </c>
      <c r="P12" s="56"/>
      <c r="Q12" s="53">
        <f t="shared" si="2"/>
        <v>49.746606849430208</v>
      </c>
      <c r="T12" s="55">
        <f>'[2]Adjusted prices'!$U14</f>
        <v>59.420663154716067</v>
      </c>
      <c r="U12" s="56"/>
      <c r="V12" s="53">
        <f t="shared" si="3"/>
        <v>59.420663154716067</v>
      </c>
      <c r="X12" s="55">
        <f>[1]Cacao!$U13</f>
        <v>43.247749626759699</v>
      </c>
      <c r="Z12" s="58">
        <f t="shared" si="5"/>
        <v>43.247749626759699</v>
      </c>
    </row>
    <row r="13" spans="1:26" x14ac:dyDescent="0.2">
      <c r="A13" s="50">
        <f t="shared" si="4"/>
        <v>1831</v>
      </c>
      <c r="D13" s="51">
        <f>[1]Coffee!$W15</f>
        <v>45.275208183153389</v>
      </c>
      <c r="F13" s="53">
        <f t="shared" si="0"/>
        <v>45.275208183153389</v>
      </c>
      <c r="J13" s="55">
        <f>[1]Sugar!$M15</f>
        <v>24.835755679076833</v>
      </c>
      <c r="K13" s="56"/>
      <c r="L13" s="53">
        <f t="shared" si="1"/>
        <v>24.835755679076833</v>
      </c>
      <c r="O13" s="55">
        <f>[1]Cotton!$L14</f>
        <v>39.217006074260915</v>
      </c>
      <c r="P13" s="56"/>
      <c r="Q13" s="53">
        <f t="shared" si="2"/>
        <v>39.217006074260915</v>
      </c>
      <c r="T13" s="55">
        <f>'[2]Adjusted prices'!$U15</f>
        <v>63.790823084762408</v>
      </c>
      <c r="U13" s="56"/>
      <c r="V13" s="53">
        <f t="shared" si="3"/>
        <v>63.790823084762408</v>
      </c>
      <c r="X13" s="55">
        <f>[1]Cacao!$U14</f>
        <v>29.992302200928897</v>
      </c>
      <c r="Z13" s="58">
        <f t="shared" si="5"/>
        <v>29.992302200928897</v>
      </c>
    </row>
    <row r="14" spans="1:26" x14ac:dyDescent="0.2">
      <c r="A14" s="50">
        <f t="shared" si="4"/>
        <v>1832</v>
      </c>
      <c r="D14" s="51">
        <f>[1]Coffee!$W16</f>
        <v>51.688554405384451</v>
      </c>
      <c r="F14" s="53">
        <f t="shared" si="0"/>
        <v>51.688554405384451</v>
      </c>
      <c r="J14" s="55">
        <f>[1]Sugar!$M16</f>
        <v>26.66222999423945</v>
      </c>
      <c r="K14" s="56"/>
      <c r="L14" s="53">
        <f t="shared" si="1"/>
        <v>26.66222999423945</v>
      </c>
      <c r="O14" s="55">
        <f>[1]Cotton!$L15</f>
        <v>48.290781624800331</v>
      </c>
      <c r="P14" s="56"/>
      <c r="Q14" s="53">
        <f t="shared" si="2"/>
        <v>48.290781624800331</v>
      </c>
      <c r="T14" s="55">
        <f>'[2]Adjusted prices'!$U16</f>
        <v>60.944848606633215</v>
      </c>
      <c r="U14" s="56"/>
      <c r="V14" s="53">
        <f t="shared" si="3"/>
        <v>60.944848606633215</v>
      </c>
      <c r="X14" s="55">
        <f>[1]Cacao!$U15</f>
        <v>35.54617712538662</v>
      </c>
      <c r="Z14" s="58">
        <f t="shared" si="5"/>
        <v>35.54617712538662</v>
      </c>
    </row>
    <row r="15" spans="1:26" x14ac:dyDescent="0.2">
      <c r="A15" s="50">
        <f t="shared" si="4"/>
        <v>1833</v>
      </c>
      <c r="D15" s="51">
        <f>[1]Coffee!$W17</f>
        <v>52.904536053700795</v>
      </c>
      <c r="F15" s="53">
        <f t="shared" si="0"/>
        <v>52.904536053700795</v>
      </c>
      <c r="J15" s="55">
        <f>[1]Sugar!$M17</f>
        <v>29.71268029307069</v>
      </c>
      <c r="K15" s="56"/>
      <c r="L15" s="53">
        <f t="shared" si="1"/>
        <v>29.71268029307069</v>
      </c>
      <c r="O15" s="55">
        <f>[1]Cotton!$L16</f>
        <v>63.226155595390743</v>
      </c>
      <c r="P15" s="56"/>
      <c r="Q15" s="53">
        <f t="shared" si="2"/>
        <v>63.226155595390743</v>
      </c>
      <c r="T15" s="55">
        <f>'[2]Adjusted prices'!$U17</f>
        <v>61.251475358246182</v>
      </c>
      <c r="U15" s="56"/>
      <c r="V15" s="53">
        <f t="shared" si="3"/>
        <v>61.251475358246182</v>
      </c>
      <c r="X15" s="55">
        <f>[1]Cacao!$U16</f>
        <v>37.092277859669359</v>
      </c>
      <c r="Z15" s="58">
        <f t="shared" si="5"/>
        <v>37.092277859669359</v>
      </c>
    </row>
    <row r="16" spans="1:26" x14ac:dyDescent="0.2">
      <c r="A16" s="50">
        <f t="shared" si="4"/>
        <v>1834</v>
      </c>
      <c r="D16" s="51">
        <f>[1]Coffee!$W18</f>
        <v>50.386684762151958</v>
      </c>
      <c r="F16" s="53">
        <f t="shared" si="0"/>
        <v>50.386684762151958</v>
      </c>
      <c r="J16" s="55">
        <f>[1]Sugar!$M18</f>
        <v>30.564444727851384</v>
      </c>
      <c r="K16" s="56"/>
      <c r="L16" s="53">
        <f t="shared" si="1"/>
        <v>30.564444727851384</v>
      </c>
      <c r="O16" s="55">
        <f>[1]Cotton!$L17</f>
        <v>65.483041383346389</v>
      </c>
      <c r="P16" s="56"/>
      <c r="Q16" s="53">
        <f t="shared" si="2"/>
        <v>65.483041383346389</v>
      </c>
      <c r="T16" s="55">
        <f>'[2]Adjusted prices'!$U18</f>
        <v>58.793689903840907</v>
      </c>
      <c r="U16" s="56"/>
      <c r="V16" s="53">
        <f t="shared" si="3"/>
        <v>58.793689903840907</v>
      </c>
      <c r="X16" s="55">
        <f>[1]Cacao!$U17</f>
        <v>34.029624178681949</v>
      </c>
      <c r="Z16" s="58">
        <f t="shared" si="5"/>
        <v>34.029624178681949</v>
      </c>
    </row>
    <row r="17" spans="1:26" x14ac:dyDescent="0.2">
      <c r="A17" s="50">
        <f t="shared" si="4"/>
        <v>1835</v>
      </c>
      <c r="D17" s="51">
        <f>[1]Coffee!$W19</f>
        <v>50.637213077098167</v>
      </c>
      <c r="F17" s="53">
        <f t="shared" si="0"/>
        <v>50.637213077098167</v>
      </c>
      <c r="J17" s="55">
        <f>[1]Sugar!$M19</f>
        <v>34.363703924627032</v>
      </c>
      <c r="K17" s="56"/>
      <c r="L17" s="53">
        <f t="shared" si="1"/>
        <v>34.363703924627032</v>
      </c>
      <c r="O17" s="55">
        <f>[1]Cotton!$L18</f>
        <v>75.117688351722308</v>
      </c>
      <c r="P17" s="56"/>
      <c r="Q17" s="53">
        <f t="shared" si="2"/>
        <v>75.117688351722308</v>
      </c>
      <c r="T17" s="55">
        <f>'[2]Adjusted prices'!$U19</f>
        <v>51.957439655416849</v>
      </c>
      <c r="U17" s="56"/>
      <c r="V17" s="53">
        <f t="shared" si="3"/>
        <v>51.957439655416849</v>
      </c>
      <c r="X17" s="55">
        <f>[1]Cacao!$U18</f>
        <v>41.596277153348225</v>
      </c>
      <c r="Z17" s="58">
        <f t="shared" si="5"/>
        <v>41.596277153348225</v>
      </c>
    </row>
    <row r="18" spans="1:26" x14ac:dyDescent="0.2">
      <c r="A18" s="50">
        <f t="shared" si="4"/>
        <v>1836</v>
      </c>
      <c r="D18" s="51">
        <f>[1]Coffee!$W20</f>
        <v>49.468143513012464</v>
      </c>
      <c r="F18" s="53">
        <f t="shared" si="0"/>
        <v>49.468143513012464</v>
      </c>
      <c r="J18" s="55">
        <f>[1]Sugar!$M20</f>
        <v>38.773059465734178</v>
      </c>
      <c r="K18" s="56"/>
      <c r="L18" s="53">
        <f t="shared" si="1"/>
        <v>38.773059465734178</v>
      </c>
      <c r="O18" s="55">
        <f>[1]Cotton!$L19</f>
        <v>68.765917993886077</v>
      </c>
      <c r="P18" s="56"/>
      <c r="Q18" s="53">
        <f t="shared" si="2"/>
        <v>68.765917993886077</v>
      </c>
      <c r="T18" s="55">
        <f>'[2]Adjusted prices'!$U20</f>
        <v>51.503049257152099</v>
      </c>
      <c r="U18" s="56"/>
      <c r="V18" s="53">
        <f t="shared" si="3"/>
        <v>51.503049257152099</v>
      </c>
      <c r="X18" s="55">
        <f>[1]Cacao!$U19</f>
        <v>35.855765920703597</v>
      </c>
      <c r="Z18" s="58">
        <f t="shared" si="5"/>
        <v>35.855765920703597</v>
      </c>
    </row>
    <row r="19" spans="1:26" x14ac:dyDescent="0.2">
      <c r="A19" s="50">
        <f t="shared" si="4"/>
        <v>1837</v>
      </c>
      <c r="D19" s="51">
        <f>[1]Coffee!$W21</f>
        <v>43.527981793492529</v>
      </c>
      <c r="F19" s="53">
        <f t="shared" si="0"/>
        <v>43.527981793492529</v>
      </c>
      <c r="J19" s="55">
        <f>[1]Sugar!$M21</f>
        <v>29.999447805005794</v>
      </c>
      <c r="K19" s="56"/>
      <c r="L19" s="53">
        <f t="shared" si="1"/>
        <v>29.999447805005794</v>
      </c>
      <c r="O19" s="55">
        <f>[1]Cotton!$L20</f>
        <v>43.893517925379797</v>
      </c>
      <c r="P19" s="56"/>
      <c r="Q19" s="53">
        <f t="shared" si="2"/>
        <v>43.893517925379797</v>
      </c>
      <c r="T19" s="55">
        <f>'[2]Adjusted prices'!$U21</f>
        <v>49.463973581866583</v>
      </c>
      <c r="U19" s="56"/>
      <c r="V19" s="53">
        <f t="shared" si="3"/>
        <v>49.463973581866583</v>
      </c>
      <c r="X19" s="55">
        <f>[1]Cacao!$U20</f>
        <v>36.516541872936443</v>
      </c>
      <c r="Z19" s="58">
        <f t="shared" si="5"/>
        <v>36.516541872936443</v>
      </c>
    </row>
    <row r="20" spans="1:26" x14ac:dyDescent="0.2">
      <c r="A20" s="50">
        <f t="shared" si="4"/>
        <v>1838</v>
      </c>
      <c r="D20" s="51">
        <f>[1]Coffee!$W22</f>
        <v>43.789963459725357</v>
      </c>
      <c r="F20" s="53">
        <f t="shared" si="0"/>
        <v>43.789963459725357</v>
      </c>
      <c r="J20" s="55">
        <f>[1]Sugar!$M22</f>
        <v>31.923917612093575</v>
      </c>
      <c r="K20" s="56"/>
      <c r="L20" s="53">
        <f t="shared" si="1"/>
        <v>31.923917612093575</v>
      </c>
      <c r="O20" s="55">
        <f>[1]Cotton!$L21</f>
        <v>44.108126971775889</v>
      </c>
      <c r="P20" s="56"/>
      <c r="Q20" s="53">
        <f t="shared" si="2"/>
        <v>44.108126971775889</v>
      </c>
      <c r="T20" s="55">
        <f>'[2]Adjusted prices'!$U22</f>
        <v>52.074092391974332</v>
      </c>
      <c r="U20" s="56"/>
      <c r="V20" s="53">
        <f t="shared" si="3"/>
        <v>52.074092391974332</v>
      </c>
      <c r="X20" s="55">
        <f>[1]Cacao!$U21</f>
        <v>36.550268622820226</v>
      </c>
      <c r="Z20" s="58">
        <f t="shared" si="5"/>
        <v>36.550268622820226</v>
      </c>
    </row>
    <row r="21" spans="1:26" x14ac:dyDescent="0.2">
      <c r="A21" s="50">
        <f t="shared" si="4"/>
        <v>1839</v>
      </c>
      <c r="D21" s="51">
        <f>[1]Coffee!$W23</f>
        <v>45.057982542018749</v>
      </c>
      <c r="F21" s="53">
        <f t="shared" si="0"/>
        <v>45.057982542018749</v>
      </c>
      <c r="J21" s="55">
        <f>[1]Sugar!$M23</f>
        <v>31.97708440787887</v>
      </c>
      <c r="K21" s="56"/>
      <c r="L21" s="53">
        <f t="shared" si="1"/>
        <v>31.97708440787887</v>
      </c>
      <c r="O21" s="55">
        <f>[1]Cotton!$L22</f>
        <v>54.508765309040051</v>
      </c>
      <c r="P21" s="56"/>
      <c r="Q21" s="53">
        <f t="shared" si="2"/>
        <v>54.508765309040051</v>
      </c>
      <c r="T21" s="55">
        <f>'[2]Adjusted prices'!$U23</f>
        <v>55.744619743361675</v>
      </c>
      <c r="U21" s="56"/>
      <c r="V21" s="53">
        <f t="shared" si="3"/>
        <v>55.744619743361675</v>
      </c>
      <c r="X21" s="55">
        <f>[1]Cacao!$U22</f>
        <v>33.944401799644282</v>
      </c>
      <c r="Z21" s="58">
        <f t="shared" si="5"/>
        <v>33.944401799644282</v>
      </c>
    </row>
    <row r="22" spans="1:26" x14ac:dyDescent="0.2">
      <c r="A22" s="50">
        <f t="shared" si="4"/>
        <v>1840</v>
      </c>
      <c r="D22" s="51">
        <f>[1]Coffee!$W24</f>
        <v>43.856610716214369</v>
      </c>
      <c r="F22" s="53">
        <f t="shared" si="0"/>
        <v>43.856610716214369</v>
      </c>
      <c r="J22" s="55">
        <f>[1]Sugar!$M24</f>
        <v>36.023067915428165</v>
      </c>
      <c r="K22" s="56"/>
      <c r="L22" s="53">
        <f t="shared" si="1"/>
        <v>36.023067915428165</v>
      </c>
      <c r="O22" s="55">
        <f>[1]Cotton!$L23</f>
        <v>38.568448573276598</v>
      </c>
      <c r="P22" s="56"/>
      <c r="Q22" s="53">
        <f t="shared" si="2"/>
        <v>38.568448573276598</v>
      </c>
      <c r="T22" s="55">
        <f>'[2]Adjusted prices'!$U24</f>
        <v>61.387108854806058</v>
      </c>
      <c r="U22" s="56"/>
      <c r="V22" s="53">
        <f t="shared" si="3"/>
        <v>61.387108854806058</v>
      </c>
      <c r="X22" s="55">
        <f>[1]Cacao!$U23</f>
        <v>39.186498520949684</v>
      </c>
      <c r="Z22" s="58">
        <f t="shared" si="5"/>
        <v>39.186498520949684</v>
      </c>
    </row>
    <row r="23" spans="1:26" x14ac:dyDescent="0.2">
      <c r="A23" s="50">
        <f t="shared" si="4"/>
        <v>1841</v>
      </c>
      <c r="D23" s="51">
        <f>[1]Coffee!$W25</f>
        <v>43.629910815266939</v>
      </c>
      <c r="F23" s="53">
        <f t="shared" si="0"/>
        <v>43.629910815266939</v>
      </c>
      <c r="J23" s="55">
        <f>[1]Sugar!$M25</f>
        <v>31.859081638755868</v>
      </c>
      <c r="K23" s="56"/>
      <c r="L23" s="53">
        <f t="shared" si="1"/>
        <v>31.859081638755868</v>
      </c>
      <c r="O23" s="55">
        <f>[1]Cotton!$L24</f>
        <v>43.003649604109079</v>
      </c>
      <c r="P23" s="56"/>
      <c r="Q23" s="53">
        <f t="shared" si="2"/>
        <v>43.003649604109079</v>
      </c>
      <c r="T23" s="55">
        <f>'[2]Adjusted prices'!$U25</f>
        <v>57.067407573838551</v>
      </c>
      <c r="U23" s="56"/>
      <c r="V23" s="53">
        <f t="shared" si="3"/>
        <v>57.067407573838551</v>
      </c>
      <c r="X23" s="55">
        <f>[1]Cacao!$U24</f>
        <v>44.701254727354083</v>
      </c>
      <c r="Z23" s="58">
        <f t="shared" si="5"/>
        <v>44.701254727354083</v>
      </c>
    </row>
    <row r="24" spans="1:26" x14ac:dyDescent="0.2">
      <c r="A24" s="50">
        <f t="shared" si="4"/>
        <v>1842</v>
      </c>
      <c r="D24" s="51">
        <f>[1]Coffee!$W26</f>
        <v>38.211980835921622</v>
      </c>
      <c r="F24" s="53">
        <f t="shared" si="0"/>
        <v>38.211980835921622</v>
      </c>
      <c r="J24" s="55">
        <f>[1]Sugar!$M26</f>
        <v>28.393506316868212</v>
      </c>
      <c r="K24" s="56"/>
      <c r="L24" s="53">
        <f t="shared" si="1"/>
        <v>28.393506316868212</v>
      </c>
      <c r="O24" s="55">
        <f>[1]Cotton!$L25</f>
        <v>36.045284437884689</v>
      </c>
      <c r="P24" s="56"/>
      <c r="Q24" s="53">
        <f t="shared" si="2"/>
        <v>36.045284437884689</v>
      </c>
      <c r="T24" s="55">
        <f>'[2]Adjusted prices'!$U26</f>
        <v>51.233844129630072</v>
      </c>
      <c r="U24" s="56"/>
      <c r="V24" s="53">
        <f t="shared" si="3"/>
        <v>51.233844129630072</v>
      </c>
      <c r="X24" s="55">
        <f>[1]Cacao!$U25</f>
        <v>52.866586500138681</v>
      </c>
      <c r="Z24" s="58">
        <f t="shared" si="5"/>
        <v>52.866586500138681</v>
      </c>
    </row>
    <row r="25" spans="1:26" x14ac:dyDescent="0.2">
      <c r="A25" s="50">
        <f t="shared" si="4"/>
        <v>1843</v>
      </c>
      <c r="D25" s="51">
        <f>[1]Coffee!$W27</f>
        <v>33.83210701422805</v>
      </c>
      <c r="F25" s="53">
        <f t="shared" si="0"/>
        <v>33.83210701422805</v>
      </c>
      <c r="J25" s="55">
        <f>[1]Sugar!$M27</f>
        <v>29.94530812042133</v>
      </c>
      <c r="K25" s="56"/>
      <c r="L25" s="53">
        <f t="shared" si="1"/>
        <v>29.94530812042133</v>
      </c>
      <c r="O25" s="55">
        <f>[1]Cotton!$L26</f>
        <v>31.950939850162296</v>
      </c>
      <c r="P25" s="56"/>
      <c r="Q25" s="53">
        <f t="shared" si="2"/>
        <v>31.950939850162296</v>
      </c>
      <c r="T25" s="55">
        <f>'[2]Adjusted prices'!$U27</f>
        <v>49.297605259209973</v>
      </c>
      <c r="U25" s="56"/>
      <c r="V25" s="53">
        <f t="shared" si="3"/>
        <v>49.297605259209973</v>
      </c>
      <c r="X25" s="55">
        <f>[1]Cacao!$U26</f>
        <v>42.366451622876838</v>
      </c>
      <c r="Z25" s="58">
        <f t="shared" si="5"/>
        <v>42.366451622876838</v>
      </c>
    </row>
    <row r="26" spans="1:26" x14ac:dyDescent="0.2">
      <c r="A26" s="50">
        <f t="shared" si="4"/>
        <v>1844</v>
      </c>
      <c r="D26" s="51">
        <f>[1]Coffee!$W28</f>
        <v>31.305886028825853</v>
      </c>
      <c r="F26" s="53">
        <f t="shared" si="0"/>
        <v>31.305886028825853</v>
      </c>
      <c r="J26" s="55">
        <f>[1]Sugar!$M28</f>
        <v>29.216203767095827</v>
      </c>
      <c r="K26" s="56"/>
      <c r="L26" s="53">
        <f t="shared" si="1"/>
        <v>29.216203767095827</v>
      </c>
      <c r="O26" s="55">
        <f>[1]Cotton!$L27</f>
        <v>34.863399966092011</v>
      </c>
      <c r="P26" s="56"/>
      <c r="Q26" s="53">
        <f t="shared" si="2"/>
        <v>34.863399966092011</v>
      </c>
      <c r="T26" s="55">
        <f>'[2]Adjusted prices'!$U28</f>
        <v>49.315523138801851</v>
      </c>
      <c r="U26" s="56"/>
      <c r="V26" s="53">
        <f t="shared" si="3"/>
        <v>49.315523138801851</v>
      </c>
      <c r="X26" s="55">
        <f>[1]Cacao!$U27</f>
        <v>42.666638886948974</v>
      </c>
      <c r="Z26" s="58">
        <f t="shared" si="5"/>
        <v>42.666638886948974</v>
      </c>
    </row>
    <row r="27" spans="1:26" x14ac:dyDescent="0.2">
      <c r="A27" s="50">
        <f t="shared" si="4"/>
        <v>1845</v>
      </c>
      <c r="D27" s="51">
        <f>[1]Coffee!$W29</f>
        <v>29.646063821488816</v>
      </c>
      <c r="F27" s="53">
        <f t="shared" si="0"/>
        <v>29.646063821488816</v>
      </c>
      <c r="J27" s="55">
        <f>[1]Sugar!$M29</f>
        <v>32.587638299037849</v>
      </c>
      <c r="K27" s="56"/>
      <c r="L27" s="53">
        <f t="shared" si="1"/>
        <v>32.587638299037849</v>
      </c>
      <c r="O27" s="55">
        <f>[1]Cotton!$L28</f>
        <v>27.737169411589871</v>
      </c>
      <c r="P27" s="56"/>
      <c r="Q27" s="53">
        <f t="shared" si="2"/>
        <v>27.737169411589871</v>
      </c>
      <c r="T27" s="55">
        <f>'[2]Adjusted prices'!$U29</f>
        <v>48.206508977125296</v>
      </c>
      <c r="U27" s="56"/>
      <c r="V27" s="53">
        <f t="shared" si="3"/>
        <v>48.206508977125296</v>
      </c>
      <c r="X27" s="55">
        <f>[1]Cacao!$U28</f>
        <v>40.961808785112339</v>
      </c>
      <c r="Z27" s="58">
        <f t="shared" si="5"/>
        <v>40.961808785112339</v>
      </c>
    </row>
    <row r="28" spans="1:26" x14ac:dyDescent="0.2">
      <c r="A28" s="50">
        <f t="shared" si="4"/>
        <v>1846</v>
      </c>
      <c r="B28" s="51">
        <f>'[2]Adjusted prices'!$AB30</f>
        <v>25.647604260460341</v>
      </c>
      <c r="D28" s="51">
        <f>[1]Coffee!$W30</f>
        <v>30.190084101706432</v>
      </c>
      <c r="E28" s="52">
        <f>AVERAGE(D28,B28)</f>
        <v>27.918844181083387</v>
      </c>
      <c r="F28" s="53">
        <f>E28</f>
        <v>27.918844181083387</v>
      </c>
      <c r="H28" s="59">
        <f>'[2]Adjusted prices'!$AA30</f>
        <v>28.734154393599724</v>
      </c>
      <c r="I28" s="59"/>
      <c r="J28" s="60">
        <f>[1]Sugar!$M30</f>
        <v>31.455004299861272</v>
      </c>
      <c r="K28" s="56">
        <f>AVERAGE(J28,H28)</f>
        <v>30.094579346730498</v>
      </c>
      <c r="L28" s="53">
        <f>K28</f>
        <v>30.094579346730498</v>
      </c>
      <c r="M28" s="50">
        <f>'[2]Adjusted prices'!$AC30</f>
        <v>36.039941926954391</v>
      </c>
      <c r="O28" s="55">
        <f>[1]Cotton!$L29</f>
        <v>35.413184449367158</v>
      </c>
      <c r="P28" s="56">
        <f>AVERAGE(O28,M28)</f>
        <v>35.726563188160775</v>
      </c>
      <c r="Q28" s="53">
        <f>P28</f>
        <v>35.726563188160775</v>
      </c>
      <c r="R28" s="50">
        <f>'[2]Adjusted prices'!$AD30</f>
        <v>51.174622569272529</v>
      </c>
      <c r="T28" s="55">
        <f>'[2]Adjusted prices'!$U30</f>
        <v>45.608823570299975</v>
      </c>
      <c r="U28" s="56">
        <f>AVERAGE(T28,R28)</f>
        <v>48.391723069786252</v>
      </c>
      <c r="V28" s="53">
        <f t="shared" ref="V28:V36" si="6">U28</f>
        <v>48.391723069786252</v>
      </c>
      <c r="X28" s="55">
        <f>[1]Cacao!$U29</f>
        <v>42.434057368688968</v>
      </c>
      <c r="Z28" s="58">
        <f t="shared" si="5"/>
        <v>42.434057368688968</v>
      </c>
    </row>
    <row r="29" spans="1:26" x14ac:dyDescent="0.2">
      <c r="A29" s="50">
        <f t="shared" si="4"/>
        <v>1847</v>
      </c>
      <c r="B29" s="51">
        <f>'[2]Adjusted prices'!$AB31</f>
        <v>26.686879206844729</v>
      </c>
      <c r="D29" s="51">
        <f>[1]Coffee!$W31</f>
        <v>30.579255637988719</v>
      </c>
      <c r="E29" s="52">
        <f>AVERAGE(D29,B29)</f>
        <v>28.633067422416723</v>
      </c>
      <c r="F29" s="53">
        <f>E29</f>
        <v>28.633067422416723</v>
      </c>
      <c r="H29" s="59">
        <f>'[2]Adjusted prices'!$AA31</f>
        <v>23.481855714691147</v>
      </c>
      <c r="J29" s="55">
        <f>[1]Sugar!$M31</f>
        <v>27.475384493140368</v>
      </c>
      <c r="K29" s="56">
        <f>AVERAGE(J29,H29)</f>
        <v>25.478620103915759</v>
      </c>
      <c r="L29" s="53">
        <f>K29</f>
        <v>25.478620103915759</v>
      </c>
      <c r="M29" s="50">
        <f>'[2]Adjusted prices'!$AC31</f>
        <v>46.180870637652681</v>
      </c>
      <c r="O29" s="55">
        <f>[1]Cotton!$L30</f>
        <v>45.383172312612203</v>
      </c>
      <c r="P29" s="56">
        <f>AVERAGE(O29,M29)</f>
        <v>45.782021475132439</v>
      </c>
      <c r="Q29" s="53">
        <f>P29</f>
        <v>45.782021475132439</v>
      </c>
      <c r="R29" s="50">
        <f>'[2]Adjusted prices'!$AD31</f>
        <v>46.193150917748504</v>
      </c>
      <c r="T29" s="55">
        <f>'[2]Adjusted prices'!$U31</f>
        <v>42.068681820263755</v>
      </c>
      <c r="U29" s="56">
        <f t="shared" ref="U29:U35" si="7">AVERAGE(T29,R29)</f>
        <v>44.13091636900613</v>
      </c>
      <c r="V29" s="53">
        <f t="shared" si="6"/>
        <v>44.13091636900613</v>
      </c>
      <c r="X29" s="55">
        <f>[1]Cacao!$U30</f>
        <v>42.374922588553069</v>
      </c>
      <c r="Z29" s="58">
        <f t="shared" si="5"/>
        <v>42.374922588553069</v>
      </c>
    </row>
    <row r="30" spans="1:26" x14ac:dyDescent="0.2">
      <c r="A30" s="50">
        <f t="shared" si="4"/>
        <v>1848</v>
      </c>
      <c r="B30" s="51">
        <f>'[2]Adjusted prices'!$AB32</f>
        <v>23.17305632690946</v>
      </c>
      <c r="D30" s="51">
        <f>[1]Coffee!$W32</f>
        <v>27.05398978154566</v>
      </c>
      <c r="E30" s="52">
        <f>AVERAGE(D30,B30)</f>
        <v>25.11352305422756</v>
      </c>
      <c r="F30" s="53">
        <f>E30</f>
        <v>25.11352305422756</v>
      </c>
      <c r="H30" s="59">
        <f>'[2]Adjusted prices'!$AA32</f>
        <v>17.243745742696177</v>
      </c>
      <c r="J30" s="55">
        <f>[1]Sugar!$M32</f>
        <v>21.051611061760681</v>
      </c>
      <c r="K30" s="56">
        <f>AVERAGE(J30,H30)</f>
        <v>19.147678402228429</v>
      </c>
      <c r="L30" s="53">
        <f>K30</f>
        <v>19.147678402228429</v>
      </c>
      <c r="M30" s="50">
        <f>'[2]Adjusted prices'!$AC32</f>
        <v>30.237910016473776</v>
      </c>
      <c r="O30" s="55">
        <f>[1]Cotton!$L31</f>
        <v>28.595567718793596</v>
      </c>
      <c r="P30" s="56">
        <f>AVERAGE(O30,M30)</f>
        <v>29.416738867633686</v>
      </c>
      <c r="Q30" s="53">
        <f>P30</f>
        <v>29.416738867633686</v>
      </c>
      <c r="R30" s="50">
        <f>'[2]Adjusted prices'!$AD32</f>
        <v>36.877448402808177</v>
      </c>
      <c r="T30" s="55">
        <f>'[2]Adjusted prices'!$U32</f>
        <v>41.315520204669895</v>
      </c>
      <c r="U30" s="56">
        <f t="shared" si="7"/>
        <v>39.096484303739032</v>
      </c>
      <c r="V30" s="53">
        <f t="shared" si="6"/>
        <v>39.096484303739032</v>
      </c>
      <c r="X30" s="55">
        <f>[1]Cacao!$U31</f>
        <v>40.89254063083861</v>
      </c>
      <c r="Z30" s="58">
        <f t="shared" si="5"/>
        <v>40.89254063083861</v>
      </c>
    </row>
    <row r="31" spans="1:26" x14ac:dyDescent="0.2">
      <c r="A31" s="50">
        <f t="shared" si="4"/>
        <v>1849</v>
      </c>
      <c r="B31" s="51">
        <f>'[2]Adjusted prices'!$AB33</f>
        <v>30.556136511698842</v>
      </c>
      <c r="D31" s="51">
        <f>[1]Coffee!$W33</f>
        <v>32.030216394135543</v>
      </c>
      <c r="E31" s="52">
        <f>AVERAGE(D31,B31)</f>
        <v>31.293176452917194</v>
      </c>
      <c r="F31" s="53">
        <f>E31</f>
        <v>31.293176452917194</v>
      </c>
      <c r="H31" s="59">
        <f>'[2]Adjusted prices'!$AA33</f>
        <v>19.022333423815958</v>
      </c>
      <c r="J31" s="55">
        <f>[1]Sugar!$M33</f>
        <v>24.018145470422279</v>
      </c>
      <c r="K31" s="56">
        <f>AVERAGE(J31,H31)</f>
        <v>21.520239447119117</v>
      </c>
      <c r="L31" s="53">
        <f>K31</f>
        <v>21.520239447119117</v>
      </c>
      <c r="M31" s="50">
        <f>'[2]Adjusted prices'!$AC33</f>
        <v>38.602867672740423</v>
      </c>
      <c r="O31" s="55">
        <f>[1]Cotton!$L32</f>
        <v>29.897852388753694</v>
      </c>
      <c r="P31" s="56">
        <f>AVERAGE(O31,M31)</f>
        <v>34.250360030747061</v>
      </c>
      <c r="Q31" s="53">
        <f>P31</f>
        <v>34.250360030747061</v>
      </c>
      <c r="R31" s="50">
        <f>'[2]Adjusted prices'!$AD33</f>
        <v>36.20366493231046</v>
      </c>
      <c r="T31" s="55">
        <f>'[2]Adjusted prices'!$U33</f>
        <v>38.616905598159072</v>
      </c>
      <c r="U31" s="56">
        <f t="shared" si="7"/>
        <v>37.410285265234762</v>
      </c>
      <c r="V31" s="53">
        <f t="shared" si="6"/>
        <v>37.410285265234762</v>
      </c>
      <c r="X31" s="55">
        <f>[1]Cacao!$U32</f>
        <v>42.722501942285227</v>
      </c>
      <c r="Z31" s="58">
        <f t="shared" si="5"/>
        <v>42.722501942285227</v>
      </c>
    </row>
    <row r="32" spans="1:26" x14ac:dyDescent="0.2">
      <c r="A32" s="50">
        <f t="shared" si="4"/>
        <v>1850</v>
      </c>
      <c r="B32" s="51">
        <f>'[2]Adjusted prices'!$AB34</f>
        <v>40.647502858631597</v>
      </c>
      <c r="D32" s="51">
        <f>[1]Coffee!$W34</f>
        <v>41.857456002341628</v>
      </c>
      <c r="E32" s="52">
        <f>AVERAGE(D32,B32)</f>
        <v>41.252479430486616</v>
      </c>
      <c r="F32" s="53">
        <f>E32</f>
        <v>41.252479430486616</v>
      </c>
      <c r="H32" s="59">
        <f>'[2]Adjusted prices'!$AA34</f>
        <v>19.919886786427639</v>
      </c>
      <c r="J32" s="55">
        <f>[1]Sugar!$M34</f>
        <v>26.826908092204501</v>
      </c>
      <c r="K32" s="56">
        <f>AVERAGE(J32,H32)</f>
        <v>23.373397439316072</v>
      </c>
      <c r="L32" s="53">
        <f>K32</f>
        <v>23.373397439316072</v>
      </c>
      <c r="M32" s="50">
        <f>'[2]Adjusted prices'!$AC34</f>
        <v>55.549497318435442</v>
      </c>
      <c r="O32" s="55">
        <f>[1]Cotton!$L33</f>
        <v>56.3900053163511</v>
      </c>
      <c r="P32" s="56">
        <f>AVERAGE(O32,M32)</f>
        <v>55.969751317393275</v>
      </c>
      <c r="Q32" s="53">
        <f>P32</f>
        <v>55.969751317393275</v>
      </c>
      <c r="R32" s="50">
        <f>'[2]Adjusted prices'!$AD34</f>
        <v>38.671276703910387</v>
      </c>
      <c r="T32" s="55">
        <f>'[2]Adjusted prices'!$U34</f>
        <v>42.867200824182646</v>
      </c>
      <c r="U32" s="56">
        <f t="shared" si="7"/>
        <v>40.76923876404652</v>
      </c>
      <c r="V32" s="53">
        <f t="shared" si="6"/>
        <v>40.76923876404652</v>
      </c>
      <c r="W32" s="61">
        <v>26.235880852390206</v>
      </c>
      <c r="X32" s="55">
        <f>[1]Cacao!$U33</f>
        <v>42.271588972955868</v>
      </c>
      <c r="Y32" s="52">
        <f>AVERAGE(W32:X32)</f>
        <v>34.253734912673039</v>
      </c>
      <c r="Z32" s="62">
        <f t="shared" ref="Z32:Z37" si="8">Y32</f>
        <v>34.253734912673039</v>
      </c>
    </row>
    <row r="33" spans="1:26" x14ac:dyDescent="0.2">
      <c r="A33" s="50">
        <f t="shared" si="4"/>
        <v>1851</v>
      </c>
      <c r="B33" s="51">
        <f>'[2]Adjusted prices'!$AB35</f>
        <v>32.658794584748776</v>
      </c>
      <c r="F33" s="53">
        <f>B33</f>
        <v>32.658794584748776</v>
      </c>
      <c r="H33" s="59">
        <f>'[2]Adjusted prices'!$AA35</f>
        <v>19.951045524339026</v>
      </c>
      <c r="L33" s="53">
        <f>H33</f>
        <v>19.951045524339026</v>
      </c>
      <c r="M33" s="50">
        <f>'[2]Adjusted prices'!$AC35</f>
        <v>43.01253446102838</v>
      </c>
      <c r="Q33" s="53">
        <f>M33</f>
        <v>43.01253446102838</v>
      </c>
      <c r="R33" s="50">
        <f>'[2]Adjusted prices'!$AD35</f>
        <v>46.159363300166035</v>
      </c>
      <c r="T33" s="55">
        <f>'[2]Adjusted prices'!$U35</f>
        <v>52.943737706108529</v>
      </c>
      <c r="U33" s="56">
        <f t="shared" si="7"/>
        <v>49.551550503137278</v>
      </c>
      <c r="V33" s="53">
        <f t="shared" si="6"/>
        <v>49.551550503137278</v>
      </c>
      <c r="W33" s="61">
        <v>26.344713994560777</v>
      </c>
      <c r="X33" s="55">
        <f>[1]Cacao!$U34</f>
        <v>40.504861984522961</v>
      </c>
      <c r="Y33" s="52">
        <f>AVERAGE(W33:X33)</f>
        <v>33.424787989541869</v>
      </c>
      <c r="Z33" s="62">
        <f t="shared" si="8"/>
        <v>33.424787989541869</v>
      </c>
    </row>
    <row r="34" spans="1:26" x14ac:dyDescent="0.2">
      <c r="A34" s="50">
        <f t="shared" si="4"/>
        <v>1852</v>
      </c>
      <c r="B34" s="51">
        <f>'[2]Adjusted prices'!$AB36</f>
        <v>35.484168987594387</v>
      </c>
      <c r="F34" s="53">
        <f>B34</f>
        <v>35.484168987594387</v>
      </c>
      <c r="H34" s="59">
        <f>'[2]Adjusted prices'!$AA36</f>
        <v>17.386850725655801</v>
      </c>
      <c r="L34" s="53">
        <f>H34</f>
        <v>17.386850725655801</v>
      </c>
      <c r="M34" s="50">
        <f>'[2]Adjusted prices'!$AC36</f>
        <v>41.787460995409035</v>
      </c>
      <c r="Q34" s="53">
        <f>M34</f>
        <v>41.787460995409035</v>
      </c>
      <c r="R34" s="50">
        <f>'[2]Adjusted prices'!$AD36</f>
        <v>44.576926677599936</v>
      </c>
      <c r="T34" s="55">
        <f>'[2]Adjusted prices'!$U36</f>
        <v>60.489558257497649</v>
      </c>
      <c r="U34" s="56">
        <f t="shared" si="7"/>
        <v>52.533242467548789</v>
      </c>
      <c r="V34" s="53">
        <f t="shared" si="6"/>
        <v>52.533242467548789</v>
      </c>
      <c r="W34" s="61">
        <v>27.301194567398376</v>
      </c>
      <c r="X34" s="55">
        <f>[1]Cacao!$U35</f>
        <v>30.658616214386434</v>
      </c>
      <c r="Y34" s="52">
        <f>AVERAGE(W34:X34)</f>
        <v>28.979905390892405</v>
      </c>
      <c r="Z34" s="62">
        <f t="shared" si="8"/>
        <v>28.979905390892405</v>
      </c>
    </row>
    <row r="35" spans="1:26" x14ac:dyDescent="0.2">
      <c r="A35" s="50">
        <f t="shared" si="4"/>
        <v>1853</v>
      </c>
      <c r="B35" s="51">
        <f>'[2]Adjusted prices'!$AB37</f>
        <v>39.237900906227949</v>
      </c>
      <c r="F35" s="53">
        <f>B35</f>
        <v>39.237900906227949</v>
      </c>
      <c r="H35" s="59">
        <f>'[2]Adjusted prices'!$AA37</f>
        <v>19.436735216022065</v>
      </c>
      <c r="L35" s="53">
        <f>H35</f>
        <v>19.436735216022065</v>
      </c>
      <c r="M35" s="50">
        <f>'[2]Adjusted prices'!$AC37</f>
        <v>46.064489976773082</v>
      </c>
      <c r="Q35" s="53">
        <f>M35</f>
        <v>46.064489976773082</v>
      </c>
      <c r="R35" s="50">
        <f>'[2]Adjusted prices'!$AD37</f>
        <v>52.203345409031023</v>
      </c>
      <c r="T35" s="55">
        <f>'[2]Adjusted prices'!$U37</f>
        <v>71.518397724004757</v>
      </c>
      <c r="U35" s="56">
        <f t="shared" si="7"/>
        <v>61.860871566517886</v>
      </c>
      <c r="V35" s="53">
        <f t="shared" si="6"/>
        <v>61.860871566517886</v>
      </c>
      <c r="W35" s="61">
        <v>26.360646772804884</v>
      </c>
      <c r="X35" s="55">
        <f>[1]Cacao!$U36</f>
        <v>34.351912026169799</v>
      </c>
      <c r="Y35" s="52">
        <f>AVERAGE(W35:X35)</f>
        <v>30.356279399487342</v>
      </c>
      <c r="Z35" s="62">
        <f t="shared" si="8"/>
        <v>30.356279399487342</v>
      </c>
    </row>
    <row r="36" spans="1:26" x14ac:dyDescent="0.2">
      <c r="A36" s="50">
        <v>1854</v>
      </c>
      <c r="B36" s="51">
        <f>'[2]Adjusted prices'!$AB38</f>
        <v>42.855133818377517</v>
      </c>
      <c r="C36" s="63">
        <v>38.524335434467098</v>
      </c>
      <c r="E36" s="52">
        <f>AVERAGE(C36,B36)</f>
        <v>40.689734626422307</v>
      </c>
      <c r="F36" s="53">
        <f>E36</f>
        <v>40.689734626422307</v>
      </c>
      <c r="H36" s="59">
        <f>'[2]Adjusted prices'!$AA38</f>
        <v>17.63905352735101</v>
      </c>
      <c r="I36" s="63">
        <v>17.232973282613305</v>
      </c>
      <c r="K36" s="52"/>
      <c r="L36" s="53">
        <f t="shared" ref="L36:L95" si="9">I36</f>
        <v>17.232973282613305</v>
      </c>
      <c r="M36" s="50">
        <f>'[2]Adjusted prices'!$AC38</f>
        <v>43.031107960737408</v>
      </c>
      <c r="N36" s="61">
        <v>54.731192125961911</v>
      </c>
      <c r="P36" s="52">
        <f>AVERAGE(N36,M36)</f>
        <v>48.881150043349663</v>
      </c>
      <c r="Q36" s="53">
        <f>P36</f>
        <v>48.881150043349663</v>
      </c>
      <c r="R36" s="50">
        <f>'[2]Adjusted prices'!$AD38</f>
        <v>61.049057434500178</v>
      </c>
      <c r="S36" s="61">
        <v>45.045714170922658</v>
      </c>
      <c r="T36" s="55">
        <f>'[2]Adjusted prices'!$U38</f>
        <v>89.900324160327202</v>
      </c>
      <c r="U36" s="56">
        <f>AVERAGE(S36,R36)</f>
        <v>53.047385802711418</v>
      </c>
      <c r="V36" s="53">
        <f t="shared" si="6"/>
        <v>53.047385802711418</v>
      </c>
      <c r="W36" s="61">
        <v>21.456246682004313</v>
      </c>
      <c r="X36" s="55">
        <f>[1]Cacao!$U37</f>
        <v>40.224495817789553</v>
      </c>
      <c r="Y36" s="52">
        <f>AVERAGE(W36:X36)</f>
        <v>30.840371249896933</v>
      </c>
      <c r="Z36" s="62">
        <f t="shared" si="8"/>
        <v>30.840371249896933</v>
      </c>
    </row>
    <row r="37" spans="1:26" x14ac:dyDescent="0.2">
      <c r="A37" s="50">
        <f t="shared" ref="A37:A94" si="10">A36+1</f>
        <v>1855</v>
      </c>
      <c r="B37" s="51">
        <f>'[2]Adjusted prices'!$AB39</f>
        <v>37.631330804988082</v>
      </c>
      <c r="C37" s="55">
        <v>39.48875274154463</v>
      </c>
      <c r="E37" s="52">
        <f>AVERAGE(C37,B37)</f>
        <v>38.560041773266356</v>
      </c>
      <c r="F37" s="53">
        <f>E37</f>
        <v>38.560041773266356</v>
      </c>
      <c r="H37" s="59">
        <f>'[2]Adjusted prices'!$AA39</f>
        <v>21.232414529993505</v>
      </c>
      <c r="I37" s="55">
        <v>22.676775082045182</v>
      </c>
      <c r="L37" s="53">
        <f t="shared" si="9"/>
        <v>22.676775082045182</v>
      </c>
      <c r="M37" s="50">
        <f>'[2]Adjusted prices'!$AC39</f>
        <v>45.017282248782315</v>
      </c>
      <c r="N37" s="51">
        <v>51.460605376551683</v>
      </c>
      <c r="P37" s="52">
        <f>AVERAGE(N37,M37)</f>
        <v>48.238943812667003</v>
      </c>
      <c r="Q37" s="53">
        <f>P37</f>
        <v>48.238943812667003</v>
      </c>
      <c r="R37" s="50">
        <f>'[2]Adjusted prices'!$AD39</f>
        <v>72.967450164772544</v>
      </c>
      <c r="S37" s="54">
        <v>54.240588799386536</v>
      </c>
      <c r="T37" s="55">
        <f>'[2]Adjusted prices'!$U39</f>
        <v>93.794551277488281</v>
      </c>
      <c r="U37" s="56">
        <f t="shared" ref="U37:U43" si="11">AVERAGE(S37,R37)</f>
        <v>63.604019482079536</v>
      </c>
      <c r="V37" s="53">
        <f t="shared" ref="V37:V95" si="12">S37</f>
        <v>54.240588799386536</v>
      </c>
      <c r="W37" s="51">
        <v>32.569700712499163</v>
      </c>
      <c r="X37" s="55">
        <f>[1]Cacao!$U38</f>
        <v>34.933260690444236</v>
      </c>
      <c r="Y37" s="52">
        <f t="shared" ref="Y37:Y43" si="13">AVERAGE(W37:X37)</f>
        <v>33.751480701471699</v>
      </c>
      <c r="Z37" s="62">
        <f t="shared" si="8"/>
        <v>33.751480701471699</v>
      </c>
    </row>
    <row r="38" spans="1:26" x14ac:dyDescent="0.2">
      <c r="A38" s="50">
        <f t="shared" si="10"/>
        <v>1856</v>
      </c>
      <c r="B38" s="51">
        <f>'[2]Adjusted prices'!$AB40</f>
        <v>39.195104671961083</v>
      </c>
      <c r="C38" s="55">
        <v>40.118800294667558</v>
      </c>
      <c r="F38" s="53">
        <f t="shared" ref="F38:F95" si="14">C38</f>
        <v>40.118800294667558</v>
      </c>
      <c r="H38" s="59">
        <f>'[2]Adjusted prices'!$AA40</f>
        <v>24.617127843802447</v>
      </c>
      <c r="I38" s="55">
        <v>24.102644660281964</v>
      </c>
      <c r="L38" s="53">
        <f t="shared" si="9"/>
        <v>24.102644660281964</v>
      </c>
      <c r="M38" s="50">
        <f>'[2]Adjusted prices'!$AC40</f>
        <v>50.298350736106592</v>
      </c>
      <c r="N38" s="51">
        <v>53.55876635690926</v>
      </c>
      <c r="P38" s="52">
        <f>AVERAGE(N38,M38)</f>
        <v>51.928558546507929</v>
      </c>
      <c r="Q38" s="53">
        <f>P38</f>
        <v>51.928558546507929</v>
      </c>
      <c r="R38" s="50">
        <f>'[2]Adjusted prices'!$AD40</f>
        <v>88.716649768419217</v>
      </c>
      <c r="S38" s="51">
        <v>71.848369573624836</v>
      </c>
      <c r="T38" s="55">
        <f>'[2]Adjusted prices'!$U40</f>
        <v>105.71975605933083</v>
      </c>
      <c r="U38" s="56">
        <f t="shared" si="11"/>
        <v>80.282509671022027</v>
      </c>
      <c r="V38" s="53">
        <f t="shared" si="12"/>
        <v>71.848369573624836</v>
      </c>
      <c r="W38" s="51">
        <v>35.556226711863935</v>
      </c>
      <c r="X38" s="55">
        <f>[1]Cacao!$U39</f>
        <v>37.69277181819362</v>
      </c>
      <c r="Y38" s="52">
        <f t="shared" si="13"/>
        <v>36.624499265028774</v>
      </c>
      <c r="Z38" s="58">
        <f>W38</f>
        <v>35.556226711863935</v>
      </c>
    </row>
    <row r="39" spans="1:26" x14ac:dyDescent="0.2">
      <c r="A39" s="50">
        <f t="shared" si="10"/>
        <v>1857</v>
      </c>
      <c r="B39" s="51">
        <f>'[2]Adjusted prices'!$AB41</f>
        <v>44.093673893317963</v>
      </c>
      <c r="C39" s="55">
        <v>41.977217752508537</v>
      </c>
      <c r="F39" s="53">
        <f t="shared" si="14"/>
        <v>41.977217752508537</v>
      </c>
      <c r="H39" s="59">
        <f>'[2]Adjusted prices'!$AA41</f>
        <v>29.993899262211976</v>
      </c>
      <c r="I39" s="55">
        <v>30.648308336728672</v>
      </c>
      <c r="L39" s="53">
        <f t="shared" si="9"/>
        <v>30.648308336728672</v>
      </c>
      <c r="M39" s="50">
        <f>'[2]Adjusted prices'!$AC41</f>
        <v>62.244972163945761</v>
      </c>
      <c r="N39" s="51">
        <v>64.688359410400338</v>
      </c>
      <c r="P39" s="52">
        <f>AVERAGE(N39,M39)</f>
        <v>63.466665787173049</v>
      </c>
      <c r="Q39" s="53">
        <f>N39</f>
        <v>64.688359410400338</v>
      </c>
      <c r="R39" s="50">
        <f>'[2]Adjusted prices'!$AD41</f>
        <v>111.75113215655068</v>
      </c>
      <c r="S39" s="51">
        <v>73.091756261875346</v>
      </c>
      <c r="T39" s="55">
        <f>'[2]Adjusted prices'!$U41</f>
        <v>132.174995868439</v>
      </c>
      <c r="U39" s="56">
        <f t="shared" si="11"/>
        <v>92.421444209213007</v>
      </c>
      <c r="V39" s="53">
        <f t="shared" si="12"/>
        <v>73.091756261875346</v>
      </c>
      <c r="W39" s="51">
        <v>67.428924253836982</v>
      </c>
      <c r="X39" s="55">
        <f>[1]Cacao!$U40</f>
        <v>41.331603210181697</v>
      </c>
      <c r="Y39" s="52">
        <f t="shared" si="13"/>
        <v>54.38026373200934</v>
      </c>
      <c r="Z39" s="58">
        <f t="shared" ref="Z39:Z95" si="15">W39</f>
        <v>67.428924253836982</v>
      </c>
    </row>
    <row r="40" spans="1:26" x14ac:dyDescent="0.2">
      <c r="A40" s="50">
        <f t="shared" si="10"/>
        <v>1858</v>
      </c>
      <c r="B40" s="51">
        <f>'[2]Adjusted prices'!$AB42</f>
        <v>36.507978401582307</v>
      </c>
      <c r="C40" s="55">
        <v>35.551091264790614</v>
      </c>
      <c r="F40" s="53">
        <f t="shared" si="14"/>
        <v>35.551091264790614</v>
      </c>
      <c r="H40" s="59">
        <f>'[2]Adjusted prices'!$AA42</f>
        <v>20.910110038092473</v>
      </c>
      <c r="I40" s="55">
        <v>22.660337096855777</v>
      </c>
      <c r="L40" s="53">
        <f t="shared" si="9"/>
        <v>22.660337096855777</v>
      </c>
      <c r="M40" s="50">
        <f>'[2]Adjusted prices'!$AC42</f>
        <v>54.860217079998144</v>
      </c>
      <c r="N40" s="51">
        <v>63.235704020337081</v>
      </c>
      <c r="Q40" s="53">
        <f t="shared" ref="Q40:Q95" si="16">N40</f>
        <v>63.235704020337081</v>
      </c>
      <c r="R40" s="50">
        <f>'[2]Adjusted prices'!$AD42</f>
        <v>90.186283327997089</v>
      </c>
      <c r="S40" s="51">
        <v>58.962964422473028</v>
      </c>
      <c r="T40" s="55">
        <f>'[2]Adjusted prices'!$U42</f>
        <v>101.56132464612537</v>
      </c>
      <c r="U40" s="56">
        <f t="shared" si="11"/>
        <v>74.574623875235062</v>
      </c>
      <c r="V40" s="53">
        <f t="shared" si="12"/>
        <v>58.962964422473028</v>
      </c>
      <c r="W40" s="51">
        <v>44.795028127872264</v>
      </c>
      <c r="X40" s="55">
        <f>[1]Cacao!$U41</f>
        <v>37.677599287906517</v>
      </c>
      <c r="Y40" s="52">
        <f t="shared" si="13"/>
        <v>41.236313707889394</v>
      </c>
      <c r="Z40" s="58">
        <f t="shared" si="15"/>
        <v>44.795028127872264</v>
      </c>
    </row>
    <row r="41" spans="1:26" x14ac:dyDescent="0.2">
      <c r="A41" s="50">
        <f t="shared" si="10"/>
        <v>1859</v>
      </c>
      <c r="B41" s="51">
        <f>'[2]Adjusted prices'!$AB43</f>
        <v>46.181569937306008</v>
      </c>
      <c r="C41" s="55">
        <v>44.55841842722576</v>
      </c>
      <c r="F41" s="53">
        <f t="shared" si="14"/>
        <v>44.55841842722576</v>
      </c>
      <c r="H41" s="59">
        <f>'[2]Adjusted prices'!$AA43</f>
        <v>20.318321318423777</v>
      </c>
      <c r="I41" s="55">
        <v>21.402092474339856</v>
      </c>
      <c r="L41" s="53">
        <f t="shared" si="9"/>
        <v>21.402092474339856</v>
      </c>
      <c r="M41" s="50">
        <f>'[2]Adjusted prices'!$AC43</f>
        <v>54.523131275032213</v>
      </c>
      <c r="N41" s="51">
        <v>64.784744246133116</v>
      </c>
      <c r="Q41" s="53">
        <f t="shared" si="16"/>
        <v>64.784744246133116</v>
      </c>
      <c r="R41" s="50">
        <f>'[2]Adjusted prices'!$AD43</f>
        <v>94.757075458387064</v>
      </c>
      <c r="S41" s="51">
        <v>70.913645009033075</v>
      </c>
      <c r="T41" s="55">
        <f>'[2]Adjusted prices'!$U43</f>
        <v>119.71806295758064</v>
      </c>
      <c r="U41" s="56">
        <f t="shared" si="11"/>
        <v>82.835360233710077</v>
      </c>
      <c r="V41" s="53">
        <f t="shared" si="12"/>
        <v>70.913645009033075</v>
      </c>
      <c r="W41" s="51">
        <v>42.072902651840636</v>
      </c>
      <c r="X41" s="55">
        <f>[1]Cacao!$U42</f>
        <v>37.770192753440512</v>
      </c>
      <c r="Y41" s="52">
        <f t="shared" si="13"/>
        <v>39.921547702640574</v>
      </c>
      <c r="Z41" s="58">
        <f t="shared" si="15"/>
        <v>42.072902651840636</v>
      </c>
    </row>
    <row r="42" spans="1:26" x14ac:dyDescent="0.2">
      <c r="A42" s="50">
        <f t="shared" si="10"/>
        <v>1860</v>
      </c>
      <c r="B42" s="51">
        <f>'[2]Adjusted prices'!$AB44</f>
        <v>53.003843234991891</v>
      </c>
      <c r="C42" s="55">
        <v>51.922120537234051</v>
      </c>
      <c r="F42" s="53">
        <f t="shared" si="14"/>
        <v>51.922120537234051</v>
      </c>
      <c r="H42" s="59">
        <f>'[2]Adjusted prices'!$AA44</f>
        <v>21.016887293996774</v>
      </c>
      <c r="I42" s="55">
        <v>22.234958450857636</v>
      </c>
      <c r="L42" s="53">
        <f t="shared" si="9"/>
        <v>22.234958450857636</v>
      </c>
      <c r="M42" s="50">
        <f>'[2]Adjusted prices'!$AC44</f>
        <v>49.644866558465587</v>
      </c>
      <c r="N42" s="51">
        <v>62.841082511454644</v>
      </c>
      <c r="Q42" s="53">
        <f t="shared" si="16"/>
        <v>62.841082511454644</v>
      </c>
      <c r="R42" s="50">
        <f>'[2]Adjusted prices'!$AD44</f>
        <v>95.803332227576675</v>
      </c>
      <c r="S42" s="51">
        <v>67.61998835398478</v>
      </c>
      <c r="T42" s="55">
        <f>'[2]Adjusted prices'!$U44</f>
        <v>102.74620486786519</v>
      </c>
      <c r="U42" s="56">
        <f t="shared" si="11"/>
        <v>81.711660290780728</v>
      </c>
      <c r="V42" s="53">
        <f t="shared" si="12"/>
        <v>67.61998835398478</v>
      </c>
      <c r="W42" s="51">
        <v>48.648532043236095</v>
      </c>
      <c r="X42" s="55">
        <f>[1]Cacao!$U43</f>
        <v>37.159346930155223</v>
      </c>
      <c r="Y42" s="52">
        <f t="shared" si="13"/>
        <v>42.903939486695663</v>
      </c>
      <c r="Z42" s="58">
        <f t="shared" si="15"/>
        <v>48.648532043236095</v>
      </c>
    </row>
    <row r="43" spans="1:26" x14ac:dyDescent="0.2">
      <c r="A43" s="50">
        <f t="shared" si="10"/>
        <v>1861</v>
      </c>
      <c r="B43" s="51">
        <f>'[2]Adjusted prices'!$AB45</f>
        <v>47.54059286830212</v>
      </c>
      <c r="C43" s="55">
        <v>48.185061563215385</v>
      </c>
      <c r="F43" s="53">
        <f t="shared" si="14"/>
        <v>48.185061563215385</v>
      </c>
      <c r="H43" s="59">
        <f>'[2]Adjusted prices'!$AA45</f>
        <v>18.927362147320792</v>
      </c>
      <c r="I43" s="55">
        <v>19.023642619623583</v>
      </c>
      <c r="L43" s="53">
        <f t="shared" si="9"/>
        <v>19.023642619623583</v>
      </c>
      <c r="M43" s="50">
        <f>'[2]Adjusted prices'!$AC45</f>
        <v>68.602062693033986</v>
      </c>
      <c r="N43" s="51">
        <v>77.162378024924138</v>
      </c>
      <c r="Q43" s="53">
        <f t="shared" si="16"/>
        <v>77.162378024924138</v>
      </c>
      <c r="R43" s="50">
        <f>'[2]Adjusted prices'!$AD45</f>
        <v>82.087994677995923</v>
      </c>
      <c r="S43" s="51">
        <v>59.086082027337646</v>
      </c>
      <c r="T43" s="55">
        <f>'[2]Adjusted prices'!$U45</f>
        <v>99.206148717073503</v>
      </c>
      <c r="U43" s="56">
        <f t="shared" si="11"/>
        <v>70.587038352666781</v>
      </c>
      <c r="V43" s="53">
        <f t="shared" si="12"/>
        <v>59.086082027337646</v>
      </c>
      <c r="W43" s="51">
        <v>50.372054915128714</v>
      </c>
      <c r="X43" s="55">
        <f>[1]Cacao!$U44</f>
        <v>34.268926373542172</v>
      </c>
      <c r="Y43" s="52">
        <f t="shared" si="13"/>
        <v>42.320490644335443</v>
      </c>
      <c r="Z43" s="58">
        <f t="shared" si="15"/>
        <v>50.372054915128714</v>
      </c>
    </row>
    <row r="44" spans="1:26" x14ac:dyDescent="0.2">
      <c r="A44" s="50">
        <f t="shared" si="10"/>
        <v>1862</v>
      </c>
      <c r="C44" s="55">
        <v>57.384654492309814</v>
      </c>
      <c r="F44" s="53">
        <f t="shared" si="14"/>
        <v>57.384654492309814</v>
      </c>
      <c r="I44" s="55">
        <v>17.988224840417931</v>
      </c>
      <c r="L44" s="53">
        <f t="shared" si="9"/>
        <v>17.988224840417931</v>
      </c>
      <c r="N44" s="51">
        <v>141.74388563753229</v>
      </c>
      <c r="Q44" s="53">
        <f t="shared" si="16"/>
        <v>141.74388563753229</v>
      </c>
      <c r="S44" s="51">
        <v>54.042240938120941</v>
      </c>
      <c r="V44" s="53">
        <f t="shared" si="12"/>
        <v>54.042240938120941</v>
      </c>
      <c r="W44" s="51">
        <v>46.022136665746572</v>
      </c>
      <c r="Z44" s="58">
        <f t="shared" si="15"/>
        <v>46.022136665746572</v>
      </c>
    </row>
    <row r="45" spans="1:26" x14ac:dyDescent="0.2">
      <c r="A45" s="50">
        <f t="shared" si="10"/>
        <v>1863</v>
      </c>
      <c r="C45" s="55">
        <v>60.535586370233439</v>
      </c>
      <c r="F45" s="53">
        <f t="shared" si="14"/>
        <v>60.535586370233439</v>
      </c>
      <c r="I45" s="55">
        <v>17.887767767585689</v>
      </c>
      <c r="L45" s="53">
        <f t="shared" si="9"/>
        <v>17.887767767585689</v>
      </c>
      <c r="N45" s="51">
        <v>181.93044300850124</v>
      </c>
      <c r="Q45" s="53">
        <f t="shared" si="16"/>
        <v>181.93044300850124</v>
      </c>
      <c r="S45" s="51">
        <v>46.748946943762306</v>
      </c>
      <c r="V45" s="53">
        <f t="shared" si="12"/>
        <v>46.748946943762306</v>
      </c>
      <c r="W45" s="51">
        <v>40.30879399871133</v>
      </c>
      <c r="Z45" s="58">
        <f t="shared" si="15"/>
        <v>40.30879399871133</v>
      </c>
    </row>
    <row r="46" spans="1:26" x14ac:dyDescent="0.2">
      <c r="A46" s="50">
        <f t="shared" si="10"/>
        <v>1864</v>
      </c>
      <c r="C46" s="55">
        <v>56.819455788377908</v>
      </c>
      <c r="F46" s="53">
        <f t="shared" si="14"/>
        <v>56.819455788377908</v>
      </c>
      <c r="I46" s="55">
        <v>22.840854033579575</v>
      </c>
      <c r="L46" s="53">
        <f t="shared" si="9"/>
        <v>22.840854033579575</v>
      </c>
      <c r="N46" s="51">
        <v>228.94445991020436</v>
      </c>
      <c r="Q46" s="53">
        <f t="shared" si="16"/>
        <v>228.94445991020436</v>
      </c>
      <c r="S46" s="51">
        <v>49.628270501746442</v>
      </c>
      <c r="V46" s="53">
        <f t="shared" si="12"/>
        <v>49.628270501746442</v>
      </c>
      <c r="W46" s="51">
        <v>37.940178562827356</v>
      </c>
      <c r="Z46" s="58">
        <f t="shared" si="15"/>
        <v>37.940178562827356</v>
      </c>
    </row>
    <row r="47" spans="1:26" x14ac:dyDescent="0.2">
      <c r="A47" s="50">
        <f t="shared" si="10"/>
        <v>1865</v>
      </c>
      <c r="C47" s="55">
        <v>54.642108823763301</v>
      </c>
      <c r="F47" s="53">
        <f t="shared" si="14"/>
        <v>54.642108823763301</v>
      </c>
      <c r="I47" s="55">
        <v>18.350043050918824</v>
      </c>
      <c r="L47" s="53">
        <f t="shared" si="9"/>
        <v>18.350043050918824</v>
      </c>
      <c r="N47" s="51">
        <v>156.01024714208251</v>
      </c>
      <c r="Q47" s="53">
        <f t="shared" si="16"/>
        <v>156.01024714208251</v>
      </c>
      <c r="S47" s="51">
        <v>43.173750907907909</v>
      </c>
      <c r="V47" s="53">
        <f t="shared" si="12"/>
        <v>43.173750907907909</v>
      </c>
      <c r="W47" s="51">
        <v>34.817535090748798</v>
      </c>
      <c r="Z47" s="58">
        <f t="shared" si="15"/>
        <v>34.817535090748798</v>
      </c>
    </row>
    <row r="48" spans="1:26" x14ac:dyDescent="0.2">
      <c r="A48" s="50">
        <f t="shared" si="10"/>
        <v>1866</v>
      </c>
      <c r="C48" s="55">
        <v>48.393671392453292</v>
      </c>
      <c r="F48" s="53">
        <f t="shared" si="14"/>
        <v>48.393671392453292</v>
      </c>
      <c r="I48" s="55">
        <v>16.751495449647518</v>
      </c>
      <c r="L48" s="53">
        <f t="shared" si="9"/>
        <v>16.751495449647518</v>
      </c>
      <c r="N48" s="51">
        <v>138.18191496017769</v>
      </c>
      <c r="Q48" s="53">
        <f t="shared" si="16"/>
        <v>138.18191496017769</v>
      </c>
      <c r="S48" s="51">
        <v>42.758513520014205</v>
      </c>
      <c r="V48" s="53">
        <f t="shared" si="12"/>
        <v>42.758513520014205</v>
      </c>
      <c r="W48" s="51">
        <v>49.976043978392283</v>
      </c>
      <c r="Z48" s="58">
        <f t="shared" si="15"/>
        <v>49.976043978392283</v>
      </c>
    </row>
    <row r="49" spans="1:26" x14ac:dyDescent="0.2">
      <c r="A49" s="50">
        <f t="shared" si="10"/>
        <v>1867</v>
      </c>
      <c r="C49" s="55">
        <v>44.941359777804173</v>
      </c>
      <c r="F49" s="53">
        <f t="shared" si="14"/>
        <v>44.941359777804173</v>
      </c>
      <c r="I49" s="55">
        <v>18.134390849137962</v>
      </c>
      <c r="L49" s="53">
        <f t="shared" si="9"/>
        <v>18.134390849137962</v>
      </c>
      <c r="N49" s="51">
        <v>90.762964450032015</v>
      </c>
      <c r="Q49" s="53">
        <f t="shared" si="16"/>
        <v>90.762964450032015</v>
      </c>
      <c r="S49" s="51">
        <v>45.781856045136678</v>
      </c>
      <c r="V49" s="53">
        <f t="shared" si="12"/>
        <v>45.781856045136678</v>
      </c>
      <c r="W49" s="51">
        <v>44.563987553764683</v>
      </c>
      <c r="Z49" s="58">
        <f t="shared" si="15"/>
        <v>44.563987553764683</v>
      </c>
    </row>
    <row r="50" spans="1:26" x14ac:dyDescent="0.2">
      <c r="A50" s="50">
        <f t="shared" si="10"/>
        <v>1868</v>
      </c>
      <c r="C50" s="55">
        <v>43.617139689620792</v>
      </c>
      <c r="F50" s="53">
        <f t="shared" si="14"/>
        <v>43.617139689620792</v>
      </c>
      <c r="I50" s="55">
        <v>19.296415752037756</v>
      </c>
      <c r="L50" s="53">
        <f t="shared" si="9"/>
        <v>19.296415752037756</v>
      </c>
      <c r="N50" s="51">
        <v>85.83147693015718</v>
      </c>
      <c r="Q50" s="53">
        <f t="shared" si="16"/>
        <v>85.83147693015718</v>
      </c>
      <c r="S50" s="51">
        <v>50.113812985057336</v>
      </c>
      <c r="V50" s="53">
        <f t="shared" si="12"/>
        <v>50.113812985057336</v>
      </c>
      <c r="W50" s="51">
        <v>36.919005279112646</v>
      </c>
      <c r="Z50" s="58">
        <f t="shared" si="15"/>
        <v>36.919005279112646</v>
      </c>
    </row>
    <row r="51" spans="1:26" x14ac:dyDescent="0.2">
      <c r="A51" s="50">
        <f t="shared" si="10"/>
        <v>1869</v>
      </c>
      <c r="C51" s="55">
        <v>42.124182595053988</v>
      </c>
      <c r="F51" s="53">
        <f t="shared" si="14"/>
        <v>42.124182595053988</v>
      </c>
      <c r="I51" s="55">
        <v>20.426534589379752</v>
      </c>
      <c r="L51" s="53">
        <f t="shared" si="9"/>
        <v>20.426534589379752</v>
      </c>
      <c r="N51" s="51">
        <v>97.794757500348624</v>
      </c>
      <c r="Q51" s="53">
        <f t="shared" si="16"/>
        <v>97.794757500348624</v>
      </c>
      <c r="S51" s="51">
        <v>45.892811760506497</v>
      </c>
      <c r="V51" s="53">
        <f t="shared" si="12"/>
        <v>45.892811760506497</v>
      </c>
      <c r="W51" s="51">
        <v>35.077013864369675</v>
      </c>
      <c r="Z51" s="58">
        <f t="shared" si="15"/>
        <v>35.077013864369675</v>
      </c>
    </row>
    <row r="52" spans="1:26" x14ac:dyDescent="0.2">
      <c r="A52" s="50">
        <f t="shared" si="10"/>
        <v>1870</v>
      </c>
      <c r="C52" s="55">
        <v>44.390286855477491</v>
      </c>
      <c r="F52" s="53">
        <f t="shared" si="14"/>
        <v>44.390286855477491</v>
      </c>
      <c r="I52" s="55">
        <v>19.442281867114897</v>
      </c>
      <c r="L52" s="53">
        <f t="shared" si="9"/>
        <v>19.442281867114897</v>
      </c>
      <c r="N52" s="51">
        <v>82.213350791497803</v>
      </c>
      <c r="Q52" s="53">
        <f t="shared" si="16"/>
        <v>82.213350791497803</v>
      </c>
      <c r="S52" s="51">
        <v>48.595039738417633</v>
      </c>
      <c r="V52" s="53">
        <f t="shared" si="12"/>
        <v>48.595039738417633</v>
      </c>
      <c r="W52" s="51">
        <v>34.424371074781838</v>
      </c>
      <c r="Z52" s="58">
        <f t="shared" si="15"/>
        <v>34.424371074781838</v>
      </c>
    </row>
    <row r="53" spans="1:26" x14ac:dyDescent="0.2">
      <c r="A53" s="50">
        <f t="shared" si="10"/>
        <v>1871</v>
      </c>
      <c r="C53" s="55">
        <v>46.234086975363226</v>
      </c>
      <c r="F53" s="53">
        <f t="shared" si="14"/>
        <v>46.234086975363226</v>
      </c>
      <c r="I53" s="55">
        <v>21.157685844114038</v>
      </c>
      <c r="L53" s="53">
        <f t="shared" si="9"/>
        <v>21.157685844114038</v>
      </c>
      <c r="N53" s="51">
        <v>64.415730942431964</v>
      </c>
      <c r="Q53" s="53">
        <f t="shared" si="16"/>
        <v>64.415730942431964</v>
      </c>
      <c r="S53" s="51">
        <v>48.843914180357544</v>
      </c>
      <c r="V53" s="53">
        <f t="shared" si="12"/>
        <v>48.843914180357544</v>
      </c>
      <c r="W53" s="51">
        <v>33.569496706476485</v>
      </c>
      <c r="Z53" s="58">
        <f t="shared" si="15"/>
        <v>33.569496706476485</v>
      </c>
    </row>
    <row r="54" spans="1:26" x14ac:dyDescent="0.2">
      <c r="A54" s="50">
        <f t="shared" si="10"/>
        <v>1872</v>
      </c>
      <c r="C54" s="55">
        <v>59.325713097253626</v>
      </c>
      <c r="F54" s="53">
        <f t="shared" si="14"/>
        <v>59.325713097253626</v>
      </c>
      <c r="I54" s="55">
        <v>22.449215064698674</v>
      </c>
      <c r="L54" s="53">
        <f t="shared" si="9"/>
        <v>22.449215064698674</v>
      </c>
      <c r="N54" s="51">
        <v>73.283914101293107</v>
      </c>
      <c r="Q54" s="53">
        <f t="shared" si="16"/>
        <v>73.283914101293107</v>
      </c>
      <c r="S54" s="51">
        <v>53.905967091921376</v>
      </c>
      <c r="V54" s="53">
        <f t="shared" si="12"/>
        <v>53.905967091921376</v>
      </c>
      <c r="W54" s="51">
        <v>42.258295066580537</v>
      </c>
      <c r="Z54" s="58">
        <f t="shared" si="15"/>
        <v>42.258295066580537</v>
      </c>
    </row>
    <row r="55" spans="1:26" x14ac:dyDescent="0.2">
      <c r="A55" s="50">
        <f t="shared" si="10"/>
        <v>1873</v>
      </c>
      <c r="C55" s="55">
        <v>71.09759162575223</v>
      </c>
      <c r="F55" s="53">
        <f t="shared" si="14"/>
        <v>71.09759162575223</v>
      </c>
      <c r="I55" s="55">
        <v>19.046033856347563</v>
      </c>
      <c r="L55" s="53">
        <f t="shared" si="9"/>
        <v>19.046033856347563</v>
      </c>
      <c r="N55" s="51">
        <v>73.228225382014969</v>
      </c>
      <c r="Q55" s="53">
        <f t="shared" si="16"/>
        <v>73.228225382014969</v>
      </c>
      <c r="S55" s="51">
        <v>57.801634424689553</v>
      </c>
      <c r="V55" s="53">
        <f t="shared" si="12"/>
        <v>57.801634424689553</v>
      </c>
      <c r="W55" s="51">
        <v>35.876458200808223</v>
      </c>
      <c r="Z55" s="58">
        <f t="shared" si="15"/>
        <v>35.876458200808223</v>
      </c>
    </row>
    <row r="56" spans="1:26" x14ac:dyDescent="0.2">
      <c r="A56" s="50">
        <f t="shared" si="10"/>
        <v>1874</v>
      </c>
      <c r="C56" s="55">
        <v>76.726732079871539</v>
      </c>
      <c r="F56" s="53">
        <f t="shared" si="14"/>
        <v>76.726732079871539</v>
      </c>
      <c r="I56" s="55">
        <v>18.34279708747653</v>
      </c>
      <c r="L56" s="53">
        <f t="shared" si="9"/>
        <v>18.34279708747653</v>
      </c>
      <c r="N56" s="51">
        <v>64.589919193018801</v>
      </c>
      <c r="Q56" s="53">
        <f t="shared" si="16"/>
        <v>64.589919193018801</v>
      </c>
      <c r="S56" s="51">
        <v>60.112696583299801</v>
      </c>
      <c r="V56" s="53">
        <f t="shared" si="12"/>
        <v>60.112696583299801</v>
      </c>
      <c r="W56" s="51">
        <v>41.111870668213392</v>
      </c>
      <c r="Z56" s="58">
        <f t="shared" si="15"/>
        <v>41.111870668213392</v>
      </c>
    </row>
    <row r="57" spans="1:26" x14ac:dyDescent="0.2">
      <c r="A57" s="50">
        <f t="shared" si="10"/>
        <v>1875</v>
      </c>
      <c r="C57" s="55">
        <v>74.086975133043254</v>
      </c>
      <c r="F57" s="53">
        <f t="shared" si="14"/>
        <v>74.086975133043254</v>
      </c>
      <c r="I57" s="55">
        <v>18.37551286984127</v>
      </c>
      <c r="L57" s="53">
        <f t="shared" si="9"/>
        <v>18.37551286984127</v>
      </c>
      <c r="N57" s="51">
        <v>60.784833215335873</v>
      </c>
      <c r="Q57" s="53">
        <f t="shared" si="16"/>
        <v>60.784833215335873</v>
      </c>
      <c r="S57" s="51">
        <v>58.733910023048928</v>
      </c>
      <c r="V57" s="53">
        <f t="shared" si="12"/>
        <v>58.733910023048928</v>
      </c>
      <c r="W57" s="51">
        <v>40.802824724635343</v>
      </c>
      <c r="Z57" s="58">
        <f t="shared" si="15"/>
        <v>40.802824724635343</v>
      </c>
    </row>
    <row r="58" spans="1:26" x14ac:dyDescent="0.2">
      <c r="A58" s="50">
        <f t="shared" si="10"/>
        <v>1876</v>
      </c>
      <c r="C58" s="55">
        <v>70.402434253533187</v>
      </c>
      <c r="F58" s="53">
        <f t="shared" si="14"/>
        <v>70.402434253533187</v>
      </c>
      <c r="I58" s="55">
        <v>17.615388062112224</v>
      </c>
      <c r="L58" s="53">
        <f t="shared" si="9"/>
        <v>17.615388062112224</v>
      </c>
      <c r="N58" s="51">
        <v>53.027367298384654</v>
      </c>
      <c r="Q58" s="53">
        <f t="shared" si="16"/>
        <v>53.027367298384654</v>
      </c>
      <c r="S58" s="51">
        <v>46.486794379620349</v>
      </c>
      <c r="V58" s="53">
        <f t="shared" si="12"/>
        <v>46.486794379620349</v>
      </c>
      <c r="W58" s="51">
        <v>45.061295760928054</v>
      </c>
      <c r="Z58" s="58">
        <f t="shared" si="15"/>
        <v>45.061295760928054</v>
      </c>
    </row>
    <row r="59" spans="1:26" x14ac:dyDescent="0.2">
      <c r="A59" s="50">
        <f t="shared" si="10"/>
        <v>1877</v>
      </c>
      <c r="C59" s="55">
        <v>71.966499572702972</v>
      </c>
      <c r="F59" s="53">
        <f t="shared" si="14"/>
        <v>71.966499572702972</v>
      </c>
      <c r="I59" s="55">
        <v>23.662700393898032</v>
      </c>
      <c r="L59" s="53">
        <f t="shared" si="9"/>
        <v>23.662700393898032</v>
      </c>
      <c r="N59" s="51">
        <v>49.737664766979158</v>
      </c>
      <c r="Q59" s="53">
        <f t="shared" si="16"/>
        <v>49.737664766979158</v>
      </c>
      <c r="S59" s="51">
        <v>55.004940351737837</v>
      </c>
      <c r="V59" s="53">
        <f t="shared" si="12"/>
        <v>55.004940351737837</v>
      </c>
      <c r="W59" s="51">
        <v>58.097328320753931</v>
      </c>
      <c r="Z59" s="58">
        <f t="shared" si="15"/>
        <v>58.097328320753931</v>
      </c>
    </row>
    <row r="60" spans="1:26" x14ac:dyDescent="0.2">
      <c r="A60" s="50">
        <f t="shared" si="10"/>
        <v>1878</v>
      </c>
      <c r="C60" s="55">
        <v>70.344216492662412</v>
      </c>
      <c r="F60" s="53">
        <f t="shared" si="14"/>
        <v>70.344216492662412</v>
      </c>
      <c r="I60" s="55">
        <v>18.023601224365656</v>
      </c>
      <c r="L60" s="53">
        <f t="shared" si="9"/>
        <v>18.023601224365656</v>
      </c>
      <c r="N60" s="51">
        <v>48.987849622049929</v>
      </c>
      <c r="Q60" s="53">
        <f t="shared" si="16"/>
        <v>48.987849622049929</v>
      </c>
      <c r="S60" s="51">
        <v>50.047055297343221</v>
      </c>
      <c r="V60" s="53">
        <f t="shared" si="12"/>
        <v>50.047055297343221</v>
      </c>
      <c r="W60" s="51">
        <v>76.464374975130227</v>
      </c>
      <c r="Z60" s="58">
        <f t="shared" si="15"/>
        <v>76.464374975130227</v>
      </c>
    </row>
    <row r="61" spans="1:26" x14ac:dyDescent="0.2">
      <c r="A61" s="50">
        <f t="shared" si="10"/>
        <v>1879</v>
      </c>
      <c r="C61" s="55">
        <v>59.751012591118588</v>
      </c>
      <c r="F61" s="53">
        <f t="shared" si="14"/>
        <v>59.751012591118588</v>
      </c>
      <c r="I61" s="55">
        <v>16.907226926347604</v>
      </c>
      <c r="L61" s="53">
        <f t="shared" si="9"/>
        <v>16.907226926347604</v>
      </c>
      <c r="N61" s="51">
        <v>47.19082054979075</v>
      </c>
      <c r="Q61" s="53">
        <f t="shared" si="16"/>
        <v>47.19082054979075</v>
      </c>
      <c r="S61" s="51">
        <v>48.598942018774309</v>
      </c>
      <c r="V61" s="53">
        <f t="shared" si="12"/>
        <v>48.598942018774309</v>
      </c>
      <c r="W61" s="51">
        <v>75.326001572635263</v>
      </c>
      <c r="Z61" s="58">
        <f t="shared" si="15"/>
        <v>75.326001572635263</v>
      </c>
    </row>
    <row r="62" spans="1:26" x14ac:dyDescent="0.2">
      <c r="A62" s="50">
        <f t="shared" si="10"/>
        <v>1880</v>
      </c>
      <c r="C62" s="55">
        <v>65.382347924655193</v>
      </c>
      <c r="F62" s="53">
        <f t="shared" si="14"/>
        <v>65.382347924655193</v>
      </c>
      <c r="I62" s="55">
        <v>18.94342382539099</v>
      </c>
      <c r="L62" s="53">
        <f t="shared" si="9"/>
        <v>18.94342382539099</v>
      </c>
      <c r="N62" s="51">
        <v>51.701236450125052</v>
      </c>
      <c r="Q62" s="53">
        <f t="shared" si="16"/>
        <v>51.701236450125052</v>
      </c>
      <c r="S62" s="51">
        <v>51.925215114139526</v>
      </c>
      <c r="V62" s="53">
        <f t="shared" si="12"/>
        <v>51.925215114139526</v>
      </c>
      <c r="W62" s="51">
        <v>61.566625502606868</v>
      </c>
      <c r="Z62" s="58">
        <f t="shared" si="15"/>
        <v>61.566625502606868</v>
      </c>
    </row>
    <row r="63" spans="1:26" x14ac:dyDescent="0.2">
      <c r="A63" s="50">
        <f t="shared" si="10"/>
        <v>1881</v>
      </c>
      <c r="C63" s="55">
        <v>53.077269114479208</v>
      </c>
      <c r="F63" s="53">
        <f t="shared" si="14"/>
        <v>53.077269114479208</v>
      </c>
      <c r="I63" s="55">
        <v>19.369699637986642</v>
      </c>
      <c r="L63" s="53">
        <f t="shared" si="9"/>
        <v>19.369699637986642</v>
      </c>
      <c r="N63" s="51">
        <v>50.69363576865242</v>
      </c>
      <c r="Q63" s="53">
        <f t="shared" si="16"/>
        <v>50.69363576865242</v>
      </c>
      <c r="S63" s="51">
        <v>54.012890605901646</v>
      </c>
      <c r="V63" s="53">
        <f t="shared" si="12"/>
        <v>54.012890605901646</v>
      </c>
      <c r="W63" s="51">
        <v>51.49829121795085</v>
      </c>
      <c r="Z63" s="58">
        <f t="shared" si="15"/>
        <v>51.49829121795085</v>
      </c>
    </row>
    <row r="64" spans="1:26" x14ac:dyDescent="0.2">
      <c r="A64" s="50">
        <f t="shared" si="10"/>
        <v>1882</v>
      </c>
      <c r="C64" s="55">
        <v>46.782912887455289</v>
      </c>
      <c r="F64" s="53">
        <f t="shared" si="14"/>
        <v>46.782912887455289</v>
      </c>
      <c r="I64" s="55">
        <v>18.142703424159581</v>
      </c>
      <c r="L64" s="53">
        <f t="shared" si="9"/>
        <v>18.142703424159581</v>
      </c>
      <c r="N64" s="51">
        <v>54.428150212228928</v>
      </c>
      <c r="Q64" s="53">
        <f t="shared" si="16"/>
        <v>54.428150212228928</v>
      </c>
      <c r="S64" s="51">
        <v>47.978880539315412</v>
      </c>
      <c r="V64" s="53">
        <f t="shared" si="12"/>
        <v>47.978880539315412</v>
      </c>
      <c r="W64" s="51">
        <v>50.848995469823038</v>
      </c>
      <c r="Z64" s="58">
        <f t="shared" si="15"/>
        <v>50.848995469823038</v>
      </c>
    </row>
    <row r="65" spans="1:26" x14ac:dyDescent="0.2">
      <c r="A65" s="50">
        <f t="shared" si="10"/>
        <v>1883</v>
      </c>
      <c r="C65" s="55">
        <v>46.846188972182951</v>
      </c>
      <c r="F65" s="53">
        <f t="shared" si="14"/>
        <v>46.846188972182951</v>
      </c>
      <c r="I65" s="55">
        <v>16.669441441584972</v>
      </c>
      <c r="L65" s="53">
        <f t="shared" si="9"/>
        <v>16.669441441584972</v>
      </c>
      <c r="N65" s="51">
        <v>47.518961856435332</v>
      </c>
      <c r="Q65" s="53">
        <f t="shared" si="16"/>
        <v>47.518961856435332</v>
      </c>
      <c r="S65" s="51">
        <v>51.42347021293169</v>
      </c>
      <c r="V65" s="53">
        <f t="shared" si="12"/>
        <v>51.42347021293169</v>
      </c>
      <c r="W65" s="51">
        <v>62.277102935773641</v>
      </c>
      <c r="Z65" s="58">
        <f t="shared" si="15"/>
        <v>62.277102935773641</v>
      </c>
    </row>
    <row r="66" spans="1:26" x14ac:dyDescent="0.2">
      <c r="A66" s="50">
        <f t="shared" si="10"/>
        <v>1884</v>
      </c>
      <c r="C66" s="55">
        <v>44.830996303697894</v>
      </c>
      <c r="F66" s="53">
        <f t="shared" si="14"/>
        <v>44.830996303697894</v>
      </c>
      <c r="I66" s="55">
        <v>13.158096110952796</v>
      </c>
      <c r="L66" s="53">
        <f t="shared" si="9"/>
        <v>13.158096110952796</v>
      </c>
      <c r="N66" s="51">
        <v>51.09445595689462</v>
      </c>
      <c r="Q66" s="53">
        <f t="shared" si="16"/>
        <v>51.09445595689462</v>
      </c>
      <c r="S66" s="51">
        <v>51.401596813113557</v>
      </c>
      <c r="V66" s="53">
        <f t="shared" si="12"/>
        <v>51.401596813113557</v>
      </c>
      <c r="W66" s="51">
        <v>65.282770695475904</v>
      </c>
      <c r="Z66" s="58">
        <f t="shared" si="15"/>
        <v>65.282770695475904</v>
      </c>
    </row>
    <row r="67" spans="1:26" x14ac:dyDescent="0.2">
      <c r="A67" s="50">
        <f t="shared" si="10"/>
        <v>1885</v>
      </c>
      <c r="C67" s="55">
        <v>43.700206226357736</v>
      </c>
      <c r="F67" s="53">
        <f t="shared" si="14"/>
        <v>43.700206226357736</v>
      </c>
      <c r="I67" s="55">
        <v>11.311640344223097</v>
      </c>
      <c r="L67" s="53">
        <f t="shared" si="9"/>
        <v>11.311640344223097</v>
      </c>
      <c r="N67" s="51">
        <v>49.932238343535978</v>
      </c>
      <c r="Q67" s="53">
        <f t="shared" si="16"/>
        <v>49.932238343535978</v>
      </c>
      <c r="S67" s="51">
        <v>48.495356125777974</v>
      </c>
      <c r="V67" s="53">
        <f t="shared" si="12"/>
        <v>48.495356125777974</v>
      </c>
      <c r="W67" s="51">
        <v>68.823803821986871</v>
      </c>
      <c r="Z67" s="58">
        <f t="shared" si="15"/>
        <v>68.823803821986871</v>
      </c>
    </row>
    <row r="68" spans="1:26" x14ac:dyDescent="0.2">
      <c r="A68" s="50">
        <f t="shared" si="10"/>
        <v>1886</v>
      </c>
      <c r="C68" s="55">
        <v>46.246794541828898</v>
      </c>
      <c r="F68" s="53">
        <f t="shared" si="14"/>
        <v>46.246794541828898</v>
      </c>
      <c r="I68" s="55">
        <v>11.684092581077211</v>
      </c>
      <c r="L68" s="53">
        <f t="shared" si="9"/>
        <v>11.684092581077211</v>
      </c>
      <c r="N68" s="51">
        <v>45.662000561274226</v>
      </c>
      <c r="Q68" s="53">
        <f t="shared" si="16"/>
        <v>45.662000561274226</v>
      </c>
      <c r="S68" s="51">
        <v>44.730454613384744</v>
      </c>
      <c r="V68" s="53">
        <f t="shared" si="12"/>
        <v>44.730454613384744</v>
      </c>
      <c r="W68" s="51">
        <v>68.763295721363022</v>
      </c>
      <c r="Z68" s="58">
        <f t="shared" si="15"/>
        <v>68.763295721363022</v>
      </c>
    </row>
    <row r="69" spans="1:26" x14ac:dyDescent="0.2">
      <c r="A69" s="50">
        <f t="shared" si="10"/>
        <v>1887</v>
      </c>
      <c r="C69" s="55">
        <v>63.616784384241669</v>
      </c>
      <c r="F69" s="53">
        <f t="shared" si="14"/>
        <v>63.616784384241669</v>
      </c>
      <c r="I69" s="55">
        <v>9.9691189129701332</v>
      </c>
      <c r="L69" s="53">
        <f t="shared" si="9"/>
        <v>9.9691189129701332</v>
      </c>
      <c r="N69" s="51">
        <v>43.511436476666994</v>
      </c>
      <c r="Q69" s="53">
        <f t="shared" si="16"/>
        <v>43.511436476666994</v>
      </c>
      <c r="S69" s="51">
        <v>45.074958922931174</v>
      </c>
      <c r="V69" s="53">
        <f t="shared" si="12"/>
        <v>45.074958922931174</v>
      </c>
      <c r="W69" s="51">
        <v>58.483646983478728</v>
      </c>
      <c r="Z69" s="58">
        <f t="shared" si="15"/>
        <v>58.483646983478728</v>
      </c>
    </row>
    <row r="70" spans="1:26" x14ac:dyDescent="0.2">
      <c r="A70" s="50">
        <f t="shared" si="10"/>
        <v>1888</v>
      </c>
      <c r="C70" s="55">
        <v>55.776115461029292</v>
      </c>
      <c r="F70" s="53">
        <f t="shared" si="14"/>
        <v>55.776115461029292</v>
      </c>
      <c r="I70" s="55">
        <v>11.482902470806716</v>
      </c>
      <c r="L70" s="53">
        <f t="shared" si="9"/>
        <v>11.482902470806716</v>
      </c>
      <c r="N70" s="51">
        <v>44.105884557699582</v>
      </c>
      <c r="Q70" s="53">
        <f t="shared" si="16"/>
        <v>44.105884557699582</v>
      </c>
      <c r="S70" s="51">
        <v>37.837221158765111</v>
      </c>
      <c r="V70" s="53">
        <f t="shared" si="12"/>
        <v>37.837221158765111</v>
      </c>
      <c r="W70" s="51">
        <v>63.462277213869093</v>
      </c>
      <c r="Z70" s="58">
        <f t="shared" si="15"/>
        <v>63.462277213869093</v>
      </c>
    </row>
    <row r="71" spans="1:26" x14ac:dyDescent="0.2">
      <c r="A71" s="50">
        <f t="shared" si="10"/>
        <v>1889</v>
      </c>
      <c r="C71" s="55">
        <v>69.019847349843118</v>
      </c>
      <c r="F71" s="53">
        <f t="shared" si="14"/>
        <v>69.019847349843118</v>
      </c>
      <c r="I71" s="55">
        <v>12.994578891446267</v>
      </c>
      <c r="L71" s="53">
        <f t="shared" si="9"/>
        <v>12.994578891446267</v>
      </c>
      <c r="N71" s="51">
        <v>46.03405627553559</v>
      </c>
      <c r="Q71" s="53">
        <f t="shared" si="16"/>
        <v>46.03405627553559</v>
      </c>
      <c r="S71" s="51">
        <v>41.121645879212721</v>
      </c>
      <c r="V71" s="53">
        <f t="shared" si="12"/>
        <v>41.121645879212721</v>
      </c>
      <c r="W71" s="51">
        <v>61.906143108198222</v>
      </c>
      <c r="Z71" s="58">
        <f t="shared" si="15"/>
        <v>61.906143108198222</v>
      </c>
    </row>
    <row r="72" spans="1:26" x14ac:dyDescent="0.2">
      <c r="A72" s="50">
        <f t="shared" si="10"/>
        <v>1890</v>
      </c>
      <c r="C72" s="55">
        <v>68.212593245082417</v>
      </c>
      <c r="F72" s="53">
        <f t="shared" si="14"/>
        <v>68.212593245082417</v>
      </c>
      <c r="I72" s="55">
        <v>10.761057670780849</v>
      </c>
      <c r="L72" s="53">
        <f t="shared" si="9"/>
        <v>10.761057670780849</v>
      </c>
      <c r="N72" s="51">
        <v>47.487793160080358</v>
      </c>
      <c r="Q72" s="53">
        <f t="shared" si="16"/>
        <v>47.487793160080358</v>
      </c>
      <c r="S72" s="51">
        <v>39.832892995227603</v>
      </c>
      <c r="V72" s="53">
        <f t="shared" si="12"/>
        <v>39.832892995227603</v>
      </c>
      <c r="W72" s="51">
        <v>60.04114721045022</v>
      </c>
      <c r="Z72" s="58">
        <f t="shared" si="15"/>
        <v>60.04114721045022</v>
      </c>
    </row>
    <row r="73" spans="1:26" x14ac:dyDescent="0.2">
      <c r="A73" s="50">
        <f t="shared" si="10"/>
        <v>1891</v>
      </c>
      <c r="C73" s="55">
        <v>70.517666762262394</v>
      </c>
      <c r="F73" s="53">
        <f t="shared" si="14"/>
        <v>70.517666762262394</v>
      </c>
      <c r="I73" s="55">
        <v>10.751268980184852</v>
      </c>
      <c r="L73" s="53">
        <f t="shared" si="9"/>
        <v>10.751268980184852</v>
      </c>
      <c r="N73" s="51">
        <v>44.873135596512249</v>
      </c>
      <c r="Q73" s="53">
        <f t="shared" si="16"/>
        <v>44.873135596512249</v>
      </c>
      <c r="S73" s="51">
        <v>37.915424580428706</v>
      </c>
      <c r="V73" s="53">
        <f t="shared" si="12"/>
        <v>37.915424580428706</v>
      </c>
      <c r="W73" s="51">
        <v>62.992764313307205</v>
      </c>
      <c r="Z73" s="58">
        <f t="shared" si="15"/>
        <v>62.992764313307205</v>
      </c>
    </row>
    <row r="74" spans="1:26" x14ac:dyDescent="0.2">
      <c r="A74" s="50">
        <f t="shared" si="10"/>
        <v>1892</v>
      </c>
      <c r="C74" s="55">
        <v>68.099560792349635</v>
      </c>
      <c r="F74" s="53">
        <f t="shared" si="14"/>
        <v>68.099560792349635</v>
      </c>
      <c r="I74" s="55">
        <v>10.982955326390202</v>
      </c>
      <c r="L74" s="53">
        <f t="shared" si="9"/>
        <v>10.982955326390202</v>
      </c>
      <c r="N74" s="51">
        <v>41.129505389511934</v>
      </c>
      <c r="Q74" s="53">
        <f t="shared" si="16"/>
        <v>41.129505389511934</v>
      </c>
      <c r="S74" s="51">
        <v>32.592413369707216</v>
      </c>
      <c r="V74" s="53">
        <f t="shared" si="12"/>
        <v>32.592413369707216</v>
      </c>
      <c r="W74" s="51">
        <v>54.596211362339403</v>
      </c>
      <c r="Z74" s="58">
        <f t="shared" si="15"/>
        <v>54.596211362339403</v>
      </c>
    </row>
    <row r="75" spans="1:26" x14ac:dyDescent="0.2">
      <c r="A75" s="50">
        <f t="shared" si="10"/>
        <v>1893</v>
      </c>
      <c r="C75" s="55">
        <v>71.566597022019437</v>
      </c>
      <c r="F75" s="53">
        <f t="shared" si="14"/>
        <v>71.566597022019437</v>
      </c>
      <c r="I75" s="55">
        <v>11.945448284516962</v>
      </c>
      <c r="L75" s="53">
        <f t="shared" si="9"/>
        <v>11.945448284516962</v>
      </c>
      <c r="N75" s="51">
        <v>40.139221427420452</v>
      </c>
      <c r="Q75" s="53">
        <f t="shared" si="16"/>
        <v>40.139221427420452</v>
      </c>
      <c r="S75" s="51">
        <v>35.614346279827991</v>
      </c>
      <c r="V75" s="53">
        <f t="shared" si="12"/>
        <v>35.614346279827991</v>
      </c>
      <c r="W75" s="51">
        <v>62.442264374715116</v>
      </c>
      <c r="Z75" s="58">
        <f t="shared" si="15"/>
        <v>62.442264374715116</v>
      </c>
    </row>
    <row r="76" spans="1:26" x14ac:dyDescent="0.2">
      <c r="A76" s="50">
        <f t="shared" si="10"/>
        <v>1894</v>
      </c>
      <c r="C76" s="55">
        <v>70.154428074684503</v>
      </c>
      <c r="F76" s="53">
        <f t="shared" si="14"/>
        <v>70.154428074684503</v>
      </c>
      <c r="I76" s="55">
        <v>10.358407664808901</v>
      </c>
      <c r="L76" s="53">
        <f t="shared" si="9"/>
        <v>10.358407664808901</v>
      </c>
      <c r="N76" s="51">
        <v>34.520579814142465</v>
      </c>
      <c r="Q76" s="53">
        <f t="shared" si="16"/>
        <v>34.520579814142465</v>
      </c>
      <c r="S76" s="51">
        <v>32.516727741971472</v>
      </c>
      <c r="V76" s="53">
        <f t="shared" si="12"/>
        <v>32.516727741971472</v>
      </c>
      <c r="W76" s="51">
        <v>63.23273384905994</v>
      </c>
      <c r="Z76" s="58">
        <f t="shared" si="15"/>
        <v>63.23273384905994</v>
      </c>
    </row>
    <row r="77" spans="1:26" x14ac:dyDescent="0.2">
      <c r="A77" s="50">
        <f t="shared" si="10"/>
        <v>1895</v>
      </c>
      <c r="C77" s="55">
        <v>71.557189340066557</v>
      </c>
      <c r="F77" s="53">
        <f t="shared" si="14"/>
        <v>71.557189340066557</v>
      </c>
      <c r="I77" s="55">
        <v>7.7510960268985469</v>
      </c>
      <c r="L77" s="53">
        <f t="shared" si="9"/>
        <v>7.7510960268985469</v>
      </c>
      <c r="N77" s="51">
        <v>33.852690900897912</v>
      </c>
      <c r="Q77" s="53">
        <f t="shared" si="16"/>
        <v>33.852690900897912</v>
      </c>
      <c r="S77" s="51">
        <v>44.53136310831642</v>
      </c>
      <c r="V77" s="53">
        <f t="shared" si="12"/>
        <v>44.53136310831642</v>
      </c>
      <c r="W77" s="51">
        <v>64.621321011849673</v>
      </c>
      <c r="Z77" s="58">
        <f t="shared" si="15"/>
        <v>64.621321011849673</v>
      </c>
    </row>
    <row r="78" spans="1:26" x14ac:dyDescent="0.2">
      <c r="A78" s="50">
        <f t="shared" si="10"/>
        <v>1896</v>
      </c>
      <c r="C78" s="55">
        <v>76.473693273643434</v>
      </c>
      <c r="F78" s="53">
        <f t="shared" si="14"/>
        <v>76.473693273643434</v>
      </c>
      <c r="I78" s="55">
        <v>8.6776785613148792</v>
      </c>
      <c r="L78" s="53">
        <f t="shared" si="9"/>
        <v>8.6776785613148792</v>
      </c>
      <c r="N78" s="51">
        <v>36.219618849148439</v>
      </c>
      <c r="Q78" s="53">
        <f t="shared" si="16"/>
        <v>36.219618849148439</v>
      </c>
      <c r="S78" s="51">
        <v>42.64088910502813</v>
      </c>
      <c r="V78" s="53">
        <f t="shared" si="12"/>
        <v>42.64088910502813</v>
      </c>
      <c r="W78" s="51">
        <v>69.791029327901029</v>
      </c>
      <c r="Z78" s="58">
        <f t="shared" si="15"/>
        <v>69.791029327901029</v>
      </c>
    </row>
    <row r="79" spans="1:26" x14ac:dyDescent="0.2">
      <c r="A79" s="50">
        <f t="shared" si="10"/>
        <v>1897</v>
      </c>
      <c r="C79" s="55">
        <v>55.752694905229149</v>
      </c>
      <c r="F79" s="53">
        <f t="shared" si="14"/>
        <v>55.752694905229149</v>
      </c>
      <c r="I79" s="55">
        <v>7.9287852671145238</v>
      </c>
      <c r="L79" s="53">
        <f t="shared" si="9"/>
        <v>7.9287852671145238</v>
      </c>
      <c r="N79" s="51">
        <v>34.146464337502174</v>
      </c>
      <c r="Q79" s="53">
        <f t="shared" si="16"/>
        <v>34.146464337502174</v>
      </c>
      <c r="S79" s="51">
        <v>42.656680768361461</v>
      </c>
      <c r="V79" s="53">
        <f t="shared" si="12"/>
        <v>42.656680768361461</v>
      </c>
      <c r="W79" s="51">
        <v>55.267879942421636</v>
      </c>
      <c r="Z79" s="58">
        <f t="shared" si="15"/>
        <v>55.267879942421636</v>
      </c>
    </row>
    <row r="80" spans="1:26" x14ac:dyDescent="0.2">
      <c r="A80" s="50">
        <f t="shared" si="10"/>
        <v>1898</v>
      </c>
      <c r="C80" s="55">
        <v>34.009526868027585</v>
      </c>
      <c r="F80" s="53">
        <f t="shared" si="14"/>
        <v>34.009526868027585</v>
      </c>
      <c r="I80" s="55">
        <v>8.4851096515305695</v>
      </c>
      <c r="L80" s="53">
        <f t="shared" si="9"/>
        <v>8.4851096515305695</v>
      </c>
      <c r="N80" s="51">
        <v>29.548228960975283</v>
      </c>
      <c r="Q80" s="53">
        <f t="shared" si="16"/>
        <v>29.548228960975283</v>
      </c>
      <c r="S80" s="51">
        <v>47.718745808140753</v>
      </c>
      <c r="V80" s="53">
        <f t="shared" si="12"/>
        <v>47.718745808140753</v>
      </c>
      <c r="W80" s="51">
        <v>56.913614322851323</v>
      </c>
      <c r="Z80" s="58">
        <f t="shared" si="15"/>
        <v>56.913614322851323</v>
      </c>
    </row>
    <row r="81" spans="1:26" x14ac:dyDescent="0.2">
      <c r="A81" s="50">
        <f t="shared" si="10"/>
        <v>1899</v>
      </c>
      <c r="C81" s="55">
        <v>28.230140993763396</v>
      </c>
      <c r="F81" s="53">
        <f t="shared" si="14"/>
        <v>28.230140993763396</v>
      </c>
      <c r="I81" s="55">
        <v>9.1676731920669887</v>
      </c>
      <c r="L81" s="53">
        <f t="shared" si="9"/>
        <v>9.1676731920669887</v>
      </c>
      <c r="N81" s="51">
        <v>30.712490953039168</v>
      </c>
      <c r="Q81" s="53">
        <f t="shared" si="16"/>
        <v>30.712490953039168</v>
      </c>
      <c r="S81" s="51">
        <v>44.330139619757475</v>
      </c>
      <c r="V81" s="53">
        <f t="shared" si="12"/>
        <v>44.330139619757475</v>
      </c>
      <c r="W81" s="51">
        <v>50.339717044554909</v>
      </c>
      <c r="Z81" s="58">
        <f t="shared" si="15"/>
        <v>50.339717044554909</v>
      </c>
    </row>
    <row r="82" spans="1:26" x14ac:dyDescent="0.2">
      <c r="A82" s="50">
        <f t="shared" si="10"/>
        <v>1900</v>
      </c>
      <c r="C82" s="55">
        <v>34.215117201206198</v>
      </c>
      <c r="F82" s="53">
        <f t="shared" si="14"/>
        <v>34.215117201206198</v>
      </c>
      <c r="I82" s="55">
        <v>9.3682335376967032</v>
      </c>
      <c r="L82" s="53">
        <f t="shared" si="9"/>
        <v>9.3682335376967032</v>
      </c>
      <c r="N82" s="51">
        <v>40.388858155091867</v>
      </c>
      <c r="Q82" s="53">
        <f t="shared" si="16"/>
        <v>40.388858155091867</v>
      </c>
      <c r="S82" s="51">
        <v>41.842940800242332</v>
      </c>
      <c r="V82" s="53">
        <f t="shared" si="12"/>
        <v>41.842940800242332</v>
      </c>
      <c r="W82" s="51">
        <v>70.346119393354329</v>
      </c>
      <c r="Z82" s="58">
        <f t="shared" si="15"/>
        <v>70.346119393354329</v>
      </c>
    </row>
    <row r="83" spans="1:26" x14ac:dyDescent="0.2">
      <c r="A83" s="50">
        <f t="shared" si="10"/>
        <v>1901</v>
      </c>
      <c r="C83" s="55">
        <v>33.036731439305299</v>
      </c>
      <c r="F83" s="53">
        <f t="shared" si="14"/>
        <v>33.036731439305299</v>
      </c>
      <c r="I83" s="55">
        <v>8.1901321377414771</v>
      </c>
      <c r="L83" s="53">
        <f t="shared" si="9"/>
        <v>8.1901321377414771</v>
      </c>
      <c r="N83" s="51">
        <v>44.960180322534939</v>
      </c>
      <c r="Q83" s="53">
        <f t="shared" si="16"/>
        <v>44.960180322534939</v>
      </c>
      <c r="S83" s="51">
        <v>48.401023666910099</v>
      </c>
      <c r="V83" s="53">
        <f t="shared" si="12"/>
        <v>48.401023666910099</v>
      </c>
      <c r="W83" s="51">
        <v>68.720087879736226</v>
      </c>
      <c r="Z83" s="58">
        <f t="shared" si="15"/>
        <v>68.720087879736226</v>
      </c>
    </row>
    <row r="84" spans="1:26" x14ac:dyDescent="0.2">
      <c r="A84" s="50">
        <f t="shared" si="10"/>
        <v>1902</v>
      </c>
      <c r="C84" s="55">
        <v>30.946044289354152</v>
      </c>
      <c r="F84" s="53">
        <f t="shared" si="14"/>
        <v>30.946044289354152</v>
      </c>
      <c r="I84" s="55">
        <v>5.8830823399446048</v>
      </c>
      <c r="L84" s="53">
        <f t="shared" si="9"/>
        <v>5.8830823399446048</v>
      </c>
      <c r="N84" s="51">
        <v>41.826139270471799</v>
      </c>
      <c r="Q84" s="53">
        <f t="shared" si="16"/>
        <v>41.826139270471799</v>
      </c>
      <c r="S84" s="51">
        <v>50.358980698584894</v>
      </c>
      <c r="V84" s="53">
        <f t="shared" si="12"/>
        <v>50.358980698584894</v>
      </c>
      <c r="W84" s="51">
        <v>61.143844220356407</v>
      </c>
      <c r="Z84" s="58">
        <f t="shared" si="15"/>
        <v>61.143844220356407</v>
      </c>
    </row>
    <row r="85" spans="1:26" x14ac:dyDescent="0.2">
      <c r="A85" s="50">
        <f t="shared" si="10"/>
        <v>1903</v>
      </c>
      <c r="C85" s="55">
        <v>32.849021400569967</v>
      </c>
      <c r="F85" s="53">
        <f t="shared" si="14"/>
        <v>32.849021400569967</v>
      </c>
      <c r="I85" s="55">
        <v>7.1667522085866615</v>
      </c>
      <c r="L85" s="53">
        <f t="shared" si="9"/>
        <v>7.1667522085866615</v>
      </c>
      <c r="N85" s="51">
        <v>56.921229347813544</v>
      </c>
      <c r="Q85" s="53">
        <f t="shared" si="16"/>
        <v>56.921229347813544</v>
      </c>
      <c r="S85" s="51">
        <v>51.234437155814867</v>
      </c>
      <c r="V85" s="53">
        <f t="shared" si="12"/>
        <v>51.234437155814867</v>
      </c>
      <c r="W85" s="51">
        <v>55.973941540736718</v>
      </c>
      <c r="Z85" s="58">
        <f t="shared" si="15"/>
        <v>55.973941540736718</v>
      </c>
    </row>
    <row r="86" spans="1:26" x14ac:dyDescent="0.2">
      <c r="A86" s="50">
        <f t="shared" si="10"/>
        <v>1904</v>
      </c>
      <c r="C86" s="55">
        <v>35.571707188102508</v>
      </c>
      <c r="F86" s="53">
        <f t="shared" si="14"/>
        <v>35.571707188102508</v>
      </c>
      <c r="I86" s="55">
        <v>7.199811641420176</v>
      </c>
      <c r="L86" s="53">
        <f t="shared" si="9"/>
        <v>7.199811641420176</v>
      </c>
      <c r="N86" s="51">
        <v>63.654640954084954</v>
      </c>
      <c r="Q86" s="53">
        <f t="shared" si="16"/>
        <v>63.654640954084954</v>
      </c>
      <c r="S86" s="51">
        <v>58.022239536886644</v>
      </c>
      <c r="V86" s="53">
        <f t="shared" si="12"/>
        <v>58.022239536886644</v>
      </c>
      <c r="W86" s="51">
        <v>56.381144747790529</v>
      </c>
      <c r="Z86" s="58">
        <f t="shared" si="15"/>
        <v>56.381144747790529</v>
      </c>
    </row>
    <row r="87" spans="1:26" x14ac:dyDescent="0.2">
      <c r="A87" s="50">
        <f t="shared" si="10"/>
        <v>1905</v>
      </c>
      <c r="C87" s="55">
        <v>36.269630587450976</v>
      </c>
      <c r="F87" s="53">
        <f t="shared" si="14"/>
        <v>36.269630587450976</v>
      </c>
      <c r="I87" s="55">
        <v>8.5918768919049704</v>
      </c>
      <c r="L87" s="53">
        <f t="shared" si="9"/>
        <v>8.5918768919049704</v>
      </c>
      <c r="N87" s="51">
        <v>64.373714359510018</v>
      </c>
      <c r="Q87" s="53">
        <f t="shared" si="16"/>
        <v>64.373714359510018</v>
      </c>
      <c r="S87" s="51">
        <v>66.202425841669609</v>
      </c>
      <c r="V87" s="53">
        <f t="shared" si="12"/>
        <v>66.202425841669609</v>
      </c>
      <c r="W87" s="51">
        <v>49.12216884454039</v>
      </c>
      <c r="Z87" s="58">
        <f t="shared" si="15"/>
        <v>49.12216884454039</v>
      </c>
    </row>
    <row r="88" spans="1:26" x14ac:dyDescent="0.2">
      <c r="A88" s="50">
        <f t="shared" si="10"/>
        <v>1906</v>
      </c>
      <c r="C88" s="55">
        <v>32.893356373987714</v>
      </c>
      <c r="F88" s="53">
        <f t="shared" si="14"/>
        <v>32.893356373987714</v>
      </c>
      <c r="I88" s="55">
        <v>5.3735970767596752</v>
      </c>
      <c r="L88" s="53">
        <f t="shared" si="9"/>
        <v>5.3735970767596752</v>
      </c>
      <c r="N88" s="51">
        <v>57.010768208036808</v>
      </c>
      <c r="Q88" s="53">
        <f t="shared" si="16"/>
        <v>57.010768208036808</v>
      </c>
      <c r="S88" s="51">
        <v>70.689970357379678</v>
      </c>
      <c r="V88" s="53">
        <f t="shared" si="12"/>
        <v>70.689970357379678</v>
      </c>
      <c r="W88" s="51">
        <v>52.262870186134251</v>
      </c>
      <c r="Z88" s="58">
        <f t="shared" si="15"/>
        <v>52.262870186134251</v>
      </c>
    </row>
    <row r="89" spans="1:26" x14ac:dyDescent="0.2">
      <c r="A89" s="50">
        <f t="shared" si="10"/>
        <v>1907</v>
      </c>
      <c r="C89" s="55">
        <v>30.105597406023666</v>
      </c>
      <c r="F89" s="53">
        <f t="shared" si="14"/>
        <v>30.105597406023666</v>
      </c>
      <c r="I89" s="55">
        <v>14.6456878123827</v>
      </c>
      <c r="L89" s="53">
        <f t="shared" si="9"/>
        <v>14.6456878123827</v>
      </c>
      <c r="N89" s="51">
        <v>63.64087215518974</v>
      </c>
      <c r="Q89" s="53">
        <f t="shared" si="16"/>
        <v>63.64087215518974</v>
      </c>
      <c r="S89" s="51">
        <v>76.436951534639206</v>
      </c>
      <c r="V89" s="53">
        <f t="shared" si="12"/>
        <v>76.436951534639206</v>
      </c>
      <c r="W89" s="51">
        <v>91.504965712977011</v>
      </c>
      <c r="Z89" s="58">
        <f t="shared" si="15"/>
        <v>91.504965712977011</v>
      </c>
    </row>
    <row r="90" spans="1:26" x14ac:dyDescent="0.2">
      <c r="A90" s="50">
        <f t="shared" si="10"/>
        <v>1908</v>
      </c>
      <c r="C90" s="55">
        <v>32.651327795613028</v>
      </c>
      <c r="F90" s="53">
        <f t="shared" si="14"/>
        <v>32.651327795613028</v>
      </c>
      <c r="I90" s="55">
        <v>9.1378157866721477</v>
      </c>
      <c r="L90" s="53">
        <f t="shared" si="9"/>
        <v>9.1378157866721477</v>
      </c>
      <c r="N90" s="51">
        <v>58.684129903209048</v>
      </c>
      <c r="Q90" s="53">
        <f t="shared" si="16"/>
        <v>58.684129903209048</v>
      </c>
      <c r="S90" s="51">
        <v>75.838573299636309</v>
      </c>
      <c r="V90" s="53">
        <f t="shared" si="12"/>
        <v>75.838573299636309</v>
      </c>
      <c r="W90" s="51">
        <v>66.710753294957883</v>
      </c>
      <c r="Z90" s="58">
        <f t="shared" si="15"/>
        <v>66.710753294957883</v>
      </c>
    </row>
    <row r="91" spans="1:26" x14ac:dyDescent="0.2">
      <c r="A91" s="50">
        <f t="shared" si="10"/>
        <v>1909</v>
      </c>
      <c r="C91" s="55">
        <v>33.035018745872769</v>
      </c>
      <c r="F91" s="53">
        <f t="shared" si="14"/>
        <v>33.035018745872769</v>
      </c>
      <c r="I91" s="55">
        <v>9.1470904527993326</v>
      </c>
      <c r="L91" s="53">
        <f t="shared" si="9"/>
        <v>9.1470904527993326</v>
      </c>
      <c r="N91" s="51">
        <v>65.949009256401226</v>
      </c>
      <c r="Q91" s="53">
        <f t="shared" si="16"/>
        <v>65.949009256401226</v>
      </c>
      <c r="S91" s="51">
        <v>76.462645776036581</v>
      </c>
      <c r="V91" s="53">
        <f t="shared" si="12"/>
        <v>76.462645776036581</v>
      </c>
      <c r="W91" s="51">
        <v>49.957787771471025</v>
      </c>
      <c r="Z91" s="58">
        <f t="shared" si="15"/>
        <v>49.957787771471025</v>
      </c>
    </row>
    <row r="92" spans="1:26" x14ac:dyDescent="0.2">
      <c r="A92" s="50">
        <f t="shared" si="10"/>
        <v>1910</v>
      </c>
      <c r="C92" s="55">
        <v>34.055962826333548</v>
      </c>
      <c r="F92" s="53">
        <f t="shared" si="14"/>
        <v>34.055962826333548</v>
      </c>
      <c r="I92" s="55">
        <v>11.182793888032267</v>
      </c>
      <c r="L92" s="53">
        <f t="shared" si="9"/>
        <v>11.182793888032267</v>
      </c>
      <c r="N92" s="51">
        <v>89.207407144960698</v>
      </c>
      <c r="Q92" s="53">
        <f t="shared" si="16"/>
        <v>89.207407144960698</v>
      </c>
      <c r="S92" s="51">
        <v>82.277947621148215</v>
      </c>
      <c r="V92" s="53">
        <f t="shared" si="12"/>
        <v>82.277947621148215</v>
      </c>
      <c r="W92" s="51">
        <v>50.81250552367112</v>
      </c>
      <c r="Z92" s="58">
        <f t="shared" si="15"/>
        <v>50.81250552367112</v>
      </c>
    </row>
    <row r="93" spans="1:26" x14ac:dyDescent="0.2">
      <c r="A93" s="50">
        <f t="shared" si="10"/>
        <v>1911</v>
      </c>
      <c r="C93" s="55">
        <v>52.743508257565551</v>
      </c>
      <c r="F93" s="53">
        <f t="shared" si="14"/>
        <v>52.743508257565551</v>
      </c>
      <c r="I93" s="55">
        <v>8.5815794111385379</v>
      </c>
      <c r="L93" s="53">
        <f t="shared" si="9"/>
        <v>8.5815794111385379</v>
      </c>
      <c r="N93" s="51">
        <v>65.734903195354761</v>
      </c>
      <c r="Q93" s="53">
        <f t="shared" si="16"/>
        <v>65.734903195354761</v>
      </c>
      <c r="S93" s="51">
        <v>82.366871832464909</v>
      </c>
      <c r="V93" s="53">
        <f t="shared" si="12"/>
        <v>82.366871832464909</v>
      </c>
      <c r="W93" s="51">
        <v>52.187017825478293</v>
      </c>
      <c r="Z93" s="58">
        <f t="shared" si="15"/>
        <v>52.187017825478293</v>
      </c>
    </row>
    <row r="94" spans="1:26" x14ac:dyDescent="0.2">
      <c r="A94" s="50">
        <f t="shared" si="10"/>
        <v>1912</v>
      </c>
      <c r="C94" s="55">
        <v>62.634832963772958</v>
      </c>
      <c r="F94" s="53">
        <f t="shared" si="14"/>
        <v>62.634832963772958</v>
      </c>
      <c r="I94" s="55">
        <v>12.257494620825772</v>
      </c>
      <c r="L94" s="53">
        <f t="shared" si="9"/>
        <v>12.257494620825772</v>
      </c>
      <c r="N94" s="51">
        <v>61.657658212951162</v>
      </c>
      <c r="Q94" s="53">
        <f t="shared" si="16"/>
        <v>61.657658212951162</v>
      </c>
      <c r="S94" s="51">
        <v>92.20624689022884</v>
      </c>
      <c r="V94" s="53">
        <f t="shared" si="12"/>
        <v>92.20624689022884</v>
      </c>
      <c r="W94" s="51">
        <v>54.657804983727964</v>
      </c>
      <c r="Z94" s="58">
        <f t="shared" si="15"/>
        <v>54.657804983727964</v>
      </c>
    </row>
    <row r="95" spans="1:26" x14ac:dyDescent="0.2">
      <c r="A95" s="50">
        <v>1913</v>
      </c>
      <c r="C95" s="55">
        <v>57.09085322630915</v>
      </c>
      <c r="F95" s="53">
        <f t="shared" si="14"/>
        <v>57.09085322630915</v>
      </c>
      <c r="I95" s="55">
        <v>9.0534814375982133</v>
      </c>
      <c r="L95" s="53">
        <f t="shared" si="9"/>
        <v>9.0534814375982133</v>
      </c>
      <c r="N95" s="51">
        <v>60.52</v>
      </c>
      <c r="Q95" s="53">
        <f t="shared" si="16"/>
        <v>60.52</v>
      </c>
      <c r="S95" s="51">
        <v>114.61468501895457</v>
      </c>
      <c r="V95" s="53">
        <f t="shared" si="12"/>
        <v>114.61468501895457</v>
      </c>
      <c r="W95" s="51">
        <v>63.289015366015398</v>
      </c>
      <c r="Z95" s="58">
        <f t="shared" si="15"/>
        <v>63.289015366015398</v>
      </c>
    </row>
  </sheetData>
  <sheetProtection selectLockedCells="1" selectUnlockedCells="1"/>
  <mergeCells count="5">
    <mergeCell ref="B1:F1"/>
    <mergeCell ref="G1:L1"/>
    <mergeCell ref="M1:Q1"/>
    <mergeCell ref="R1:V1"/>
    <mergeCell ref="W1:Z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workbookViewId="0">
      <selection activeCell="U16" sqref="U16"/>
    </sheetView>
  </sheetViews>
  <sheetFormatPr defaultColWidth="8.85546875" defaultRowHeight="15" x14ac:dyDescent="0.25"/>
  <cols>
    <col min="2" max="2" width="12.42578125" customWidth="1"/>
    <col min="3" max="3" width="7.28515625" customWidth="1"/>
    <col min="4" max="4" width="6.7109375" customWidth="1"/>
    <col min="5" max="5" width="9.140625" style="18" customWidth="1"/>
    <col min="6" max="6" width="6.42578125" customWidth="1"/>
    <col min="7" max="7" width="10.42578125" customWidth="1"/>
    <col min="8" max="8" width="13.7109375" bestFit="1" customWidth="1"/>
    <col min="9" max="9" width="20.42578125" customWidth="1"/>
    <col min="10" max="10" width="13.7109375" bestFit="1" customWidth="1"/>
    <col min="11" max="11" width="10.140625" customWidth="1"/>
    <col min="12" max="12" width="12" customWidth="1"/>
    <col min="19" max="19" width="10.7109375" style="22" customWidth="1"/>
    <col min="20" max="22" width="8.85546875" style="22"/>
  </cols>
  <sheetData>
    <row r="1" spans="1:22" x14ac:dyDescent="0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S1" s="72" t="s">
        <v>5</v>
      </c>
      <c r="T1" s="72"/>
      <c r="U1" s="72"/>
      <c r="V1" s="72"/>
    </row>
    <row r="2" spans="1:22" x14ac:dyDescent="0.25">
      <c r="B2" s="20" t="s">
        <v>54</v>
      </c>
      <c r="E2" s="16"/>
      <c r="N2" s="20" t="s">
        <v>53</v>
      </c>
      <c r="S2" s="25" t="s">
        <v>59</v>
      </c>
      <c r="T2" s="14"/>
      <c r="U2" s="14"/>
      <c r="V2" s="14"/>
    </row>
    <row r="3" spans="1:22" x14ac:dyDescent="0.25">
      <c r="B3" t="s">
        <v>42</v>
      </c>
      <c r="C3" t="s">
        <v>43</v>
      </c>
      <c r="D3" t="s">
        <v>44</v>
      </c>
      <c r="E3" s="16" t="s">
        <v>45</v>
      </c>
      <c r="F3" t="s">
        <v>46</v>
      </c>
      <c r="G3" t="s">
        <v>47</v>
      </c>
      <c r="H3" t="s">
        <v>48</v>
      </c>
      <c r="I3" t="s">
        <v>49</v>
      </c>
      <c r="J3" s="16" t="s">
        <v>50</v>
      </c>
      <c r="K3" s="16" t="s">
        <v>51</v>
      </c>
      <c r="L3" s="17" t="s">
        <v>52</v>
      </c>
      <c r="S3" s="22" t="s">
        <v>55</v>
      </c>
      <c r="T3" s="22" t="s">
        <v>56</v>
      </c>
      <c r="U3" s="22" t="s">
        <v>57</v>
      </c>
      <c r="V3" s="22" t="s">
        <v>58</v>
      </c>
    </row>
    <row r="4" spans="1:22" x14ac:dyDescent="0.25">
      <c r="A4">
        <v>1821</v>
      </c>
      <c r="E4" s="16"/>
      <c r="S4" s="22" t="s">
        <v>114</v>
      </c>
      <c r="T4" s="22" t="s">
        <v>114</v>
      </c>
      <c r="U4" s="22" t="s">
        <v>115</v>
      </c>
      <c r="V4" s="22" t="s">
        <v>114</v>
      </c>
    </row>
    <row r="5" spans="1:22" x14ac:dyDescent="0.25">
      <c r="A5">
        <v>1822</v>
      </c>
      <c r="E5" s="16"/>
      <c r="S5" s="23">
        <v>3.8833333333333333</v>
      </c>
      <c r="T5" s="23">
        <v>3.375</v>
      </c>
      <c r="U5" s="23">
        <v>11.022474494660566</v>
      </c>
      <c r="V5" s="23">
        <v>4.5929583333333328</v>
      </c>
    </row>
    <row r="6" spans="1:22" x14ac:dyDescent="0.25">
      <c r="A6">
        <v>1823</v>
      </c>
      <c r="E6" s="16"/>
      <c r="S6" s="23">
        <v>3.907407407407407</v>
      </c>
      <c r="T6" s="23">
        <v>3.3888888888888893</v>
      </c>
      <c r="U6" s="23">
        <v>10.654560674779226</v>
      </c>
      <c r="V6" s="23">
        <v>4.5929583333333328</v>
      </c>
    </row>
    <row r="7" spans="1:22" x14ac:dyDescent="0.25">
      <c r="A7">
        <v>1824</v>
      </c>
      <c r="E7" s="16"/>
      <c r="S7" s="21">
        <v>3.7941492216854527</v>
      </c>
      <c r="T7" s="23">
        <v>3.2906602254428345</v>
      </c>
      <c r="U7" s="23">
        <v>10.345732829133452</v>
      </c>
      <c r="V7" s="23">
        <v>4.4598291062801936</v>
      </c>
    </row>
    <row r="8" spans="1:22" x14ac:dyDescent="0.25">
      <c r="A8">
        <v>1825</v>
      </c>
      <c r="E8" s="16"/>
      <c r="S8" s="21">
        <v>3.3747200783780542</v>
      </c>
      <c r="T8" s="23">
        <v>2.6276167471819649</v>
      </c>
      <c r="U8" s="23">
        <v>8.2611448710244719</v>
      </c>
      <c r="V8" s="23">
        <v>3.5612068236714975</v>
      </c>
    </row>
    <row r="9" spans="1:22" x14ac:dyDescent="0.25">
      <c r="A9">
        <v>1826</v>
      </c>
      <c r="E9" s="16"/>
      <c r="S9" s="23">
        <v>3.3747200783780542</v>
      </c>
      <c r="T9" s="23">
        <v>2.6276167471819649</v>
      </c>
      <c r="U9" s="23">
        <v>8.2611448710244719</v>
      </c>
      <c r="V9" s="23">
        <v>3.5612068236714975</v>
      </c>
    </row>
    <row r="10" spans="1:22" x14ac:dyDescent="0.25">
      <c r="A10" s="19">
        <v>1827</v>
      </c>
      <c r="B10" s="2">
        <v>0.49003316284854359</v>
      </c>
      <c r="C10" s="2">
        <v>0.8035842555528091</v>
      </c>
      <c r="D10" s="2">
        <v>5.4115144955921846E-2</v>
      </c>
      <c r="E10" s="2">
        <v>4.7448194615344996E-2</v>
      </c>
      <c r="F10" s="2"/>
      <c r="G10" s="2"/>
      <c r="H10" s="2"/>
      <c r="I10" s="2">
        <v>0.26634291799163068</v>
      </c>
      <c r="J10" s="2">
        <v>0.15037918577387455</v>
      </c>
      <c r="K10" s="2"/>
      <c r="L10" s="2"/>
      <c r="N10" s="2">
        <v>7.381948488010652E-2</v>
      </c>
      <c r="S10" s="23">
        <v>3.2659431306742039</v>
      </c>
      <c r="T10" s="23">
        <v>2.6276167471819649</v>
      </c>
      <c r="U10" s="23">
        <v>8.2611448710244719</v>
      </c>
      <c r="V10" s="23">
        <v>3.5612068236714975</v>
      </c>
    </row>
    <row r="11" spans="1:22" x14ac:dyDescent="0.25">
      <c r="A11" s="19">
        <v>1828</v>
      </c>
      <c r="B11" s="2">
        <v>0.47106216545995017</v>
      </c>
      <c r="C11" s="2">
        <v>0.79560804712527111</v>
      </c>
      <c r="D11" s="2">
        <v>4.4648523589676192E-2</v>
      </c>
      <c r="E11" s="2">
        <v>3.759378267701674E-2</v>
      </c>
      <c r="F11" s="2"/>
      <c r="G11" s="2"/>
      <c r="H11" s="2"/>
      <c r="I11" s="2">
        <v>0.23832331903198711</v>
      </c>
      <c r="J11" s="2">
        <v>0.13984972996897493</v>
      </c>
      <c r="K11" s="2"/>
      <c r="L11" s="2"/>
      <c r="N11" s="2">
        <v>6.4798969364177936E-2</v>
      </c>
      <c r="S11" s="23">
        <v>3.5499999999999994</v>
      </c>
      <c r="T11" s="23">
        <v>2.3452093397745575</v>
      </c>
      <c r="U11" s="23">
        <v>7.3732648147928703</v>
      </c>
      <c r="V11" s="23">
        <v>3.1784602958937196</v>
      </c>
    </row>
    <row r="12" spans="1:22" x14ac:dyDescent="0.25">
      <c r="A12" s="19">
        <v>1829</v>
      </c>
      <c r="B12" s="2">
        <v>0.46261049739678684</v>
      </c>
      <c r="C12" s="2">
        <v>0.78116008913217971</v>
      </c>
      <c r="D12" s="2">
        <v>5.1904094829964831E-2</v>
      </c>
      <c r="E12" s="2">
        <v>4.0836837779676838E-2</v>
      </c>
      <c r="F12" s="2"/>
      <c r="G12" s="2"/>
      <c r="H12" s="2"/>
      <c r="I12" s="2">
        <v>0.20095563675374695</v>
      </c>
      <c r="J12" s="2">
        <v>0.1158460178292211</v>
      </c>
      <c r="K12" s="2"/>
      <c r="L12" s="2"/>
      <c r="N12" s="2">
        <v>6.497650135131533E-2</v>
      </c>
      <c r="S12" s="23">
        <v>3.3120512074996253</v>
      </c>
      <c r="T12" s="23">
        <v>2.2592592592592595</v>
      </c>
      <c r="U12" s="23">
        <v>7.1030404498528181</v>
      </c>
      <c r="V12" s="23">
        <v>3.0619722222222219</v>
      </c>
    </row>
    <row r="13" spans="1:22" x14ac:dyDescent="0.25">
      <c r="A13" s="19">
        <v>1830</v>
      </c>
      <c r="B13" s="2">
        <v>0.47972419454909454</v>
      </c>
      <c r="C13" s="2">
        <v>0.77628258474476342</v>
      </c>
      <c r="D13" s="2">
        <v>4.7698805073616901E-2</v>
      </c>
      <c r="E13" s="2">
        <v>3.8734764896263041E-2</v>
      </c>
      <c r="F13" s="2"/>
      <c r="G13" s="2"/>
      <c r="H13" s="2"/>
      <c r="I13" s="2">
        <v>0.20205820278388431</v>
      </c>
      <c r="J13" s="2">
        <v>0.13156626123302195</v>
      </c>
      <c r="K13" s="2"/>
      <c r="L13" s="2"/>
      <c r="N13" s="2">
        <v>6.4765563651535671E-2</v>
      </c>
      <c r="S13" s="23">
        <v>3.2238197601134089</v>
      </c>
      <c r="T13" s="23">
        <v>3.1078050000000004</v>
      </c>
      <c r="U13" s="23">
        <v>4.2084641640615965</v>
      </c>
      <c r="V13" s="23">
        <v>3.0619722222222219</v>
      </c>
    </row>
    <row r="14" spans="1:22" x14ac:dyDescent="0.25">
      <c r="A14" s="19">
        <v>1831</v>
      </c>
      <c r="B14" s="2">
        <v>0.50347950551932885</v>
      </c>
      <c r="C14" s="2">
        <v>0.79328862076325934</v>
      </c>
      <c r="D14" s="2">
        <v>6.1930358917214434E-2</v>
      </c>
      <c r="E14" s="2">
        <v>5.1844388951501452E-2</v>
      </c>
      <c r="F14" s="2"/>
      <c r="G14" s="2"/>
      <c r="H14" s="2"/>
      <c r="I14" s="2">
        <v>0.23411192303935313</v>
      </c>
      <c r="J14" s="2">
        <v>0.13628986854649683</v>
      </c>
      <c r="K14" s="2"/>
      <c r="L14" s="2"/>
      <c r="N14" s="2">
        <v>7.6238633641026454E-2</v>
      </c>
      <c r="S14" s="23">
        <v>3.2789554953611013</v>
      </c>
      <c r="T14" s="23">
        <v>4.0556406666666662</v>
      </c>
      <c r="U14" s="23">
        <v>4.3285137073932489</v>
      </c>
      <c r="V14" s="23">
        <v>3.0619722222222219</v>
      </c>
    </row>
    <row r="15" spans="1:22" x14ac:dyDescent="0.25">
      <c r="A15" s="19">
        <v>1832</v>
      </c>
      <c r="B15" s="2">
        <v>0.49548286378073481</v>
      </c>
      <c r="C15" s="2">
        <v>0.76625439094676184</v>
      </c>
      <c r="D15" s="2">
        <v>5.5778859454024055E-2</v>
      </c>
      <c r="E15" s="2">
        <v>4.6572897747225728E-2</v>
      </c>
      <c r="F15" s="2"/>
      <c r="G15" s="2"/>
      <c r="H15" s="2"/>
      <c r="I15" s="2">
        <v>0.21625416964783484</v>
      </c>
      <c r="J15" s="2">
        <v>0.11953629364496465</v>
      </c>
      <c r="K15" s="2"/>
      <c r="L15" s="2"/>
      <c r="N15" s="2">
        <v>6.9435818615700903E-2</v>
      </c>
      <c r="S15" s="23">
        <v>3.6101265067430481</v>
      </c>
      <c r="T15" s="23">
        <v>3.8349999999999995</v>
      </c>
      <c r="U15" s="23">
        <v>4.7514441107297234</v>
      </c>
      <c r="V15" s="23">
        <v>3.0619722222222219</v>
      </c>
    </row>
    <row r="16" spans="1:22" x14ac:dyDescent="0.25">
      <c r="A16" s="19">
        <v>1833</v>
      </c>
      <c r="B16" s="2">
        <v>0.48374739103436337</v>
      </c>
      <c r="C16" s="2">
        <v>0.74349597759337005</v>
      </c>
      <c r="D16" s="2">
        <v>5.7717245256513894E-2</v>
      </c>
      <c r="E16" s="2">
        <v>4.8946533425251681E-2</v>
      </c>
      <c r="F16" s="2"/>
      <c r="G16" s="2"/>
      <c r="H16" s="2"/>
      <c r="I16" s="2">
        <v>0.19932955403647035</v>
      </c>
      <c r="J16" s="2">
        <v>0.10996433085785728</v>
      </c>
      <c r="K16" s="2"/>
      <c r="L16" s="2"/>
      <c r="N16" s="2">
        <v>6.9190982047971084E-2</v>
      </c>
      <c r="S16" s="23">
        <v>2.7077233391892772</v>
      </c>
      <c r="T16" s="23">
        <v>3.6401290860694884</v>
      </c>
      <c r="U16" s="23">
        <v>4.5100051912127359</v>
      </c>
      <c r="V16" s="23">
        <v>2.9063817853580023</v>
      </c>
    </row>
    <row r="17" spans="1:22" x14ac:dyDescent="0.25">
      <c r="A17" s="19">
        <v>1834</v>
      </c>
      <c r="B17" s="2">
        <v>0.52657677626913291</v>
      </c>
      <c r="C17" s="2">
        <v>0.77711503270456983</v>
      </c>
      <c r="D17" s="2">
        <v>5.9791824507073765E-2</v>
      </c>
      <c r="E17" s="2">
        <v>5.0035225187956889E-2</v>
      </c>
      <c r="F17" s="2"/>
      <c r="G17" s="2"/>
      <c r="H17" s="2"/>
      <c r="I17" s="2">
        <v>0.19128254333143146</v>
      </c>
      <c r="J17" s="2">
        <v>0.12186684709504736</v>
      </c>
      <c r="K17" s="2"/>
      <c r="L17" s="2"/>
      <c r="N17" s="2">
        <v>7.2623544423712563E-2</v>
      </c>
      <c r="S17" s="23">
        <v>2.7113940581129614</v>
      </c>
      <c r="T17" s="23">
        <v>3.4551603033244045</v>
      </c>
      <c r="U17" s="23">
        <v>4.2808347000933162</v>
      </c>
      <c r="V17" s="23">
        <v>2.7586974894665541</v>
      </c>
    </row>
    <row r="18" spans="1:22" x14ac:dyDescent="0.25">
      <c r="A18" s="19">
        <v>1835</v>
      </c>
      <c r="B18" s="2">
        <v>0.51220067051310081</v>
      </c>
      <c r="C18" s="2">
        <v>0.79796001922494975</v>
      </c>
      <c r="D18" s="2">
        <v>5.2925174833253097E-2</v>
      </c>
      <c r="E18" s="2">
        <v>4.6265029010874592E-2</v>
      </c>
      <c r="F18" s="2"/>
      <c r="G18" s="2"/>
      <c r="H18" s="2"/>
      <c r="I18" s="2">
        <v>0.2039077159576973</v>
      </c>
      <c r="J18" s="2">
        <v>0.12355719042796465</v>
      </c>
      <c r="K18" s="2"/>
      <c r="L18" s="2"/>
      <c r="N18" s="2">
        <v>6.9081829396215821E-2</v>
      </c>
      <c r="S18" s="21">
        <v>2.573617829135066</v>
      </c>
      <c r="T18" s="23">
        <v>2.9147963753226911</v>
      </c>
      <c r="U18" s="23">
        <v>6.2842901468116859</v>
      </c>
      <c r="V18" s="23">
        <v>2.6185175935004126</v>
      </c>
    </row>
    <row r="19" spans="1:22" x14ac:dyDescent="0.25">
      <c r="A19" s="19">
        <v>1836</v>
      </c>
      <c r="B19" s="2">
        <v>0.51714424024844141</v>
      </c>
      <c r="C19" s="2">
        <v>0.76656184663330229</v>
      </c>
      <c r="D19" s="2">
        <v>5.2675157797422711E-2</v>
      </c>
      <c r="E19" s="2">
        <v>4.5266951640448139E-2</v>
      </c>
      <c r="F19" s="2"/>
      <c r="G19" s="2"/>
      <c r="H19" s="2"/>
      <c r="I19" s="2">
        <v>0.21649990235287897</v>
      </c>
      <c r="J19" s="2">
        <v>0.10910787583138037</v>
      </c>
      <c r="K19" s="2"/>
      <c r="L19" s="2"/>
      <c r="N19" s="2">
        <v>6.6881073922728768E-2</v>
      </c>
      <c r="S19" s="21">
        <v>2.4428425335753765</v>
      </c>
      <c r="T19" s="23">
        <v>2.620146347220583</v>
      </c>
      <c r="U19" s="23">
        <v>6.304345331315063</v>
      </c>
      <c r="V19" s="23">
        <v>2.4854607704003997</v>
      </c>
    </row>
    <row r="20" spans="1:22" x14ac:dyDescent="0.25">
      <c r="A20" s="19">
        <v>1837</v>
      </c>
      <c r="B20" s="2">
        <v>0.55216412811762794</v>
      </c>
      <c r="C20" s="2">
        <v>0.76132667233355134</v>
      </c>
      <c r="D20" s="2">
        <v>7.1903659518882779E-2</v>
      </c>
      <c r="E20" s="2">
        <v>5.827639622462466E-2</v>
      </c>
      <c r="F20" s="2"/>
      <c r="G20" s="2"/>
      <c r="H20" s="2"/>
      <c r="I20" s="2">
        <v>0.19197175892691443</v>
      </c>
      <c r="J20" s="2">
        <v>9.1774495405061107E-2</v>
      </c>
      <c r="K20" s="2"/>
      <c r="L20" s="2"/>
      <c r="N20" s="2">
        <v>7.6699190696230907E-2</v>
      </c>
      <c r="S20" s="23">
        <v>2.9105641803590898</v>
      </c>
      <c r="T20" s="23">
        <v>2.4870067609586366</v>
      </c>
      <c r="U20" s="23">
        <v>5.9839976034279925</v>
      </c>
      <c r="V20" s="23">
        <v>2.3591650697833577</v>
      </c>
    </row>
    <row r="21" spans="1:22" x14ac:dyDescent="0.25">
      <c r="A21" s="19">
        <v>1838</v>
      </c>
      <c r="B21" s="2">
        <v>0.6203742307535588</v>
      </c>
      <c r="C21" s="2">
        <v>0.76428283278909237</v>
      </c>
      <c r="D21" s="2">
        <v>8.0137252236634815E-2</v>
      </c>
      <c r="E21" s="2">
        <v>6.9242313077780726E-2</v>
      </c>
      <c r="F21" s="2"/>
      <c r="G21" s="2"/>
      <c r="H21" s="2"/>
      <c r="I21" s="2">
        <v>0.14800730166810738</v>
      </c>
      <c r="J21" s="2">
        <v>9.9120086382109673E-2</v>
      </c>
      <c r="K21" s="2"/>
      <c r="L21" s="2"/>
      <c r="N21" s="2">
        <v>8.4851402004140764E-2</v>
      </c>
      <c r="S21" s="21">
        <v>2.7626673610944263</v>
      </c>
      <c r="T21" s="23">
        <v>3.625</v>
      </c>
      <c r="U21" s="23">
        <v>6.5257038999493684</v>
      </c>
      <c r="V21" s="23">
        <v>3.5</v>
      </c>
    </row>
    <row r="22" spans="1:22" x14ac:dyDescent="0.25">
      <c r="A22" s="19">
        <v>1839</v>
      </c>
      <c r="B22" s="2">
        <v>0.53403741351130896</v>
      </c>
      <c r="C22" s="2">
        <v>0.78615274342101715</v>
      </c>
      <c r="D22" s="2">
        <v>6.1194124375070436E-2</v>
      </c>
      <c r="E22" s="2">
        <v>5.0843422317067288E-2</v>
      </c>
      <c r="F22" s="2"/>
      <c r="G22" s="2"/>
      <c r="H22" s="2"/>
      <c r="I22" s="2">
        <v>0.1584398336506011</v>
      </c>
      <c r="J22" s="2">
        <v>0.10835336819233732</v>
      </c>
      <c r="K22" s="2"/>
      <c r="L22" s="2"/>
      <c r="N22" s="2">
        <v>7.1515943815326263E-2</v>
      </c>
      <c r="S22" s="23">
        <v>2.9525161965088986</v>
      </c>
      <c r="T22" s="23">
        <v>4.0909090909090908</v>
      </c>
      <c r="U22" s="23">
        <v>6.2285673294437149</v>
      </c>
      <c r="V22" s="23">
        <v>4.2916666666666661</v>
      </c>
    </row>
    <row r="23" spans="1:22" x14ac:dyDescent="0.25">
      <c r="A23" s="19">
        <v>1840</v>
      </c>
      <c r="B23" s="2">
        <v>0.56356410792244305</v>
      </c>
      <c r="C23" s="2">
        <v>0.79130941584191961</v>
      </c>
      <c r="D23" s="2">
        <v>7.2361763873826868E-2</v>
      </c>
      <c r="E23" s="2">
        <v>5.7829659926012744E-2</v>
      </c>
      <c r="F23" s="2"/>
      <c r="G23" s="2"/>
      <c r="H23" s="2"/>
      <c r="I23" s="2">
        <v>0.15603151723675202</v>
      </c>
      <c r="J23" s="2">
        <v>0.13595543668783427</v>
      </c>
      <c r="K23" s="2"/>
      <c r="L23" s="2"/>
      <c r="N23" s="2">
        <v>8.1942145448762715E-2</v>
      </c>
      <c r="S23" s="23">
        <v>2.2707421988918051</v>
      </c>
      <c r="T23" s="23">
        <v>3.2624817494404108</v>
      </c>
      <c r="U23" s="23">
        <v>5.8521815483420951</v>
      </c>
      <c r="V23" s="23">
        <v>3.2749999999999999</v>
      </c>
    </row>
    <row r="24" spans="1:22" x14ac:dyDescent="0.25">
      <c r="A24" s="19">
        <v>1841</v>
      </c>
      <c r="B24" s="2">
        <v>0.52485672800959149</v>
      </c>
      <c r="C24" s="2">
        <v>0.7532749927300646</v>
      </c>
      <c r="D24" s="2">
        <v>6.0100813361898764E-2</v>
      </c>
      <c r="E24" s="2">
        <v>4.7976076282570945E-2</v>
      </c>
      <c r="F24" s="2"/>
      <c r="G24" s="2"/>
      <c r="H24" s="2"/>
      <c r="I24" s="2">
        <v>0.17627434576939993</v>
      </c>
      <c r="J24" s="2">
        <v>0.1231292360886338</v>
      </c>
      <c r="K24" s="2"/>
      <c r="L24" s="2"/>
      <c r="N24" s="2">
        <v>7.1720608255906829E-2</v>
      </c>
      <c r="S24" s="23">
        <v>2.625</v>
      </c>
      <c r="T24" s="23">
        <v>3.1435960134123229</v>
      </c>
      <c r="U24" s="23">
        <v>6.1155231215028527</v>
      </c>
      <c r="V24" s="23">
        <v>3.5</v>
      </c>
    </row>
    <row r="25" spans="1:22" x14ac:dyDescent="0.25">
      <c r="A25" s="19">
        <v>1842</v>
      </c>
      <c r="B25" s="2">
        <v>0.48690552009752242</v>
      </c>
      <c r="C25" s="2">
        <v>0.74521723834921172</v>
      </c>
      <c r="D25" s="2">
        <v>6.1939054980985953E-2</v>
      </c>
      <c r="E25" s="2">
        <v>4.8697791466108864E-2</v>
      </c>
      <c r="F25" s="2"/>
      <c r="G25" s="2"/>
      <c r="H25" s="2"/>
      <c r="I25" s="2">
        <v>0.18753694802685583</v>
      </c>
      <c r="J25" s="2">
        <v>9.8913845821609114E-2</v>
      </c>
      <c r="K25" s="2"/>
      <c r="L25" s="2"/>
      <c r="N25" s="2">
        <v>9.4724906712192872E-2</v>
      </c>
      <c r="S25" s="21">
        <v>2.291666666666667</v>
      </c>
      <c r="T25" s="23">
        <v>2.8949708977667092</v>
      </c>
      <c r="U25" s="23">
        <v>5.4634247867699512</v>
      </c>
      <c r="V25" s="23">
        <v>3.2272727272727275</v>
      </c>
    </row>
    <row r="26" spans="1:22" x14ac:dyDescent="0.25">
      <c r="A26" s="19">
        <v>1843</v>
      </c>
      <c r="B26" s="2">
        <v>0.46728587576156599</v>
      </c>
      <c r="C26" s="2">
        <v>0.73154088958500041</v>
      </c>
      <c r="D26" s="2">
        <v>6.3919854077712612E-2</v>
      </c>
      <c r="E26" s="2">
        <v>5.0698796569855653E-2</v>
      </c>
      <c r="F26" s="2"/>
      <c r="G26" s="2"/>
      <c r="H26" s="2"/>
      <c r="I26" s="2">
        <v>0.19933115258724421</v>
      </c>
      <c r="J26" s="2">
        <v>0.11619354183322173</v>
      </c>
      <c r="K26" s="2"/>
      <c r="L26" s="2"/>
      <c r="N26" s="2">
        <v>9.8773029509839586E-2</v>
      </c>
      <c r="S26" s="21">
        <v>2.375</v>
      </c>
      <c r="T26" s="23">
        <v>2.4166666666666665</v>
      </c>
      <c r="U26" s="23">
        <v>4.4384095253409939</v>
      </c>
      <c r="V26" s="23">
        <v>3.0632827439958961</v>
      </c>
    </row>
    <row r="27" spans="1:22" x14ac:dyDescent="0.25">
      <c r="A27" s="19">
        <v>1844</v>
      </c>
      <c r="B27" s="2">
        <v>0.49158228832085082</v>
      </c>
      <c r="C27" s="2">
        <v>0.74006177611345925</v>
      </c>
      <c r="D27" s="2">
        <v>6.3898078060309782E-2</v>
      </c>
      <c r="E27" s="2">
        <v>5.0920796395258483E-2</v>
      </c>
      <c r="F27" s="2"/>
      <c r="G27" s="2"/>
      <c r="H27" s="2"/>
      <c r="I27" s="2">
        <v>0.19050217000084391</v>
      </c>
      <c r="J27" s="2">
        <v>0.1215982048885399</v>
      </c>
      <c r="K27" s="2"/>
      <c r="L27" s="2"/>
      <c r="N27" s="2">
        <v>0.10022892940476219</v>
      </c>
      <c r="S27" s="23">
        <v>1.8958333333333333</v>
      </c>
      <c r="T27" s="23">
        <v>2.3309520869089733</v>
      </c>
      <c r="U27" s="23">
        <v>4.2727687310526168</v>
      </c>
      <c r="V27" s="23">
        <v>2.9546339192728883</v>
      </c>
    </row>
    <row r="28" spans="1:22" x14ac:dyDescent="0.25">
      <c r="A28" s="19">
        <v>1845</v>
      </c>
      <c r="B28" s="2">
        <v>0.44712892776992119</v>
      </c>
      <c r="C28" s="2">
        <v>0.75531189821437916</v>
      </c>
      <c r="D28" s="2">
        <v>6.7448491712901015E-2</v>
      </c>
      <c r="E28" s="2">
        <v>5.131453802095709E-2</v>
      </c>
      <c r="F28" s="2"/>
      <c r="G28" s="2"/>
      <c r="H28" s="2"/>
      <c r="I28" s="2">
        <v>0.20227152923763414</v>
      </c>
      <c r="J28" s="2">
        <v>0.11929075756623941</v>
      </c>
      <c r="K28" s="2"/>
      <c r="L28" s="2"/>
      <c r="N28" s="2">
        <v>0.10172625638957775</v>
      </c>
      <c r="S28" s="23">
        <v>2.1814821351531553</v>
      </c>
      <c r="T28" s="23">
        <v>2.6594060085500253</v>
      </c>
      <c r="U28" s="23">
        <v>6.8893750000000002</v>
      </c>
      <c r="V28" s="23">
        <v>2.9546339192728883</v>
      </c>
    </row>
    <row r="29" spans="1:22" x14ac:dyDescent="0.25">
      <c r="A29" s="19">
        <v>1846</v>
      </c>
      <c r="B29" s="2">
        <v>0.42549497171577022</v>
      </c>
      <c r="C29" s="2">
        <v>0.71204193087749545</v>
      </c>
      <c r="D29" s="2">
        <v>6.8390593946520695E-2</v>
      </c>
      <c r="E29" s="2">
        <v>5.0433638599192698E-2</v>
      </c>
      <c r="F29" s="2"/>
      <c r="G29" s="2"/>
      <c r="H29" s="2"/>
      <c r="I29" s="2">
        <v>0.2307975465602361</v>
      </c>
      <c r="J29" s="2">
        <v>0.13060362094430744</v>
      </c>
      <c r="K29" s="2"/>
      <c r="L29" s="2"/>
      <c r="N29" s="2">
        <v>0.10263195158700165</v>
      </c>
      <c r="S29" s="23">
        <v>2.0534944557238797</v>
      </c>
      <c r="T29" s="23">
        <v>2.1872559737622992</v>
      </c>
      <c r="U29" s="23">
        <v>6.9204483860846384</v>
      </c>
      <c r="V29" s="23">
        <v>2.9546339192728883</v>
      </c>
    </row>
    <row r="30" spans="1:22" x14ac:dyDescent="0.25">
      <c r="A30" s="19">
        <v>1847</v>
      </c>
      <c r="B30" s="2">
        <v>0.45423435451927663</v>
      </c>
      <c r="C30" s="2">
        <v>0.75958877438865602</v>
      </c>
      <c r="D30" s="2">
        <v>6.4384234403086049E-2</v>
      </c>
      <c r="E30" s="2">
        <v>5.3948168946821751E-2</v>
      </c>
      <c r="F30" s="2"/>
      <c r="G30" s="2"/>
      <c r="H30" s="2"/>
      <c r="I30" s="2">
        <v>0.26581441089763247</v>
      </c>
      <c r="J30" s="2">
        <v>0.14446979492763146</v>
      </c>
      <c r="K30" s="2"/>
      <c r="L30" s="2"/>
      <c r="N30" s="2">
        <v>0.10748418189182984</v>
      </c>
      <c r="S30" s="23">
        <v>2.3364923869598613</v>
      </c>
      <c r="T30" s="23">
        <v>2.384763620520661</v>
      </c>
      <c r="U30" s="23">
        <v>4.9738603628435527</v>
      </c>
      <c r="V30" s="23">
        <v>2.958333333333333</v>
      </c>
    </row>
    <row r="31" spans="1:22" x14ac:dyDescent="0.25">
      <c r="A31" s="19">
        <v>1848</v>
      </c>
      <c r="B31" s="2">
        <v>0.40279220660604176</v>
      </c>
      <c r="C31" s="2">
        <v>0.73850293014678603</v>
      </c>
      <c r="D31" s="2">
        <v>6.5858880214316295E-2</v>
      </c>
      <c r="E31" s="2">
        <v>5.276059009772005E-2</v>
      </c>
      <c r="F31" s="2"/>
      <c r="G31" s="2"/>
      <c r="H31" s="2"/>
      <c r="I31" s="2">
        <v>0.14695474120180907</v>
      </c>
      <c r="J31" s="2">
        <v>0.10226207030562318</v>
      </c>
      <c r="K31" s="2"/>
      <c r="L31" s="2"/>
      <c r="N31" s="2">
        <v>9.6021144397331587E-2</v>
      </c>
      <c r="S31" s="23">
        <v>3.4397813692888906</v>
      </c>
      <c r="T31" s="23">
        <v>3.1039341657494228</v>
      </c>
      <c r="U31" s="23">
        <v>5.8789349597740594</v>
      </c>
      <c r="V31" s="23">
        <v>4.28125</v>
      </c>
    </row>
    <row r="32" spans="1:22" x14ac:dyDescent="0.25">
      <c r="A32" s="19">
        <v>1849</v>
      </c>
      <c r="B32" s="2">
        <v>0.41410380097099564</v>
      </c>
      <c r="C32" s="2">
        <v>0.74242419469496745</v>
      </c>
      <c r="D32" s="2">
        <v>6.8175095471691871E-2</v>
      </c>
      <c r="E32" s="2">
        <v>5.3796965101016947E-2</v>
      </c>
      <c r="F32" s="2"/>
      <c r="G32" s="2"/>
      <c r="H32" s="2"/>
      <c r="I32" s="2">
        <v>0.13076883720015076</v>
      </c>
      <c r="J32" s="2">
        <v>9.9791289406721995E-2</v>
      </c>
      <c r="K32" s="2"/>
      <c r="L32" s="2"/>
      <c r="N32" s="2">
        <v>9.6689950523899157E-2</v>
      </c>
      <c r="S32" s="23">
        <v>2.4768295716894544</v>
      </c>
      <c r="T32" s="23">
        <v>2.9059695788169759</v>
      </c>
      <c r="U32" s="23">
        <v>5.6445294870725276</v>
      </c>
      <c r="V32" s="23">
        <v>2.75</v>
      </c>
    </row>
    <row r="33" spans="1:22" x14ac:dyDescent="0.25">
      <c r="A33" s="19">
        <v>1850</v>
      </c>
      <c r="B33" s="2">
        <v>0.39830718551874522</v>
      </c>
      <c r="C33" s="2">
        <v>0.74723484444631016</v>
      </c>
      <c r="D33" s="2">
        <v>5.3397106878017575E-2</v>
      </c>
      <c r="E33" s="2">
        <v>4.3250062532542155E-2</v>
      </c>
      <c r="F33" s="2"/>
      <c r="G33" s="2"/>
      <c r="H33" s="2"/>
      <c r="I33" s="2">
        <v>0.1320084496234033</v>
      </c>
      <c r="J33" s="2">
        <v>0.10521153088129565</v>
      </c>
      <c r="K33" s="2"/>
      <c r="L33" s="2"/>
      <c r="N33" s="2">
        <v>0.1082363323161597</v>
      </c>
      <c r="S33" s="23">
        <v>1.875924371233652</v>
      </c>
      <c r="T33" s="23">
        <v>1.9259164122873962</v>
      </c>
      <c r="U33" s="23">
        <v>5.0821840337369695</v>
      </c>
      <c r="V33" s="23">
        <v>2.75</v>
      </c>
    </row>
    <row r="34" spans="1:22" x14ac:dyDescent="0.25">
      <c r="A34" s="16">
        <v>1851</v>
      </c>
      <c r="B34" s="2">
        <v>0.40752150157751632</v>
      </c>
      <c r="C34" s="2">
        <v>0.73917748777970615</v>
      </c>
      <c r="D34" s="2">
        <v>5.4699088028273946E-2</v>
      </c>
      <c r="E34" s="2">
        <v>4.3609220627055079E-2</v>
      </c>
      <c r="F34" s="2"/>
      <c r="G34" s="2"/>
      <c r="H34" s="2"/>
      <c r="I34" s="2">
        <v>0.17828255205186649</v>
      </c>
      <c r="J34" s="2">
        <v>0.10326663517625434</v>
      </c>
      <c r="K34" s="2"/>
      <c r="L34" s="2"/>
      <c r="N34" s="2">
        <v>0.1085443411912098</v>
      </c>
      <c r="S34" s="24">
        <v>1.8276737112740062</v>
      </c>
      <c r="T34" s="23">
        <v>1.6648236035371498</v>
      </c>
      <c r="U34" s="23">
        <v>5.483105181303273</v>
      </c>
      <c r="V34" s="23">
        <v>2.75</v>
      </c>
    </row>
    <row r="35" spans="1:22" x14ac:dyDescent="0.25">
      <c r="A35" s="16">
        <v>1852</v>
      </c>
      <c r="B35" s="2">
        <v>0.36877215699545829</v>
      </c>
      <c r="C35" s="2">
        <v>0.72694727183086416</v>
      </c>
      <c r="D35" s="2">
        <v>5.3569735764742554E-2</v>
      </c>
      <c r="E35" s="2">
        <v>4.4129974039775033E-2</v>
      </c>
      <c r="F35" s="2"/>
      <c r="G35" s="2"/>
      <c r="H35" s="2"/>
      <c r="I35" s="2">
        <v>0.1415254483835886</v>
      </c>
      <c r="J35" s="2">
        <v>0.1173103712125998</v>
      </c>
      <c r="K35" s="2"/>
      <c r="L35" s="2"/>
      <c r="N35" s="2">
        <v>0.10737489742514535</v>
      </c>
      <c r="S35" s="24">
        <v>2.532</v>
      </c>
      <c r="T35" s="23">
        <v>2.2655000000000003</v>
      </c>
      <c r="U35" s="23">
        <v>3.3068999999999997</v>
      </c>
      <c r="V35" s="23">
        <v>2.2655000000000003</v>
      </c>
    </row>
    <row r="36" spans="1:22" x14ac:dyDescent="0.25">
      <c r="A36" s="16">
        <v>1853</v>
      </c>
      <c r="B36" s="2">
        <v>0.43045658439843137</v>
      </c>
      <c r="C36" s="2">
        <v>0.75255961944181338</v>
      </c>
      <c r="D36" s="2">
        <v>5.4125176714871492E-2</v>
      </c>
      <c r="E36" s="2">
        <v>4.3866802975321084E-2</v>
      </c>
      <c r="F36" s="2"/>
      <c r="G36" s="2"/>
      <c r="H36" s="2"/>
      <c r="I36" s="2">
        <v>0.13263170344937336</v>
      </c>
      <c r="J36" s="2">
        <v>0.12903251378818026</v>
      </c>
      <c r="K36" s="2"/>
      <c r="L36" s="2"/>
      <c r="N36" s="2">
        <v>0.11139371047884819</v>
      </c>
      <c r="S36" s="24">
        <v>1.8039999999999998</v>
      </c>
      <c r="T36" s="23">
        <v>2.109</v>
      </c>
      <c r="U36" s="23">
        <v>3.3068999999999997</v>
      </c>
      <c r="V36" s="23">
        <v>2.109</v>
      </c>
    </row>
    <row r="37" spans="1:22" x14ac:dyDescent="0.25">
      <c r="A37" s="16">
        <v>1854</v>
      </c>
      <c r="B37" s="2">
        <v>0.441243084818015</v>
      </c>
      <c r="C37" s="2">
        <v>0.74936398169566165</v>
      </c>
      <c r="D37" s="2">
        <v>5.6898058004327567E-2</v>
      </c>
      <c r="E37" s="2">
        <v>4.6591487912261753E-2</v>
      </c>
      <c r="F37" s="2"/>
      <c r="G37" s="2"/>
      <c r="H37" s="2"/>
      <c r="I37" s="2"/>
      <c r="J37" s="2">
        <v>0.10965385067442401</v>
      </c>
      <c r="K37" s="2"/>
      <c r="L37" s="2"/>
      <c r="N37" s="2">
        <v>0.11042761560365594</v>
      </c>
      <c r="S37" s="24">
        <v>3.0804999999999998</v>
      </c>
      <c r="T37" s="23">
        <v>2.5345</v>
      </c>
      <c r="U37" s="23">
        <v>3.3068999999999997</v>
      </c>
      <c r="V37" s="23">
        <v>2.5345</v>
      </c>
    </row>
    <row r="38" spans="1:22" x14ac:dyDescent="0.25">
      <c r="A38" s="16">
        <v>1855</v>
      </c>
      <c r="B38" s="2">
        <v>0.42152146389952916</v>
      </c>
      <c r="C38" s="2">
        <v>0.74786195300084968</v>
      </c>
      <c r="D38" s="2">
        <v>5.7047941124554913E-2</v>
      </c>
      <c r="E38" s="2">
        <v>4.6542048606024289E-2</v>
      </c>
      <c r="F38" s="2"/>
      <c r="G38" s="2"/>
      <c r="H38" s="2"/>
      <c r="I38" s="2">
        <v>0.14884749088061155</v>
      </c>
      <c r="J38" s="2">
        <v>9.452011592914189E-2</v>
      </c>
      <c r="K38" s="2">
        <v>0.14020205842336808</v>
      </c>
      <c r="L38" s="2"/>
      <c r="N38" s="2">
        <v>0.11292870401198631</v>
      </c>
      <c r="S38" s="24">
        <v>3.3289999999999997</v>
      </c>
      <c r="T38" s="23">
        <v>2.5309999999999997</v>
      </c>
      <c r="U38" s="23">
        <v>3.3068999999999997</v>
      </c>
      <c r="V38" s="23">
        <v>2.5309999999999997</v>
      </c>
    </row>
    <row r="39" spans="1:22" x14ac:dyDescent="0.25">
      <c r="A39" s="16">
        <v>1856</v>
      </c>
      <c r="B39" s="2">
        <v>0.39615344844228928</v>
      </c>
      <c r="C39" s="2">
        <v>0.72644388287622885</v>
      </c>
      <c r="D39" s="2">
        <v>5.6749370146724321E-2</v>
      </c>
      <c r="E39" s="2">
        <v>4.6641109049725626E-2</v>
      </c>
      <c r="F39" s="2"/>
      <c r="G39" s="2"/>
      <c r="H39" s="2"/>
      <c r="I39" s="2">
        <v>0.12711590378715953</v>
      </c>
      <c r="J39" s="2">
        <v>8.51922986919742E-2</v>
      </c>
      <c r="K39" s="2">
        <v>0.1269291915555536</v>
      </c>
      <c r="L39" s="2"/>
      <c r="N39" s="2">
        <v>0.1095377257040291</v>
      </c>
      <c r="S39" s="24">
        <v>2.8690000000000002</v>
      </c>
      <c r="T39" s="23">
        <v>2.2035</v>
      </c>
      <c r="U39" s="23">
        <v>3.3068999999999997</v>
      </c>
      <c r="V39" s="23">
        <v>2.2035</v>
      </c>
    </row>
    <row r="40" spans="1:22" x14ac:dyDescent="0.25">
      <c r="A40" s="16">
        <v>1857</v>
      </c>
      <c r="B40" s="2">
        <v>0.35219815530340548</v>
      </c>
      <c r="C40" s="2">
        <v>0.68642769648370439</v>
      </c>
      <c r="D40" s="2">
        <v>5.3867395350946756E-2</v>
      </c>
      <c r="E40" s="2">
        <v>4.2676551827097287E-2</v>
      </c>
      <c r="F40" s="2"/>
      <c r="G40" s="2"/>
      <c r="H40" s="2"/>
      <c r="I40" s="2">
        <v>0.13090706803604457</v>
      </c>
      <c r="J40" s="2">
        <v>8.9248502557019105E-2</v>
      </c>
      <c r="K40" s="2">
        <v>0.11291907956444081</v>
      </c>
      <c r="L40" s="2"/>
      <c r="N40" s="2">
        <v>0.10335050780058731</v>
      </c>
      <c r="S40" s="24">
        <v>2.6579999999999999</v>
      </c>
      <c r="T40" s="23">
        <v>2.5714999999999999</v>
      </c>
      <c r="U40" s="23">
        <v>3.3068999999999997</v>
      </c>
      <c r="V40" s="23">
        <v>2.5714999999999999</v>
      </c>
    </row>
    <row r="41" spans="1:22" x14ac:dyDescent="0.25">
      <c r="A41" s="16">
        <v>1858</v>
      </c>
      <c r="B41" s="2">
        <v>0.32124309077399971</v>
      </c>
      <c r="C41" s="2">
        <v>0.66350173446950356</v>
      </c>
      <c r="D41" s="2">
        <v>5.388246919662254E-2</v>
      </c>
      <c r="E41" s="2">
        <v>4.4949822733515998E-2</v>
      </c>
      <c r="F41" s="2"/>
      <c r="G41" s="2"/>
      <c r="H41" s="2"/>
      <c r="I41" s="2">
        <v>9.8947547094282773E-2</v>
      </c>
      <c r="J41" s="2">
        <v>8.6050008471593387E-2</v>
      </c>
      <c r="K41" s="2">
        <v>0.10871698320611101</v>
      </c>
      <c r="L41" s="2"/>
      <c r="N41" s="2">
        <v>0.10107591359618702</v>
      </c>
      <c r="S41" s="24">
        <v>2.125</v>
      </c>
      <c r="T41" s="23">
        <v>2.4359999999999999</v>
      </c>
      <c r="U41" s="23">
        <v>3.3068999999999997</v>
      </c>
      <c r="V41" s="23">
        <v>2.4359999999999999</v>
      </c>
    </row>
    <row r="42" spans="1:22" x14ac:dyDescent="0.25">
      <c r="A42" s="16">
        <v>1859</v>
      </c>
      <c r="B42" s="2">
        <v>0.34304155506168876</v>
      </c>
      <c r="C42" s="2">
        <v>0.6926726500782866</v>
      </c>
      <c r="D42" s="2">
        <v>5.3158520363052575E-2</v>
      </c>
      <c r="E42" s="2">
        <v>4.3686779242570917E-2</v>
      </c>
      <c r="F42" s="2"/>
      <c r="G42" s="2"/>
      <c r="H42" s="2"/>
      <c r="I42" s="2">
        <v>0.11753991636645023</v>
      </c>
      <c r="J42" s="2">
        <v>8.9425208340693452E-2</v>
      </c>
      <c r="K42" s="2">
        <v>0.12463331720395798</v>
      </c>
      <c r="L42" s="2"/>
      <c r="N42" s="2">
        <v>0.10392953890769702</v>
      </c>
      <c r="S42" s="24">
        <v>2.25</v>
      </c>
      <c r="T42" s="23">
        <v>2.3519999999999999</v>
      </c>
      <c r="U42" s="23">
        <v>2.97621</v>
      </c>
      <c r="V42" s="23">
        <v>2.3519999999999999</v>
      </c>
    </row>
    <row r="43" spans="1:22" x14ac:dyDescent="0.25">
      <c r="A43" s="16">
        <v>1860</v>
      </c>
      <c r="B43" s="2">
        <v>0.35826841958228284</v>
      </c>
      <c r="C43" s="2">
        <v>0.70416794483905931</v>
      </c>
      <c r="D43" s="2">
        <v>4.9538348307450297E-2</v>
      </c>
      <c r="E43" s="2">
        <v>4.1839537195992427E-2</v>
      </c>
      <c r="F43" s="2"/>
      <c r="G43" s="2"/>
      <c r="H43" s="2"/>
      <c r="I43" s="2">
        <v>0.13121848671345326</v>
      </c>
      <c r="J43" s="2">
        <v>0.10097305263538126</v>
      </c>
      <c r="K43" s="2">
        <v>0.13251668845399511</v>
      </c>
      <c r="L43" s="2"/>
      <c r="N43" s="2">
        <v>0.10451343554368475</v>
      </c>
      <c r="S43" s="24">
        <v>1.7149999999999999</v>
      </c>
      <c r="T43" s="23">
        <v>1.9570000000000001</v>
      </c>
      <c r="U43" s="23">
        <v>3.5053139999999994</v>
      </c>
      <c r="V43" s="23">
        <v>1.9570000000000001</v>
      </c>
    </row>
    <row r="44" spans="1:22" x14ac:dyDescent="0.25">
      <c r="A44" s="16">
        <v>1861</v>
      </c>
      <c r="B44" s="2">
        <v>0.34586643546770901</v>
      </c>
      <c r="C44" s="2">
        <v>0.70875486139566135</v>
      </c>
      <c r="D44" s="2">
        <v>5.4121621972974654E-2</v>
      </c>
      <c r="E44" s="2">
        <v>4.6557892679723101E-2</v>
      </c>
      <c r="F44" s="2"/>
      <c r="G44" s="2"/>
      <c r="H44" s="2"/>
      <c r="I44" s="2">
        <v>0.18541712185245962</v>
      </c>
      <c r="J44" s="2">
        <v>0.10463629346159342</v>
      </c>
      <c r="K44" s="2">
        <v>0.13087360303167395</v>
      </c>
      <c r="L44" s="2"/>
      <c r="N44" s="2">
        <v>0.10840981266795656</v>
      </c>
      <c r="S44" s="24">
        <v>1.6649999999999998</v>
      </c>
      <c r="T44" s="23">
        <v>1.9929999999999999</v>
      </c>
      <c r="U44" s="23">
        <v>3.5053139999999994</v>
      </c>
      <c r="V44" s="23">
        <v>1.9929999999999999</v>
      </c>
    </row>
    <row r="45" spans="1:22" x14ac:dyDescent="0.25">
      <c r="A45" s="16">
        <v>1862</v>
      </c>
      <c r="B45" s="2">
        <v>0.32020346089782226</v>
      </c>
      <c r="C45" s="2">
        <v>0.68251032419780688</v>
      </c>
      <c r="D45" s="2">
        <v>4.8835941272227568E-2</v>
      </c>
      <c r="E45" s="2">
        <v>4.4032320378723511E-2</v>
      </c>
      <c r="F45" s="2"/>
      <c r="G45" s="2"/>
      <c r="H45" s="2"/>
      <c r="I45" s="2">
        <v>0.11595311035054079</v>
      </c>
      <c r="J45" s="2">
        <v>0.10382856299909005</v>
      </c>
      <c r="K45" s="2">
        <v>0.12487904833282637</v>
      </c>
      <c r="L45" s="2"/>
      <c r="N45" s="2">
        <v>0.10250382396857248</v>
      </c>
      <c r="S45" s="24">
        <v>2.085</v>
      </c>
      <c r="T45" s="23">
        <v>2.125</v>
      </c>
      <c r="U45" s="23">
        <v>3.5053139999999994</v>
      </c>
      <c r="V45" s="23">
        <v>2.125</v>
      </c>
    </row>
    <row r="46" spans="1:22" x14ac:dyDescent="0.25">
      <c r="A46" s="16">
        <v>1863</v>
      </c>
      <c r="B46" s="2">
        <v>0.31930479421852664</v>
      </c>
      <c r="C46" s="2">
        <v>0.69276295047538672</v>
      </c>
      <c r="D46" s="2">
        <v>4.0993501893828332E-2</v>
      </c>
      <c r="E46" s="2">
        <v>3.8964015108370553E-2</v>
      </c>
      <c r="F46" s="2"/>
      <c r="G46" s="2"/>
      <c r="H46" s="2"/>
      <c r="I46" s="2">
        <v>0.1476179018259115</v>
      </c>
      <c r="J46" s="2">
        <v>8.6938974339145769E-2</v>
      </c>
      <c r="K46" s="2">
        <v>0.12093896348631161</v>
      </c>
      <c r="L46" s="2"/>
      <c r="N46" s="2">
        <v>9.8203796867786228E-2</v>
      </c>
      <c r="S46" s="24">
        <v>2.5</v>
      </c>
      <c r="T46" s="23">
        <v>2.4437500000000001</v>
      </c>
      <c r="U46" s="23">
        <v>3.5053139999999994</v>
      </c>
      <c r="V46" s="23">
        <v>2.4437500000000001</v>
      </c>
    </row>
    <row r="47" spans="1:22" x14ac:dyDescent="0.25">
      <c r="A47" s="16">
        <v>1864</v>
      </c>
      <c r="B47" s="2">
        <v>0.33441135224499019</v>
      </c>
      <c r="C47" s="2">
        <v>0.69336389299860346</v>
      </c>
      <c r="D47" s="2">
        <v>3.817098420315379E-2</v>
      </c>
      <c r="E47" s="2">
        <v>3.6790954178425483E-2</v>
      </c>
      <c r="F47" s="2"/>
      <c r="G47" s="2"/>
      <c r="H47" s="2"/>
      <c r="I47" s="2">
        <v>0.11025045150112178</v>
      </c>
      <c r="J47" s="2">
        <v>8.2487611066130562E-2</v>
      </c>
      <c r="K47" s="2">
        <v>0.11795358189250416</v>
      </c>
      <c r="L47" s="2"/>
      <c r="N47" s="2">
        <v>9.6182450261374883E-2</v>
      </c>
      <c r="S47" s="24">
        <v>1.75</v>
      </c>
      <c r="T47" s="23">
        <v>2.4649999999999999</v>
      </c>
      <c r="U47" s="23">
        <v>3.5053139999999994</v>
      </c>
      <c r="V47" s="23">
        <v>2.4649999999999999</v>
      </c>
    </row>
    <row r="48" spans="1:22" x14ac:dyDescent="0.25">
      <c r="A48" s="16">
        <v>1865</v>
      </c>
      <c r="B48" s="2">
        <v>0.30340587701180044</v>
      </c>
      <c r="C48" s="2">
        <v>0.68600960557551782</v>
      </c>
      <c r="D48" s="2">
        <v>3.9788699902288838E-2</v>
      </c>
      <c r="E48" s="2">
        <v>3.771962942754159E-2</v>
      </c>
      <c r="F48" s="2"/>
      <c r="G48" s="2"/>
      <c r="H48" s="2"/>
      <c r="I48" s="2"/>
      <c r="J48" s="2">
        <v>6.1016596235560883E-2</v>
      </c>
      <c r="K48" s="2">
        <v>0.12259471752599371</v>
      </c>
      <c r="L48" s="2"/>
      <c r="N48" s="2">
        <v>9.335452011157884E-2</v>
      </c>
      <c r="S48" s="24">
        <v>2.5350000000000001</v>
      </c>
      <c r="T48" s="23">
        <v>2.4649999999999999</v>
      </c>
      <c r="U48" s="23">
        <v>3.5053139999999994</v>
      </c>
      <c r="V48" s="23">
        <v>2.4649999999999999</v>
      </c>
    </row>
    <row r="49" spans="1:22" x14ac:dyDescent="0.25">
      <c r="A49" s="16">
        <v>1866</v>
      </c>
      <c r="B49" s="2">
        <v>0.29538783545014569</v>
      </c>
      <c r="C49" s="2">
        <v>0.65918460728977069</v>
      </c>
      <c r="D49" s="2">
        <v>3.9965069639417039E-2</v>
      </c>
      <c r="E49" s="2">
        <v>3.7398002889737492E-2</v>
      </c>
      <c r="F49" s="2"/>
      <c r="G49" s="2"/>
      <c r="H49" s="2"/>
      <c r="I49" s="2">
        <v>6.4243193369306062E-2</v>
      </c>
      <c r="J49" s="2">
        <v>6.4086420221345031E-2</v>
      </c>
      <c r="K49" s="2">
        <v>0.11682116702575185</v>
      </c>
      <c r="L49" s="2"/>
      <c r="N49" s="2">
        <v>9.1669822126812905E-2</v>
      </c>
      <c r="S49" s="24">
        <v>2.6749999999999998</v>
      </c>
      <c r="T49" s="23">
        <v>2.4649999999999999</v>
      </c>
      <c r="U49" s="23">
        <v>3.5053139999999994</v>
      </c>
      <c r="V49" s="23">
        <v>2.4649999999999999</v>
      </c>
    </row>
    <row r="50" spans="1:22" x14ac:dyDescent="0.25">
      <c r="A50" s="16">
        <v>1867</v>
      </c>
      <c r="B50" s="2">
        <v>0.31544251390141465</v>
      </c>
      <c r="C50" s="2">
        <v>0.65674709822058619</v>
      </c>
      <c r="D50" s="2">
        <v>4.4910258334291631E-2</v>
      </c>
      <c r="E50" s="2">
        <v>4.0659669080216676E-2</v>
      </c>
      <c r="F50" s="2"/>
      <c r="G50" s="2"/>
      <c r="H50" s="2"/>
      <c r="I50" s="2">
        <v>7.4801985996219011E-2</v>
      </c>
      <c r="J50" s="2">
        <v>5.7770440498283837E-2</v>
      </c>
      <c r="K50" s="2">
        <v>0.11958269630127083</v>
      </c>
      <c r="L50" s="2"/>
      <c r="N50" s="2">
        <v>9.4120767596560295E-2</v>
      </c>
      <c r="S50" s="24">
        <v>2.25</v>
      </c>
      <c r="T50" s="23">
        <v>2.4649999999999999</v>
      </c>
      <c r="U50" s="23">
        <v>3.5053139999999994</v>
      </c>
      <c r="V50" s="23">
        <v>2.4649999999999999</v>
      </c>
    </row>
    <row r="51" spans="1:22" x14ac:dyDescent="0.25">
      <c r="A51" s="16">
        <v>1868</v>
      </c>
      <c r="B51" s="2">
        <v>0.2938074779504265</v>
      </c>
      <c r="C51" s="2">
        <v>0.65438627593506649</v>
      </c>
      <c r="D51" s="2">
        <v>4.8344770871567744E-2</v>
      </c>
      <c r="E51" s="2">
        <v>4.2653960462036733E-2</v>
      </c>
      <c r="F51" s="2"/>
      <c r="G51" s="2"/>
      <c r="H51" s="2"/>
      <c r="I51" s="2">
        <v>7.0726753383206997E-2</v>
      </c>
      <c r="J51" s="2">
        <v>6.1261431959734214E-2</v>
      </c>
      <c r="K51" s="2">
        <v>0.12214571931628448</v>
      </c>
      <c r="L51" s="2"/>
      <c r="N51" s="2">
        <v>9.5553666245622518E-2</v>
      </c>
      <c r="S51" s="24">
        <v>2.1100000000000003</v>
      </c>
      <c r="T51" s="23">
        <v>2.4649999999999999</v>
      </c>
      <c r="U51" s="23">
        <v>3.5053139999999994</v>
      </c>
      <c r="V51" s="23">
        <v>2.4649999999999999</v>
      </c>
    </row>
    <row r="52" spans="1:22" x14ac:dyDescent="0.25">
      <c r="A52" s="16">
        <v>1869</v>
      </c>
      <c r="B52" s="2">
        <v>0.30005392678247023</v>
      </c>
      <c r="C52" s="2">
        <v>0.66350253319279651</v>
      </c>
      <c r="D52" s="2">
        <v>4.7889019399808386E-2</v>
      </c>
      <c r="E52" s="2">
        <v>4.2293242157550481E-2</v>
      </c>
      <c r="F52" s="2"/>
      <c r="G52" s="2"/>
      <c r="H52" s="2"/>
      <c r="I52" s="2">
        <v>8.4295161368883154E-2</v>
      </c>
      <c r="J52" s="2">
        <v>7.0372569130803919E-2</v>
      </c>
      <c r="K52" s="2">
        <v>0.12495768817231556</v>
      </c>
      <c r="L52" s="2"/>
      <c r="N52" s="2">
        <v>9.6993791256939826E-2</v>
      </c>
      <c r="S52" s="24">
        <v>2.06</v>
      </c>
      <c r="T52" s="23">
        <v>2.4649999999999999</v>
      </c>
      <c r="U52" s="23">
        <v>3.5053139999999994</v>
      </c>
      <c r="V52" s="23">
        <v>2.4649999999999999</v>
      </c>
    </row>
    <row r="53" spans="1:22" x14ac:dyDescent="0.25">
      <c r="A53" s="16">
        <v>1870</v>
      </c>
      <c r="B53" s="2">
        <v>0.29437410065540426</v>
      </c>
      <c r="C53" s="2">
        <v>0.67530232379670152</v>
      </c>
      <c r="D53" s="2">
        <v>4.860923256551819E-2</v>
      </c>
      <c r="E53" s="2">
        <v>4.2361423582482849E-2</v>
      </c>
      <c r="F53" s="2"/>
      <c r="G53" s="2"/>
      <c r="H53" s="2"/>
      <c r="I53" s="2">
        <v>8.9743569151717439E-2</v>
      </c>
      <c r="J53" s="2">
        <v>8.3191652246336734E-2</v>
      </c>
      <c r="K53" s="2">
        <v>0.12044457813143494</v>
      </c>
      <c r="L53" s="2"/>
      <c r="N53" s="2">
        <v>9.9017801872481367E-2</v>
      </c>
      <c r="S53" s="24">
        <v>2.0149999999999997</v>
      </c>
      <c r="T53" s="23">
        <v>2.3887499999999999</v>
      </c>
      <c r="U53" s="23">
        <v>3.8468064978553964</v>
      </c>
      <c r="V53" s="23">
        <v>2.3887499999999999</v>
      </c>
    </row>
    <row r="54" spans="1:22" x14ac:dyDescent="0.25">
      <c r="A54" s="16">
        <v>1871</v>
      </c>
      <c r="B54" s="2">
        <v>0.30648587321374376</v>
      </c>
      <c r="C54" s="2">
        <v>0.66518348123866611</v>
      </c>
      <c r="D54" s="2">
        <v>2.0110728070154349E-2</v>
      </c>
      <c r="E54" s="2">
        <v>4.4762080671443383E-2</v>
      </c>
      <c r="F54" s="2"/>
      <c r="G54" s="2"/>
      <c r="H54" s="2"/>
      <c r="I54" s="2">
        <v>0.10721441473020998</v>
      </c>
      <c r="J54" s="2">
        <v>0.10188710661214251</v>
      </c>
      <c r="K54" s="2">
        <v>0.12138762335499698</v>
      </c>
      <c r="L54" s="2">
        <v>0.84816495340375764</v>
      </c>
      <c r="N54" s="2">
        <v>9.1807694672079193E-2</v>
      </c>
      <c r="S54" s="24">
        <v>1.69</v>
      </c>
      <c r="T54" s="23">
        <v>2.3125</v>
      </c>
      <c r="U54" s="23">
        <v>3.6044707877180819</v>
      </c>
      <c r="V54" s="23">
        <v>2.3125</v>
      </c>
    </row>
    <row r="55" spans="1:22" x14ac:dyDescent="0.25">
      <c r="A55" s="16">
        <v>1872</v>
      </c>
      <c r="B55" s="2">
        <v>0.30842412089813487</v>
      </c>
      <c r="C55" s="2">
        <v>0.5665544279967184</v>
      </c>
      <c r="D55" s="2">
        <v>2.0079063258653274E-2</v>
      </c>
      <c r="E55" s="2">
        <v>4.1942852283085807E-2</v>
      </c>
      <c r="F55" s="2"/>
      <c r="G55" s="2"/>
      <c r="H55" s="2"/>
      <c r="I55" s="2">
        <v>0.10931297318843713</v>
      </c>
      <c r="J55" s="2">
        <v>9.0946835730662534E-2</v>
      </c>
      <c r="K55" s="2">
        <v>9.7184450158392499E-2</v>
      </c>
      <c r="L55" s="2">
        <v>0.85362835161854345</v>
      </c>
      <c r="N55" s="2">
        <v>0.10032883009565777</v>
      </c>
      <c r="S55" s="24">
        <v>2.09</v>
      </c>
      <c r="T55" s="23">
        <v>2.1875</v>
      </c>
      <c r="U55" s="23">
        <v>3.8817377713887034</v>
      </c>
      <c r="V55" s="23">
        <v>2.1875</v>
      </c>
    </row>
    <row r="56" spans="1:22" x14ac:dyDescent="0.25">
      <c r="A56" s="16">
        <v>1873</v>
      </c>
      <c r="B56" s="2">
        <v>0.33744693330346598</v>
      </c>
      <c r="C56" s="2">
        <v>0.58664849968917432</v>
      </c>
      <c r="D56" s="2">
        <v>2.0115292198559898E-2</v>
      </c>
      <c r="E56" s="2">
        <v>4.4236033227063598E-2</v>
      </c>
      <c r="F56" s="2"/>
      <c r="G56" s="2"/>
      <c r="H56" s="2"/>
      <c r="I56" s="2">
        <v>0.15274878424388771</v>
      </c>
      <c r="J56" s="2">
        <v>0.10427354871965699</v>
      </c>
      <c r="K56" s="2">
        <v>0.11111160782622553</v>
      </c>
      <c r="L56" s="2">
        <v>0.85935666670424637</v>
      </c>
      <c r="N56" s="2">
        <v>0.10788408158304218</v>
      </c>
      <c r="S56" s="24">
        <v>2.19</v>
      </c>
      <c r="T56" s="23">
        <v>2.1875</v>
      </c>
      <c r="U56" s="23">
        <v>9.7370924974092308</v>
      </c>
      <c r="V56" s="23">
        <v>2.1875</v>
      </c>
    </row>
    <row r="57" spans="1:22" x14ac:dyDescent="0.25">
      <c r="A57" s="16">
        <v>1874</v>
      </c>
      <c r="B57" s="2">
        <v>0.27897044062692133</v>
      </c>
      <c r="C57" s="2">
        <v>0.57590390867654873</v>
      </c>
      <c r="D57" s="2">
        <v>2.0879753795101874E-2</v>
      </c>
      <c r="E57" s="2">
        <v>8.1194697844311658E-2</v>
      </c>
      <c r="F57" s="2"/>
      <c r="G57" s="2"/>
      <c r="H57" s="2"/>
      <c r="I57" s="2">
        <v>0.13514721955293041</v>
      </c>
      <c r="J57" s="2">
        <v>9.8744632182492409E-2</v>
      </c>
      <c r="K57" s="2">
        <v>0.10158780928198086</v>
      </c>
      <c r="L57" s="2">
        <v>0.87042349552089815</v>
      </c>
      <c r="N57" s="2">
        <v>0.10879295025432542</v>
      </c>
      <c r="S57" s="24">
        <v>2.3250000000000002</v>
      </c>
      <c r="T57" s="23">
        <v>2.4279999999999999</v>
      </c>
      <c r="U57" s="23">
        <v>4.4930350582215697</v>
      </c>
      <c r="V57" s="23">
        <v>2.4279999999999999</v>
      </c>
    </row>
    <row r="58" spans="1:22" x14ac:dyDescent="0.25">
      <c r="A58" s="16">
        <v>1875</v>
      </c>
      <c r="B58" s="2">
        <v>0.25878966188283392</v>
      </c>
      <c r="C58" s="2">
        <v>0.59191191741842331</v>
      </c>
      <c r="D58" s="2">
        <v>2.0195157563678956E-2</v>
      </c>
      <c r="E58" s="2">
        <v>4.9102082279488979E-2</v>
      </c>
      <c r="F58" s="2"/>
      <c r="G58" s="2"/>
      <c r="H58" s="2"/>
      <c r="I58" s="2">
        <v>0.11500269258443208</v>
      </c>
      <c r="J58" s="2">
        <v>0.11092365219521405</v>
      </c>
      <c r="K58" s="2">
        <v>0.10202678995242287</v>
      </c>
      <c r="L58" s="2">
        <v>0.875618030994602</v>
      </c>
      <c r="N58" s="2">
        <v>0.10541231326958082</v>
      </c>
      <c r="S58" s="24">
        <v>2.19</v>
      </c>
      <c r="T58" s="23">
        <v>2.0113636363636362</v>
      </c>
      <c r="U58" s="23">
        <v>4.0542109344594044</v>
      </c>
      <c r="V58" s="23">
        <v>2.0113636363636362</v>
      </c>
    </row>
    <row r="59" spans="1:22" x14ac:dyDescent="0.25">
      <c r="A59" s="16">
        <v>1876</v>
      </c>
      <c r="B59" s="2">
        <v>0.26330184629365394</v>
      </c>
      <c r="C59" s="2">
        <v>0.62824931140698581</v>
      </c>
      <c r="D59" s="2">
        <v>2.0137826959344296E-2</v>
      </c>
      <c r="E59" s="2">
        <v>4.8297320100007868E-2</v>
      </c>
      <c r="F59" s="2"/>
      <c r="G59" s="2"/>
      <c r="H59" s="2"/>
      <c r="I59" s="2">
        <v>0.1263535361927457</v>
      </c>
      <c r="J59" s="2">
        <v>0.10392488817167944</v>
      </c>
      <c r="K59" s="2">
        <v>0.10820441061268493</v>
      </c>
      <c r="L59" s="2">
        <v>0.87967662892400855</v>
      </c>
      <c r="N59" s="2">
        <v>0.11047425957938374</v>
      </c>
      <c r="S59" s="24">
        <v>2.2149999999999999</v>
      </c>
      <c r="T59" s="23">
        <v>2.2149999999999999</v>
      </c>
      <c r="U59" s="23">
        <v>4.2616153710634128</v>
      </c>
      <c r="V59" s="23">
        <v>2.2149999999999999</v>
      </c>
    </row>
    <row r="60" spans="1:22" x14ac:dyDescent="0.25">
      <c r="A60" s="16">
        <v>1877</v>
      </c>
      <c r="B60" s="2">
        <v>0.23327155597063454</v>
      </c>
      <c r="C60" s="2">
        <v>0.65145005781548648</v>
      </c>
      <c r="D60" s="2">
        <v>2.0164924349732938E-2</v>
      </c>
      <c r="E60" s="2">
        <v>5.0953158030886736E-2</v>
      </c>
      <c r="F60" s="2"/>
      <c r="G60" s="2"/>
      <c r="H60" s="2"/>
      <c r="I60" s="2">
        <v>0.12417041019775532</v>
      </c>
      <c r="J60" s="2">
        <v>8.8978324259310626E-2</v>
      </c>
      <c r="K60" s="2">
        <v>0.11907578718901946</v>
      </c>
      <c r="L60" s="2">
        <v>0.82473480305281632</v>
      </c>
      <c r="N60" s="2">
        <v>0.11279497593105053</v>
      </c>
      <c r="S60" s="24">
        <v>2.06</v>
      </c>
      <c r="T60" s="23">
        <v>1.5822916666666667</v>
      </c>
      <c r="U60" s="23">
        <v>3.6568676980180421</v>
      </c>
      <c r="V60" s="23">
        <v>1.5822916666666667</v>
      </c>
    </row>
    <row r="61" spans="1:22" x14ac:dyDescent="0.25">
      <c r="A61" s="16">
        <v>1878</v>
      </c>
      <c r="B61" s="2">
        <v>0.22260428867954341</v>
      </c>
      <c r="C61" s="2">
        <v>0.66319457233869294</v>
      </c>
      <c r="D61" s="2">
        <v>2.0085909877786912E-2</v>
      </c>
      <c r="E61" s="2">
        <v>4.8570757135801612E-2</v>
      </c>
      <c r="F61" s="2"/>
      <c r="G61" s="2"/>
      <c r="H61" s="2"/>
      <c r="I61" s="2">
        <v>0.1133203411021142</v>
      </c>
      <c r="J61" s="2">
        <v>0.10132994391053329</v>
      </c>
      <c r="K61" s="2">
        <v>0.12492759967929556</v>
      </c>
      <c r="L61" s="2">
        <v>0.86552215358658213</v>
      </c>
      <c r="N61" s="2">
        <v>0.11401701229167967</v>
      </c>
      <c r="S61" s="24">
        <v>1.905</v>
      </c>
      <c r="T61" s="23">
        <v>2.2816666666666667</v>
      </c>
      <c r="U61" s="23">
        <v>3.6743333347846954</v>
      </c>
      <c r="V61" s="23">
        <v>2.2816666666666667</v>
      </c>
    </row>
    <row r="62" spans="1:22" x14ac:dyDescent="0.25">
      <c r="A62" s="16">
        <v>1879</v>
      </c>
      <c r="B62" s="2">
        <v>0.1994250180088708</v>
      </c>
      <c r="C62" s="2">
        <v>0.67550936493084746</v>
      </c>
      <c r="D62" s="2">
        <v>2.008819206290402E-2</v>
      </c>
      <c r="E62" s="2">
        <v>5.0785286816542485E-2</v>
      </c>
      <c r="F62" s="2"/>
      <c r="G62" s="2"/>
      <c r="H62" s="2"/>
      <c r="I62" s="2">
        <v>0.12116166679550344</v>
      </c>
      <c r="J62" s="2">
        <v>0.10037754732901616</v>
      </c>
      <c r="K62" s="2">
        <v>0.13141509125658168</v>
      </c>
      <c r="L62" s="2">
        <v>0.88002139219644882</v>
      </c>
      <c r="N62" s="2">
        <v>0.11627406993376248</v>
      </c>
      <c r="S62" s="24">
        <v>1.75</v>
      </c>
      <c r="T62" s="23">
        <v>1.7552083333333333</v>
      </c>
      <c r="U62" s="23">
        <v>3.6743333333333332</v>
      </c>
      <c r="V62" s="23">
        <v>1.7552083333333333</v>
      </c>
    </row>
    <row r="63" spans="1:22" x14ac:dyDescent="0.25">
      <c r="A63" s="16">
        <v>1880</v>
      </c>
      <c r="B63" s="2">
        <v>0.18520883803493893</v>
      </c>
      <c r="C63" s="2">
        <v>0.67958372113166421</v>
      </c>
      <c r="D63" s="2">
        <v>2.0088192062714172E-2</v>
      </c>
      <c r="E63" s="2">
        <v>4.9411749399756677E-2</v>
      </c>
      <c r="F63" s="2"/>
      <c r="G63" s="2"/>
      <c r="H63" s="2"/>
      <c r="I63" s="2">
        <v>0.10452473111424876</v>
      </c>
      <c r="J63" s="2">
        <v>8.4025139303766982E-2</v>
      </c>
      <c r="K63" s="2">
        <v>0.12146061541770292</v>
      </c>
      <c r="L63" s="2">
        <v>0.88700399388211104</v>
      </c>
      <c r="N63" s="2">
        <v>0.11383121639573926</v>
      </c>
      <c r="S63" s="24">
        <v>1.9375</v>
      </c>
      <c r="T63" s="23">
        <v>1.90625</v>
      </c>
      <c r="U63" s="23">
        <v>3.5824750000000001</v>
      </c>
      <c r="V63" s="23">
        <v>1.90625</v>
      </c>
    </row>
    <row r="64" spans="1:22" x14ac:dyDescent="0.25">
      <c r="A64" s="16">
        <v>1881</v>
      </c>
      <c r="B64" s="2">
        <v>0.18514981797212859</v>
      </c>
      <c r="C64" s="2">
        <v>0.66908089034058893</v>
      </c>
      <c r="D64" s="2">
        <v>2.0076189076299378E-2</v>
      </c>
      <c r="E64" s="2">
        <v>4.9131996104264664E-2</v>
      </c>
      <c r="F64" s="2"/>
      <c r="G64" s="2"/>
      <c r="H64" s="2"/>
      <c r="I64" s="2">
        <v>7.9086972298140323E-2</v>
      </c>
      <c r="J64" s="2">
        <v>6.9510475133694238E-2</v>
      </c>
      <c r="K64" s="2">
        <v>0.12813168057622448</v>
      </c>
      <c r="L64" s="2">
        <v>0.87060110922313594</v>
      </c>
      <c r="N64" s="2">
        <v>0.11035219105834587</v>
      </c>
      <c r="S64" s="24">
        <v>2.25</v>
      </c>
      <c r="T64" s="23">
        <v>1.8125</v>
      </c>
      <c r="U64" s="23">
        <v>3.2150416666666661</v>
      </c>
      <c r="V64" s="23">
        <v>1.8125</v>
      </c>
    </row>
    <row r="65" spans="1:22" x14ac:dyDescent="0.25">
      <c r="A65" s="16">
        <v>1882</v>
      </c>
      <c r="B65" s="2">
        <v>0.18942045620614367</v>
      </c>
      <c r="C65" s="2">
        <v>0.65567982215672849</v>
      </c>
      <c r="D65" s="2">
        <v>2.0028174189992143E-2</v>
      </c>
      <c r="E65" s="2">
        <v>4.6523746205304972E-2</v>
      </c>
      <c r="F65" s="2"/>
      <c r="G65" s="2"/>
      <c r="H65" s="2"/>
      <c r="I65" s="2">
        <v>6.8552283277835691E-2</v>
      </c>
      <c r="J65" s="2">
        <v>6.2516848992695939E-2</v>
      </c>
      <c r="K65" s="2">
        <v>0.12134784297819734</v>
      </c>
      <c r="L65" s="2">
        <v>0.88907427237057601</v>
      </c>
      <c r="N65" s="2">
        <v>0.10697822043665295</v>
      </c>
      <c r="S65" s="24">
        <v>2.8125</v>
      </c>
      <c r="T65" s="23">
        <v>2.5</v>
      </c>
      <c r="U65" s="23">
        <v>3.0313250000000003</v>
      </c>
      <c r="V65" s="23">
        <v>2.5</v>
      </c>
    </row>
    <row r="66" spans="1:22" x14ac:dyDescent="0.25">
      <c r="A66" s="16">
        <v>1883</v>
      </c>
      <c r="B66" s="2">
        <v>0.22056826368826821</v>
      </c>
      <c r="C66" s="2">
        <v>0.66523385214177433</v>
      </c>
      <c r="D66" s="2">
        <v>2.0004164982298844E-2</v>
      </c>
      <c r="E66" s="2">
        <v>4.6392957921024491E-2</v>
      </c>
      <c r="F66" s="2"/>
      <c r="G66" s="2"/>
      <c r="H66" s="2"/>
      <c r="I66" s="2">
        <v>6.4727747216795861E-2</v>
      </c>
      <c r="J66" s="2">
        <v>7.3719293069878455E-2</v>
      </c>
      <c r="K66" s="2">
        <v>0.12742584550566805</v>
      </c>
      <c r="L66" s="2">
        <v>0.89653954501456901</v>
      </c>
      <c r="N66" s="2">
        <v>0.10928010760853411</v>
      </c>
      <c r="S66" s="24">
        <v>2.15</v>
      </c>
      <c r="T66" s="23">
        <v>2.4024999999999999</v>
      </c>
      <c r="U66" s="23">
        <v>3.3987583333333333</v>
      </c>
      <c r="V66" s="23">
        <v>2.4024999999999999</v>
      </c>
    </row>
    <row r="67" spans="1:22" x14ac:dyDescent="0.25">
      <c r="A67" s="16">
        <v>1884</v>
      </c>
      <c r="B67" s="2">
        <v>0.23487176708010782</v>
      </c>
      <c r="C67" s="2">
        <v>0.64234389560479843</v>
      </c>
      <c r="D67" s="2">
        <v>2.0052182221296677E-2</v>
      </c>
      <c r="E67" s="2">
        <v>4.9737304905187685E-2</v>
      </c>
      <c r="F67" s="2"/>
      <c r="G67" s="2"/>
      <c r="H67" s="2"/>
      <c r="I67" s="2">
        <v>6.4801267617516589E-2</v>
      </c>
      <c r="J67" s="2">
        <v>6.5781938371875182E-2</v>
      </c>
      <c r="K67" s="2">
        <v>0.12640017819046334</v>
      </c>
      <c r="L67" s="2">
        <v>0.87418963492908219</v>
      </c>
      <c r="N67" s="2">
        <v>0.10666111559925556</v>
      </c>
      <c r="S67" s="24">
        <v>1.8</v>
      </c>
      <c r="T67" s="23">
        <v>2.0024999999999999</v>
      </c>
      <c r="U67" s="23">
        <v>3.0313250000000003</v>
      </c>
      <c r="V67" s="23">
        <v>2.0024999999999999</v>
      </c>
    </row>
    <row r="68" spans="1:22" x14ac:dyDescent="0.25">
      <c r="A68" s="16">
        <v>1885</v>
      </c>
      <c r="B68" s="2">
        <v>0.17690496608486683</v>
      </c>
      <c r="C68" s="2">
        <v>0.61752295740200491</v>
      </c>
      <c r="D68" s="2">
        <v>2.0004164982298733E-2</v>
      </c>
      <c r="E68" s="2">
        <v>4.8225716025993126E-2</v>
      </c>
      <c r="F68" s="2"/>
      <c r="G68" s="2"/>
      <c r="H68" s="2"/>
      <c r="I68" s="2">
        <v>6.0206014196994895E-2</v>
      </c>
      <c r="J68" s="2">
        <v>6.967188096561272E-2</v>
      </c>
      <c r="K68" s="2">
        <v>0.11318643395834826</v>
      </c>
      <c r="L68" s="2">
        <v>0.86076074949509551</v>
      </c>
      <c r="N68" s="2">
        <v>0.10178491847981409</v>
      </c>
      <c r="S68" s="24">
        <v>1.6</v>
      </c>
      <c r="T68" s="23">
        <v>1.875</v>
      </c>
      <c r="U68" s="23">
        <v>2.8476083333333331</v>
      </c>
      <c r="V68" s="23">
        <v>1.875</v>
      </c>
    </row>
    <row r="69" spans="1:22" x14ac:dyDescent="0.25">
      <c r="A69" s="16">
        <v>1886</v>
      </c>
      <c r="B69" s="2">
        <v>0.19804197846760241</v>
      </c>
      <c r="C69" s="2">
        <v>0.62124726129754715</v>
      </c>
      <c r="D69" s="2">
        <v>1.9980154598130739E-2</v>
      </c>
      <c r="E69" s="2">
        <v>4.7614694008419556E-2</v>
      </c>
      <c r="F69" s="2"/>
      <c r="G69" s="2"/>
      <c r="H69" s="2"/>
      <c r="I69" s="2">
        <v>6.6862467636518375E-2</v>
      </c>
      <c r="J69" s="2">
        <v>7.3555081372679854E-2</v>
      </c>
      <c r="K69" s="2">
        <v>0.11191068122307857</v>
      </c>
      <c r="L69" s="2">
        <v>0.8542311637586385</v>
      </c>
      <c r="N69" s="2">
        <v>0.10306235750116652</v>
      </c>
      <c r="S69" s="24">
        <v>1.8</v>
      </c>
      <c r="T69" s="23">
        <v>1.5625</v>
      </c>
      <c r="U69" s="23">
        <v>2.6283424916666669</v>
      </c>
      <c r="V69" s="23">
        <v>1.5625</v>
      </c>
    </row>
    <row r="70" spans="1:22" x14ac:dyDescent="0.25">
      <c r="A70" s="16">
        <v>1887</v>
      </c>
      <c r="B70" s="2">
        <v>0.20287376637121235</v>
      </c>
      <c r="C70" s="2">
        <v>0.63784397394902959</v>
      </c>
      <c r="D70" s="2">
        <v>1.9951496664533774E-2</v>
      </c>
      <c r="E70" s="2">
        <v>4.4703632961648809E-2</v>
      </c>
      <c r="F70" s="2"/>
      <c r="G70" s="2"/>
      <c r="H70" s="2"/>
      <c r="I70" s="2">
        <v>6.7523011758090057E-2</v>
      </c>
      <c r="J70" s="2">
        <v>6.1910854540976334E-2</v>
      </c>
      <c r="K70" s="2">
        <v>0.13849836360995271</v>
      </c>
      <c r="L70" s="2">
        <v>0.86835314197397839</v>
      </c>
      <c r="N70" s="2">
        <v>0.10553939079894493</v>
      </c>
      <c r="S70" s="24">
        <v>1.55</v>
      </c>
      <c r="T70" s="23">
        <v>1.6170454545454547</v>
      </c>
      <c r="U70" s="23">
        <v>2.480175</v>
      </c>
      <c r="V70" s="23">
        <v>1.6170454545454547</v>
      </c>
    </row>
    <row r="71" spans="1:22" x14ac:dyDescent="0.25">
      <c r="A71" s="16">
        <v>1888</v>
      </c>
      <c r="B71" s="2">
        <v>0.25980105413262289</v>
      </c>
      <c r="C71" s="2">
        <v>0.71292655962429408</v>
      </c>
      <c r="D71" s="2">
        <v>5.3306537034005563E-2</v>
      </c>
      <c r="E71" s="2">
        <v>4.3564389019393857E-2</v>
      </c>
      <c r="F71" s="2"/>
      <c r="G71" s="2">
        <v>5.1402935217460421E-2</v>
      </c>
      <c r="H71" s="2">
        <v>5.5452595806961491E-2</v>
      </c>
      <c r="I71" s="2">
        <v>7.5181861246944925E-2</v>
      </c>
      <c r="J71" s="2">
        <v>6.242997614636292E-2</v>
      </c>
      <c r="K71" s="2">
        <v>0.15003322008370212</v>
      </c>
      <c r="L71" s="2">
        <v>0.90341152737498653</v>
      </c>
      <c r="N71" s="2">
        <v>0.12251519478172451</v>
      </c>
      <c r="S71" s="24">
        <v>1.65</v>
      </c>
      <c r="T71" s="23">
        <v>1.588875</v>
      </c>
      <c r="U71" s="23">
        <v>2.480175</v>
      </c>
      <c r="V71" s="23">
        <v>1.588875</v>
      </c>
    </row>
    <row r="72" spans="1:22" x14ac:dyDescent="0.25">
      <c r="A72" s="16">
        <v>1889</v>
      </c>
      <c r="B72" s="2">
        <v>0.29408145794691687</v>
      </c>
      <c r="C72" s="2">
        <v>0.69145145594575919</v>
      </c>
      <c r="D72" s="2">
        <v>5.1793785409777415E-2</v>
      </c>
      <c r="E72" s="2">
        <v>4.3527269250228207E-2</v>
      </c>
      <c r="F72" s="2"/>
      <c r="G72" s="2">
        <v>4.9841443113589734E-2</v>
      </c>
      <c r="H72" s="2">
        <v>5.4015680105974462E-2</v>
      </c>
      <c r="I72" s="2">
        <v>9.3709929099762279E-2</v>
      </c>
      <c r="J72" s="2">
        <v>7.681729239265922E-2</v>
      </c>
      <c r="K72" s="2">
        <v>0.12505368977538145</v>
      </c>
      <c r="L72" s="2">
        <v>0.90995046339561569</v>
      </c>
      <c r="N72" s="2">
        <v>0.12086848676517853</v>
      </c>
      <c r="S72" s="24">
        <v>1.55</v>
      </c>
      <c r="T72" s="23">
        <v>1.4375</v>
      </c>
      <c r="U72" s="23">
        <v>3.0313250000000003</v>
      </c>
      <c r="V72" s="23">
        <v>1.4375</v>
      </c>
    </row>
    <row r="73" spans="1:22" x14ac:dyDescent="0.25">
      <c r="A73" s="16">
        <v>1890</v>
      </c>
      <c r="B73" s="2">
        <v>0.25839614568290004</v>
      </c>
      <c r="C73" s="2">
        <v>0.61578251020969743</v>
      </c>
      <c r="D73" s="2">
        <v>6.0033805068851809E-2</v>
      </c>
      <c r="E73" s="2">
        <v>4.8667221335647159E-2</v>
      </c>
      <c r="F73" s="2"/>
      <c r="G73" s="2">
        <v>5.7778323428173461E-2</v>
      </c>
      <c r="H73" s="2">
        <v>6.2572577681136887E-2</v>
      </c>
      <c r="I73" s="2">
        <v>8.1154612970544382E-2</v>
      </c>
      <c r="J73" s="2">
        <v>5.9615428813257321E-2</v>
      </c>
      <c r="K73" s="2">
        <v>9.7479710570674727E-2</v>
      </c>
      <c r="L73" s="2">
        <v>0.89153746406265633</v>
      </c>
      <c r="N73" s="2">
        <v>0.11003282464911558</v>
      </c>
      <c r="S73" s="24">
        <v>1.1499999999999999</v>
      </c>
      <c r="T73" s="23">
        <v>1.5416666666666665</v>
      </c>
      <c r="U73" s="23">
        <v>3.1231833333333334</v>
      </c>
      <c r="V73" s="23">
        <v>1.5416666666666665</v>
      </c>
    </row>
    <row r="74" spans="1:22" x14ac:dyDescent="0.25">
      <c r="A74" s="16">
        <v>1891</v>
      </c>
      <c r="B74" s="2">
        <v>0.12622309021263367</v>
      </c>
      <c r="C74" s="2">
        <v>0.52505578921493268</v>
      </c>
      <c r="D74" s="2">
        <v>6.5111756830757872E-2</v>
      </c>
      <c r="E74" s="2">
        <v>5.0941161324370765E-2</v>
      </c>
      <c r="F74" s="2">
        <v>5.024896024095038E-2</v>
      </c>
      <c r="G74" s="2">
        <v>6.4292021263796184E-2</v>
      </c>
      <c r="H74" s="2">
        <v>6.5962130717075018E-2</v>
      </c>
      <c r="I74" s="2">
        <v>8.7866096243136793E-2</v>
      </c>
      <c r="J74" s="2">
        <v>6.7160206063018868E-2</v>
      </c>
      <c r="K74" s="2">
        <v>8.4428364682893497E-2</v>
      </c>
      <c r="L74" s="2">
        <v>0.85249161257709782</v>
      </c>
      <c r="N74" s="2">
        <v>0.11695903070788856</v>
      </c>
      <c r="S74" s="24">
        <v>1.375</v>
      </c>
      <c r="T74" s="23">
        <v>2.0249999999999999</v>
      </c>
      <c r="U74" s="23">
        <v>2.2964583333333333</v>
      </c>
      <c r="V74" s="23">
        <v>2.0249999999999999</v>
      </c>
    </row>
    <row r="75" spans="1:22" x14ac:dyDescent="0.25">
      <c r="A75" s="16">
        <v>1892</v>
      </c>
      <c r="B75" s="2">
        <v>0.1960871240362636</v>
      </c>
      <c r="C75" s="2">
        <v>0.53384709275072528</v>
      </c>
      <c r="D75" s="2">
        <v>5.766732796104157E-2</v>
      </c>
      <c r="E75" s="2">
        <v>4.4234437529703352E-2</v>
      </c>
      <c r="F75" s="2">
        <v>4.4843352225602429E-2</v>
      </c>
      <c r="G75" s="2">
        <v>5.3565823376455768E-2</v>
      </c>
      <c r="H75" s="2">
        <v>6.2895713028909284E-2</v>
      </c>
      <c r="I75" s="2">
        <v>6.5088878132275707E-2</v>
      </c>
      <c r="J75" s="2">
        <v>5.7633888671764777E-2</v>
      </c>
      <c r="K75" s="2">
        <v>7.7775975377480155E-2</v>
      </c>
      <c r="L75" s="2">
        <v>0.86385133422592875</v>
      </c>
      <c r="N75" s="2">
        <v>0.1142090982449265</v>
      </c>
      <c r="S75" s="24">
        <v>1.75</v>
      </c>
      <c r="T75" s="23">
        <v>1.5</v>
      </c>
      <c r="U75" s="23">
        <v>2.480175</v>
      </c>
      <c r="V75" s="23">
        <v>1.5</v>
      </c>
    </row>
    <row r="76" spans="1:22" x14ac:dyDescent="0.25">
      <c r="A76" s="16">
        <v>1893</v>
      </c>
      <c r="B76" s="2">
        <v>0.18142139548733582</v>
      </c>
      <c r="C76" s="2">
        <v>0.54034679010627107</v>
      </c>
      <c r="D76" s="2">
        <v>5.5536996160164276E-2</v>
      </c>
      <c r="E76" s="2">
        <v>4.3962484998274709E-2</v>
      </c>
      <c r="F76" s="2">
        <v>4.4009721386260914E-2</v>
      </c>
      <c r="G76" s="2">
        <v>5.2451578131831211E-2</v>
      </c>
      <c r="H76" s="2">
        <v>5.926222217363053E-2</v>
      </c>
      <c r="I76" s="2">
        <v>6.651292455736435E-2</v>
      </c>
      <c r="J76" s="2">
        <v>6.3972800122881535E-2</v>
      </c>
      <c r="K76" s="2">
        <v>7.2132138870408369E-2</v>
      </c>
      <c r="L76" s="2">
        <v>0.86804505956071631</v>
      </c>
      <c r="N76" s="2">
        <v>0.11609010512049524</v>
      </c>
      <c r="S76" s="24">
        <v>1.95</v>
      </c>
      <c r="T76" s="23">
        <v>1.75</v>
      </c>
      <c r="U76" s="23">
        <v>2.1127416666666665</v>
      </c>
      <c r="V76" s="23">
        <v>1.75</v>
      </c>
    </row>
    <row r="77" spans="1:22" x14ac:dyDescent="0.25">
      <c r="A77" s="16">
        <v>1894</v>
      </c>
      <c r="B77" s="2">
        <v>0.17254735647456121</v>
      </c>
      <c r="C77" s="2">
        <v>0.52771403944949358</v>
      </c>
      <c r="D77" s="2">
        <v>4.992735538945281E-2</v>
      </c>
      <c r="E77" s="2">
        <v>4.0699235334015538E-2</v>
      </c>
      <c r="F77" s="2">
        <v>4.0377214522986149E-2</v>
      </c>
      <c r="G77" s="2">
        <v>4.8557139881882372E-2</v>
      </c>
      <c r="H77" s="2">
        <v>5.1433724130051317E-2</v>
      </c>
      <c r="I77" s="2">
        <v>6.2677522664421392E-2</v>
      </c>
      <c r="J77" s="2">
        <v>6.0239929891788502E-2</v>
      </c>
      <c r="K77" s="2">
        <v>7.2691361698085211E-2</v>
      </c>
      <c r="L77" s="2">
        <v>0.87654916026689622</v>
      </c>
      <c r="N77" s="2">
        <v>0.11232249856517894</v>
      </c>
      <c r="S77" s="24">
        <v>1.7129659643696002</v>
      </c>
      <c r="T77" s="23">
        <v>1.5372771475</v>
      </c>
      <c r="U77" s="23">
        <v>2.2964583333333333</v>
      </c>
      <c r="V77" s="23">
        <v>1.5372771475</v>
      </c>
    </row>
    <row r="78" spans="1:22" x14ac:dyDescent="0.25">
      <c r="A78" s="16">
        <v>1895</v>
      </c>
      <c r="B78" s="2">
        <v>0.15812140915981898</v>
      </c>
      <c r="C78" s="2">
        <v>0.521689704425916</v>
      </c>
      <c r="D78" s="2">
        <v>5.3372087455524353E-2</v>
      </c>
      <c r="E78" s="2">
        <v>4.3759141836526849E-2</v>
      </c>
      <c r="F78" s="2">
        <v>4.224983013281769E-2</v>
      </c>
      <c r="G78" s="2">
        <v>5.1196969371561929E-2</v>
      </c>
      <c r="H78" s="2">
        <v>5.5868898431866265E-2</v>
      </c>
      <c r="I78" s="2">
        <v>6.0381026573000263E-2</v>
      </c>
      <c r="J78" s="2">
        <v>7.3566714049769333E-2</v>
      </c>
      <c r="K78" s="2">
        <v>7.1291097473591747E-2</v>
      </c>
      <c r="L78" s="2">
        <v>0.85102967918252614</v>
      </c>
      <c r="N78" s="2">
        <v>0.11437664556540822</v>
      </c>
      <c r="S78" s="24">
        <v>1.8014586710159999</v>
      </c>
      <c r="T78" s="23">
        <v>1.7524959481500002</v>
      </c>
      <c r="U78" s="23">
        <v>2.3883166666666664</v>
      </c>
      <c r="V78" s="23">
        <v>1.7524959481500002</v>
      </c>
    </row>
    <row r="79" spans="1:22" x14ac:dyDescent="0.25">
      <c r="A79" s="16">
        <v>1896</v>
      </c>
      <c r="B79" s="2">
        <v>0.19022415470793064</v>
      </c>
      <c r="C79" s="2">
        <v>0.58464322547408432</v>
      </c>
      <c r="D79" s="2">
        <v>5.4585508889525292E-2</v>
      </c>
      <c r="E79" s="2">
        <v>4.4892128362148398E-2</v>
      </c>
      <c r="F79" s="2">
        <v>4.306459625510517E-2</v>
      </c>
      <c r="G79" s="2">
        <v>5.3634181828503213E-2</v>
      </c>
      <c r="H79" s="2">
        <v>5.5591561444654936E-2</v>
      </c>
      <c r="I79" s="2">
        <v>7.2049633160205295E-2</v>
      </c>
      <c r="J79" s="2">
        <v>8.0446806361542333E-2</v>
      </c>
      <c r="K79" s="2">
        <v>8.2166731108734847E-2</v>
      </c>
      <c r="L79" s="2">
        <v>0.86371142216368901</v>
      </c>
      <c r="N79" s="2">
        <v>0.12706622401461026</v>
      </c>
      <c r="S79" s="24">
        <v>1.5581037277384</v>
      </c>
      <c r="T79" s="23">
        <v>1.3982982172</v>
      </c>
      <c r="U79" s="23">
        <v>2.1127416666666665</v>
      </c>
      <c r="V79" s="23">
        <v>1.3982982172</v>
      </c>
    </row>
    <row r="80" spans="1:22" x14ac:dyDescent="0.25">
      <c r="A80" s="16">
        <v>1897</v>
      </c>
      <c r="B80" s="2">
        <v>0.19708996605899953</v>
      </c>
      <c r="C80" s="2">
        <v>0.58836802859543957</v>
      </c>
      <c r="D80" s="2">
        <v>5.415415990840422E-2</v>
      </c>
      <c r="E80" s="2">
        <v>4.4115331612730513E-2</v>
      </c>
      <c r="F80" s="2">
        <v>4.3404056480794706E-2</v>
      </c>
      <c r="G80" s="2">
        <v>5.1739003756187785E-2</v>
      </c>
      <c r="H80" s="2">
        <v>5.6961897724560062E-2</v>
      </c>
      <c r="I80" s="2">
        <v>8.1939569109503618E-2</v>
      </c>
      <c r="J80" s="2">
        <v>7.6360933398197939E-2</v>
      </c>
      <c r="K80" s="2">
        <v>8.2414409729620663E-2</v>
      </c>
      <c r="L80" s="2">
        <v>0.87761075735267935</v>
      </c>
      <c r="N80" s="2">
        <v>0.12712157520896405</v>
      </c>
      <c r="S80" s="24">
        <v>1.3858589951588001</v>
      </c>
      <c r="T80" s="23">
        <v>1.24371961105</v>
      </c>
      <c r="U80" s="23">
        <v>2.1127416666666665</v>
      </c>
      <c r="V80" s="23">
        <v>1.24371961105</v>
      </c>
    </row>
    <row r="81" spans="1:22" x14ac:dyDescent="0.25">
      <c r="A81" s="16">
        <v>1898</v>
      </c>
      <c r="B81" s="2">
        <v>0.20907149043084083</v>
      </c>
      <c r="C81" s="2">
        <v>0.57616151283749695</v>
      </c>
      <c r="D81" s="2">
        <v>5.6671617902821714E-2</v>
      </c>
      <c r="E81" s="2">
        <v>4.5991846102411249E-2</v>
      </c>
      <c r="F81" s="2">
        <v>4.4893677545277844E-2</v>
      </c>
      <c r="G81" s="2">
        <v>5.2721659441997248E-2</v>
      </c>
      <c r="H81" s="2">
        <v>6.1691542616104322E-2</v>
      </c>
      <c r="I81" s="2">
        <v>8.2342475519559422E-2</v>
      </c>
      <c r="J81" s="2">
        <v>7.5949686267059002E-2</v>
      </c>
      <c r="K81" s="2">
        <v>8.2636849375758326E-2</v>
      </c>
      <c r="L81" s="2">
        <v>0.89316309895734436</v>
      </c>
      <c r="N81" s="2">
        <v>0.12557565151387134</v>
      </c>
      <c r="S81" s="24">
        <v>1.2942058347036001</v>
      </c>
      <c r="T81" s="23">
        <v>1.16146677475</v>
      </c>
      <c r="U81" s="23">
        <v>2.0208833333333334</v>
      </c>
      <c r="V81" s="23">
        <v>1.16146677475</v>
      </c>
    </row>
    <row r="82" spans="1:22" x14ac:dyDescent="0.25">
      <c r="A82" s="16">
        <v>1899</v>
      </c>
      <c r="B82" s="2">
        <v>0.17525478053162968</v>
      </c>
      <c r="C82" s="2">
        <v>0.47941100415164484</v>
      </c>
      <c r="D82" s="2">
        <v>5.0197229807338983E-2</v>
      </c>
      <c r="E82" s="2">
        <v>4.4471983416351835E-2</v>
      </c>
      <c r="F82" s="2">
        <v>4.1551336758778312E-2</v>
      </c>
      <c r="G82" s="2">
        <v>4.6959521325957931E-2</v>
      </c>
      <c r="H82" s="2">
        <v>5.4304372590715078E-2</v>
      </c>
      <c r="I82" s="2">
        <v>6.4596259970367553E-2</v>
      </c>
      <c r="J82" s="2">
        <v>7.1552243931354398E-2</v>
      </c>
      <c r="K82" s="2">
        <v>6.3939122862996522E-2</v>
      </c>
      <c r="L82" s="2">
        <v>0.84634364289505093</v>
      </c>
      <c r="N82" s="2">
        <v>0.10698749721695561</v>
      </c>
      <c r="S82" s="24">
        <v>1.5109375</v>
      </c>
      <c r="T82" s="23">
        <v>1.465625</v>
      </c>
      <c r="U82" s="23">
        <v>3.0313250000000003</v>
      </c>
      <c r="V82" s="23">
        <v>1.465625</v>
      </c>
    </row>
    <row r="83" spans="1:22" x14ac:dyDescent="0.25">
      <c r="A83" s="16">
        <v>1900</v>
      </c>
      <c r="B83" s="2">
        <v>0.18689849116645374</v>
      </c>
      <c r="C83" s="2">
        <v>0.46995797365638192</v>
      </c>
      <c r="D83" s="2">
        <v>6.054057845781402E-2</v>
      </c>
      <c r="E83" s="2">
        <v>5.4257126700307245E-2</v>
      </c>
      <c r="F83" s="2">
        <v>4.9507033915103471E-2</v>
      </c>
      <c r="G83" s="2">
        <v>5.6017595800115672E-2</v>
      </c>
      <c r="H83" s="2">
        <v>6.6346687134141824E-2</v>
      </c>
      <c r="I83" s="2">
        <v>9.0402367877576717E-2</v>
      </c>
      <c r="J83" s="2">
        <v>9.1499895616309557E-2</v>
      </c>
      <c r="K83" s="2">
        <v>6.3741761101077987E-2</v>
      </c>
      <c r="L83" s="2">
        <v>0.85564615776345054</v>
      </c>
      <c r="N83" s="2">
        <v>0.11235022676036134</v>
      </c>
      <c r="S83" s="24">
        <v>1.5036979166666666</v>
      </c>
      <c r="T83" s="23">
        <v>1.7291666666666667</v>
      </c>
      <c r="U83" s="23">
        <v>4.899111111111111</v>
      </c>
      <c r="V83" s="23">
        <v>1.7291666666666667</v>
      </c>
    </row>
    <row r="84" spans="1:22" x14ac:dyDescent="0.25">
      <c r="A84" s="16">
        <v>1901</v>
      </c>
      <c r="B84" s="2">
        <v>0.15699868043624732</v>
      </c>
      <c r="C84" s="2">
        <v>0.43974992887033393</v>
      </c>
      <c r="D84" s="2">
        <v>7.6744357786860617E-2</v>
      </c>
      <c r="E84" s="2">
        <v>7.4850811237135995E-2</v>
      </c>
      <c r="F84" s="2">
        <v>6.9080922324305516E-2</v>
      </c>
      <c r="G84" s="2">
        <v>7.4602990372650391E-2</v>
      </c>
      <c r="H84" s="2">
        <v>7.9059239921045688E-2</v>
      </c>
      <c r="I84" s="2">
        <v>4.8179072605240236E-2</v>
      </c>
      <c r="J84" s="2">
        <v>5.0041392697652731E-2</v>
      </c>
      <c r="K84" s="2">
        <v>5.5710312544757001E-2</v>
      </c>
      <c r="L84" s="2">
        <v>0.83270891833529304</v>
      </c>
      <c r="N84" s="2">
        <v>0.10234860745789415</v>
      </c>
      <c r="S84" s="24">
        <v>1.640625</v>
      </c>
      <c r="T84" s="23">
        <v>1.9047499999999999</v>
      </c>
      <c r="U84" s="23">
        <v>3.9144176136363633</v>
      </c>
      <c r="V84" s="23">
        <v>1.9047499999999999</v>
      </c>
    </row>
    <row r="85" spans="1:22" x14ac:dyDescent="0.25">
      <c r="A85" s="16">
        <v>1902</v>
      </c>
      <c r="B85" s="2">
        <v>0.14336749792144587</v>
      </c>
      <c r="C85" s="2">
        <v>0.43138406456747813</v>
      </c>
      <c r="D85" s="2">
        <v>6.9440979363831756E-2</v>
      </c>
      <c r="E85" s="2">
        <v>6.4702875429095696E-2</v>
      </c>
      <c r="F85" s="2">
        <v>6.1112909496209733E-2</v>
      </c>
      <c r="G85" s="2">
        <v>6.7176636538967549E-2</v>
      </c>
      <c r="H85" s="2">
        <v>7.1931668534948145E-2</v>
      </c>
      <c r="I85" s="2">
        <v>4.4095397526791813E-2</v>
      </c>
      <c r="J85" s="2">
        <v>5.1440789570352141E-2</v>
      </c>
      <c r="K85" s="2">
        <v>5.7708758695502516E-2</v>
      </c>
      <c r="L85" s="2">
        <v>0.82239152367084611</v>
      </c>
      <c r="N85" s="2">
        <v>0.12424974757536948</v>
      </c>
      <c r="S85" s="24">
        <v>1.5833333333333335</v>
      </c>
      <c r="T85" s="23">
        <v>1.6523749999999999</v>
      </c>
      <c r="U85" s="23">
        <v>3.1002187500000002</v>
      </c>
      <c r="V85" s="23">
        <v>1.6523749999999999</v>
      </c>
    </row>
    <row r="86" spans="1:22" x14ac:dyDescent="0.25">
      <c r="A86" s="16">
        <v>1903</v>
      </c>
      <c r="B86" s="2">
        <v>0.11726366351790973</v>
      </c>
      <c r="C86" s="2">
        <v>0.40107708409447196</v>
      </c>
      <c r="D86" s="2">
        <v>5.8491942618334014E-2</v>
      </c>
      <c r="E86" s="2">
        <v>5.6550066323563297E-2</v>
      </c>
      <c r="F86" s="2">
        <v>5.2038948384694361E-2</v>
      </c>
      <c r="G86" s="2">
        <v>5.6857398192622144E-2</v>
      </c>
      <c r="H86" s="2">
        <v>6.0276521281430129E-2</v>
      </c>
      <c r="I86" s="2">
        <v>4.7671798826880551E-2</v>
      </c>
      <c r="J86" s="2">
        <v>5.0982762958953542E-2</v>
      </c>
      <c r="K86" s="2">
        <v>5.1547162919494682E-2</v>
      </c>
      <c r="L86" s="2">
        <v>0.78051148990115515</v>
      </c>
      <c r="N86" s="2">
        <v>0.11462427770440695</v>
      </c>
      <c r="S86" s="24">
        <v>1.3090208333333333</v>
      </c>
      <c r="T86" s="23">
        <v>1.4</v>
      </c>
      <c r="U86" s="23">
        <v>3.3808969907407409</v>
      </c>
      <c r="V86" s="23">
        <v>1.4</v>
      </c>
    </row>
    <row r="87" spans="1:22" x14ac:dyDescent="0.25">
      <c r="A87" s="16">
        <v>1904</v>
      </c>
      <c r="B87" s="2">
        <v>0.10031788454178114</v>
      </c>
      <c r="C87" s="2">
        <v>0.3880771111908019</v>
      </c>
      <c r="D87" s="2">
        <v>6.1274030057746898E-2</v>
      </c>
      <c r="E87" s="2">
        <v>5.5958857202168311E-2</v>
      </c>
      <c r="F87" s="2">
        <v>5.2309383309986912E-2</v>
      </c>
      <c r="G87" s="2">
        <v>5.6026295248534086E-2</v>
      </c>
      <c r="H87" s="2">
        <v>6.8288725849022458E-2</v>
      </c>
      <c r="I87" s="2">
        <v>6.0007769934293131E-2</v>
      </c>
      <c r="J87" s="2">
        <v>4.0298595781854463E-2</v>
      </c>
      <c r="K87" s="2">
        <v>5.147895434427463E-2</v>
      </c>
      <c r="L87" s="2">
        <v>0.73596577574647237</v>
      </c>
      <c r="N87" s="2">
        <v>0.11064856143778642</v>
      </c>
      <c r="S87" s="24">
        <v>1.3229166666666665</v>
      </c>
      <c r="T87" s="23">
        <v>1.4</v>
      </c>
      <c r="U87" s="23">
        <v>3.2958429787352781</v>
      </c>
      <c r="V87" s="23">
        <v>1.4</v>
      </c>
    </row>
    <row r="88" spans="1:22" x14ac:dyDescent="0.25">
      <c r="A88" s="16">
        <v>1905</v>
      </c>
      <c r="B88" s="2">
        <v>0.14046781329701885</v>
      </c>
      <c r="C88" s="2">
        <v>0.46505202758334641</v>
      </c>
      <c r="D88" s="2">
        <v>6.0432993814922509E-2</v>
      </c>
      <c r="E88" s="2">
        <v>5.3973851642165394E-2</v>
      </c>
      <c r="F88" s="2">
        <v>5.1090019226729622E-2</v>
      </c>
      <c r="G88" s="2">
        <v>5.5436853697181876E-2</v>
      </c>
      <c r="H88" s="2">
        <v>6.7048277120962951E-2</v>
      </c>
      <c r="I88" s="2">
        <v>6.2830342990253474E-2</v>
      </c>
      <c r="J88" s="2">
        <v>4.4993814200552817E-2</v>
      </c>
      <c r="K88" s="2">
        <v>6.0561526916277364E-2</v>
      </c>
      <c r="L88" s="2">
        <v>0.7994001398677536</v>
      </c>
      <c r="N88" s="2">
        <v>0.12923962749892443</v>
      </c>
      <c r="S88" s="24">
        <v>1.4208333333333332</v>
      </c>
      <c r="T88" s="23">
        <v>1.4112</v>
      </c>
      <c r="U88" s="23">
        <v>2.1324255952380953</v>
      </c>
      <c r="V88" s="23">
        <v>1.4112</v>
      </c>
    </row>
    <row r="89" spans="1:22" x14ac:dyDescent="0.25">
      <c r="A89" s="16">
        <v>1906</v>
      </c>
      <c r="B89" s="2">
        <v>0.1690384491726673</v>
      </c>
      <c r="C89" s="2">
        <v>0.48279081738590279</v>
      </c>
      <c r="D89" s="2">
        <v>4.168519512420843E-2</v>
      </c>
      <c r="E89" s="2">
        <v>4.3008906309147665E-2</v>
      </c>
      <c r="F89" s="2">
        <v>3.8176449593049444E-2</v>
      </c>
      <c r="G89" s="2">
        <v>4.0959009560341153E-2</v>
      </c>
      <c r="H89" s="2">
        <v>4.2462517266263933E-2</v>
      </c>
      <c r="I89" s="2">
        <v>7.7110801385154581E-2</v>
      </c>
      <c r="J89" s="2">
        <v>4.7008217301435784E-2</v>
      </c>
      <c r="K89" s="2">
        <v>6.2808941326159107E-2</v>
      </c>
      <c r="L89" s="2">
        <v>0.81412312700509126</v>
      </c>
      <c r="N89" s="2">
        <v>0.13091331790775104</v>
      </c>
      <c r="S89" s="24">
        <v>1.7057291666666665</v>
      </c>
      <c r="T89" s="23">
        <v>1.1018000000000001</v>
      </c>
      <c r="U89" s="23">
        <v>2.3682226562499999</v>
      </c>
      <c r="V89" s="23">
        <v>1.1018000000000001</v>
      </c>
    </row>
    <row r="90" spans="1:22" x14ac:dyDescent="0.25">
      <c r="A90" s="16">
        <v>1907</v>
      </c>
      <c r="B90" s="2">
        <v>0.19606900151193207</v>
      </c>
      <c r="C90" s="2">
        <v>0.45902001159511419</v>
      </c>
      <c r="D90" s="2">
        <v>4.6111975279014783E-2</v>
      </c>
      <c r="E90" s="2">
        <v>4.2796422851368754E-2</v>
      </c>
      <c r="F90" s="2">
        <v>4.0176284878663537E-2</v>
      </c>
      <c r="G90" s="2">
        <v>4.2378849717113032E-2</v>
      </c>
      <c r="H90" s="2">
        <v>5.1309153110996042E-2</v>
      </c>
      <c r="I90" s="2">
        <v>6.9730453367151668E-2</v>
      </c>
      <c r="J90" s="2">
        <v>5.4750937470164018E-2</v>
      </c>
      <c r="K90" s="2">
        <v>6.0988765288396585E-2</v>
      </c>
      <c r="L90" s="2">
        <v>0.81067136565717812</v>
      </c>
      <c r="N90" s="2">
        <v>0.12662910070260724</v>
      </c>
      <c r="S90" s="24">
        <v>1.8020833333333335</v>
      </c>
      <c r="T90" s="23">
        <v>1.0528</v>
      </c>
      <c r="U90" s="23">
        <v>2.6552799479166667</v>
      </c>
      <c r="V90" s="23">
        <v>1.0528</v>
      </c>
    </row>
    <row r="91" spans="1:22" x14ac:dyDescent="0.25">
      <c r="A91" s="16">
        <v>1908</v>
      </c>
      <c r="B91" s="2">
        <v>0.14833560745100027</v>
      </c>
      <c r="C91" s="2">
        <v>0.39428999630790573</v>
      </c>
      <c r="D91" s="2">
        <v>9.2656597086193782E-2</v>
      </c>
      <c r="E91" s="2">
        <v>4.6093197513268125E-2</v>
      </c>
      <c r="F91" s="2">
        <v>4.200301037006704E-2</v>
      </c>
      <c r="G91" s="2">
        <v>0.12901114486222554</v>
      </c>
      <c r="H91" s="2">
        <v>4.9213847858027515E-2</v>
      </c>
      <c r="I91" s="2">
        <v>7.1923248860981004E-2</v>
      </c>
      <c r="J91" s="2">
        <v>4.6115950071209166E-2</v>
      </c>
      <c r="K91" s="2">
        <v>5.3039654993612406E-2</v>
      </c>
      <c r="L91" s="2">
        <v>0.76317362418739265</v>
      </c>
      <c r="N91" s="2">
        <v>0.11399509947575168</v>
      </c>
      <c r="S91" s="24">
        <v>1.6197916666666667</v>
      </c>
      <c r="T91" s="23">
        <v>1.1115999999999999</v>
      </c>
      <c r="U91" s="23">
        <v>2.4240393518518517</v>
      </c>
      <c r="V91" s="23">
        <v>1.1115999999999999</v>
      </c>
    </row>
    <row r="92" spans="1:22" x14ac:dyDescent="0.25">
      <c r="A92" s="16">
        <v>1909</v>
      </c>
      <c r="B92" s="2">
        <v>0.16520646042038478</v>
      </c>
      <c r="C92" s="2">
        <v>0.41343069370285734</v>
      </c>
      <c r="D92" s="2">
        <v>4.1245946441941128E-2</v>
      </c>
      <c r="E92" s="2">
        <v>4.5070741161244099E-2</v>
      </c>
      <c r="F92" s="2">
        <v>4.0871940220713388E-2</v>
      </c>
      <c r="G92" s="2">
        <v>4.4422257338605387E-2</v>
      </c>
      <c r="H92" s="2">
        <v>3.8790513684513361E-2</v>
      </c>
      <c r="I92" s="2">
        <v>5.6520844997808184E-2</v>
      </c>
      <c r="J92" s="2">
        <v>4.2894287683369892E-2</v>
      </c>
      <c r="K92" s="2">
        <v>5.5625086494275444E-2</v>
      </c>
      <c r="L92" s="2">
        <v>0.76592708076725091</v>
      </c>
      <c r="N92" s="2">
        <v>0.1142504268565837</v>
      </c>
      <c r="S92" s="24">
        <v>1.7760416666666665</v>
      </c>
      <c r="T92" s="23">
        <v>0.99539999999999984</v>
      </c>
      <c r="U92" s="23">
        <v>2.2964583333333333</v>
      </c>
      <c r="V92" s="23">
        <v>0.99539999999999984</v>
      </c>
    </row>
    <row r="93" spans="1:22" x14ac:dyDescent="0.25">
      <c r="A93" s="16">
        <v>1910</v>
      </c>
      <c r="B93" s="2">
        <v>0.21724973409658854</v>
      </c>
      <c r="C93" s="2">
        <v>0.4914344958405511</v>
      </c>
      <c r="D93" s="2">
        <v>4.2881968047447927E-2</v>
      </c>
      <c r="E93" s="2">
        <v>4.1888429098275726E-2</v>
      </c>
      <c r="F93" s="2">
        <v>3.7010684279130013E-2</v>
      </c>
      <c r="G93" s="2">
        <v>4.0920465431490194E-2</v>
      </c>
      <c r="H93" s="2">
        <v>4.524112129823965E-2</v>
      </c>
      <c r="I93" s="2">
        <v>5.6811556753759929E-2</v>
      </c>
      <c r="J93" s="2">
        <v>3.9091319870532049E-2</v>
      </c>
      <c r="K93" s="2">
        <v>6.9161905965540282E-2</v>
      </c>
      <c r="L93" s="2">
        <v>0.83501396642452974</v>
      </c>
      <c r="N93" s="2">
        <v>0.1327560703178321</v>
      </c>
      <c r="S93" s="24">
        <v>1.875</v>
      </c>
      <c r="T93" s="23">
        <v>0.87360000000000004</v>
      </c>
      <c r="U93" s="23">
        <v>2.2964583333333333</v>
      </c>
      <c r="V93" s="23">
        <v>0.87360000000000004</v>
      </c>
    </row>
    <row r="94" spans="1:22" x14ac:dyDescent="0.25">
      <c r="A94" s="16">
        <v>1911</v>
      </c>
      <c r="B94" s="2">
        <v>0.23155539940649927</v>
      </c>
      <c r="C94" s="2">
        <v>0.53280510539241965</v>
      </c>
      <c r="D94" s="2">
        <v>4.219139672106742E-2</v>
      </c>
      <c r="E94" s="2">
        <v>4.1764864361426124E-2</v>
      </c>
      <c r="F94" s="2">
        <v>3.6541143359514638E-2</v>
      </c>
      <c r="G94" s="2">
        <v>3.9641691143766589E-2</v>
      </c>
      <c r="H94" s="2">
        <v>4.5484747410759363E-2</v>
      </c>
      <c r="I94" s="2">
        <v>3.802289428015615E-2</v>
      </c>
      <c r="J94" s="2">
        <v>4.9045301918189566E-2</v>
      </c>
      <c r="K94" s="2">
        <v>7.4473109768130707E-2</v>
      </c>
      <c r="L94" s="2">
        <v>0.8718588390938693</v>
      </c>
      <c r="N94" s="2">
        <v>0.14368484647001808</v>
      </c>
      <c r="S94" s="24">
        <v>1.8604166666666664</v>
      </c>
      <c r="T94" s="23">
        <v>0.87360000000000004</v>
      </c>
      <c r="U94" s="23">
        <v>2.2964583333333333</v>
      </c>
      <c r="V94" s="23">
        <v>0.87360000000000004</v>
      </c>
    </row>
    <row r="95" spans="1:22" x14ac:dyDescent="0.25">
      <c r="A95" s="16">
        <v>1912</v>
      </c>
      <c r="B95" s="2">
        <v>0.254668075882033</v>
      </c>
      <c r="C95" s="2">
        <v>0.55228761500031198</v>
      </c>
      <c r="D95" s="2">
        <v>4.2495220899056885E-2</v>
      </c>
      <c r="E95" s="2">
        <v>4.0909254435398945E-2</v>
      </c>
      <c r="F95" s="2">
        <v>3.6231457978991854E-2</v>
      </c>
      <c r="G95" s="2">
        <v>3.9565352652446095E-2</v>
      </c>
      <c r="H95" s="2">
        <v>4.6433347166505268E-2</v>
      </c>
      <c r="I95" s="2">
        <v>4.4900340041542974E-2</v>
      </c>
      <c r="J95" s="2">
        <v>7.8672076361789522E-2</v>
      </c>
      <c r="K95" s="2">
        <v>7.7279823340675513E-2</v>
      </c>
      <c r="L95" s="2">
        <v>0.89330983683847709</v>
      </c>
      <c r="N95" s="2">
        <v>0.15183508017224145</v>
      </c>
      <c r="S95" s="24">
        <v>2.161458333333333</v>
      </c>
      <c r="T95" s="23">
        <v>0.94359999999999999</v>
      </c>
      <c r="U95" s="23">
        <v>2.583515625</v>
      </c>
      <c r="V95" s="23">
        <v>0.94359999999999999</v>
      </c>
    </row>
    <row r="96" spans="1:22" x14ac:dyDescent="0.25">
      <c r="A96" s="16">
        <v>1913</v>
      </c>
      <c r="B96" s="2">
        <v>0.22415638427339013</v>
      </c>
      <c r="C96" s="2">
        <v>0.48974451064828417</v>
      </c>
      <c r="D96" s="2">
        <v>4.1729748415449408E-2</v>
      </c>
      <c r="E96" s="2">
        <v>4.0561375026369806E-2</v>
      </c>
      <c r="F96" s="2">
        <v>3.8135388805770054E-2</v>
      </c>
      <c r="G96" s="2">
        <v>4.0163751975755835E-2</v>
      </c>
      <c r="H96" s="2">
        <v>4.3554023545179343E-2</v>
      </c>
      <c r="I96" s="2">
        <v>3.089981020875987E-2</v>
      </c>
      <c r="J96" s="2">
        <v>4.7296876419873013E-2</v>
      </c>
      <c r="K96" s="2">
        <v>6.4520121589211943E-2</v>
      </c>
      <c r="L96" s="2">
        <v>0.87141496090146009</v>
      </c>
      <c r="N96" s="2">
        <v>0.13227653100181366</v>
      </c>
      <c r="S96" s="24">
        <v>2.140625</v>
      </c>
      <c r="T96" s="23">
        <v>1.7374000000000003</v>
      </c>
      <c r="U96" s="23">
        <v>3.2806547619047621</v>
      </c>
      <c r="V96" s="23">
        <v>1.7374000000000003</v>
      </c>
    </row>
    <row r="97" spans="4:22" x14ac:dyDescent="0.25">
      <c r="D97" s="2"/>
      <c r="S97" s="24">
        <v>2.3250000000000002</v>
      </c>
      <c r="T97" s="23">
        <v>1.4742</v>
      </c>
      <c r="U97" s="23">
        <v>3.157630208333333</v>
      </c>
      <c r="V97" s="23">
        <v>1.4742</v>
      </c>
    </row>
    <row r="98" spans="4:22" x14ac:dyDescent="0.25">
      <c r="D98" s="2"/>
    </row>
  </sheetData>
  <mergeCells count="2">
    <mergeCell ref="B1:N1"/>
    <mergeCell ref="S1:V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workbookViewId="0">
      <selection activeCell="W21" sqref="W21"/>
    </sheetView>
  </sheetViews>
  <sheetFormatPr defaultColWidth="8.85546875" defaultRowHeight="15" x14ac:dyDescent="0.25"/>
  <cols>
    <col min="2" max="2" width="12.42578125" bestFit="1" customWidth="1"/>
    <col min="3" max="3" width="11.42578125" bestFit="1" customWidth="1"/>
    <col min="4" max="4" width="10.42578125" bestFit="1" customWidth="1"/>
    <col min="5" max="6" width="11.42578125" bestFit="1" customWidth="1"/>
    <col min="7" max="7" width="10.42578125" bestFit="1" customWidth="1"/>
    <col min="8" max="8" width="11.42578125" bestFit="1" customWidth="1"/>
    <col min="9" max="9" width="12.42578125" bestFit="1" customWidth="1"/>
    <col min="10" max="10" width="11.42578125" bestFit="1" customWidth="1"/>
    <col min="13" max="13" width="8.85546875" style="65"/>
  </cols>
  <sheetData>
    <row r="1" spans="1:23" x14ac:dyDescent="0.25">
      <c r="A1" s="20" t="s">
        <v>101</v>
      </c>
      <c r="N1" s="20" t="s">
        <v>109</v>
      </c>
    </row>
    <row r="2" spans="1:23" x14ac:dyDescent="0.25">
      <c r="A2" t="s">
        <v>116</v>
      </c>
      <c r="N2" t="s">
        <v>110</v>
      </c>
    </row>
    <row r="3" spans="1:23" x14ac:dyDescent="0.25">
      <c r="A3" t="s">
        <v>103</v>
      </c>
      <c r="N3" t="s">
        <v>111</v>
      </c>
    </row>
    <row r="5" spans="1:23" x14ac:dyDescent="0.25">
      <c r="B5" t="s">
        <v>72</v>
      </c>
      <c r="C5" t="s">
        <v>73</v>
      </c>
      <c r="D5" t="s">
        <v>99</v>
      </c>
      <c r="E5" t="s">
        <v>100</v>
      </c>
      <c r="F5" t="s">
        <v>102</v>
      </c>
      <c r="G5" t="s">
        <v>104</v>
      </c>
      <c r="H5" t="s">
        <v>105</v>
      </c>
      <c r="I5" t="s">
        <v>106</v>
      </c>
      <c r="J5" t="s">
        <v>107</v>
      </c>
      <c r="L5" t="s">
        <v>108</v>
      </c>
      <c r="N5" t="s">
        <v>107</v>
      </c>
      <c r="O5" t="s">
        <v>104</v>
      </c>
      <c r="P5" t="s">
        <v>100</v>
      </c>
      <c r="Q5" t="s">
        <v>106</v>
      </c>
      <c r="R5" t="s">
        <v>146</v>
      </c>
      <c r="S5" t="s">
        <v>102</v>
      </c>
      <c r="T5" t="s">
        <v>99</v>
      </c>
      <c r="U5" t="s">
        <v>73</v>
      </c>
      <c r="W5" t="s">
        <v>112</v>
      </c>
    </row>
    <row r="6" spans="1:23" x14ac:dyDescent="0.25">
      <c r="A6" s="22">
        <v>1821</v>
      </c>
      <c r="B6" s="11">
        <v>2256125.8784981654</v>
      </c>
      <c r="C6" s="11">
        <v>420627.81757648604</v>
      </c>
      <c r="D6" s="11"/>
      <c r="E6" s="11"/>
      <c r="F6" s="11"/>
      <c r="G6" s="11"/>
      <c r="H6" s="11"/>
      <c r="I6" s="11"/>
      <c r="J6" s="11"/>
      <c r="L6" s="11">
        <f>SUM(B6:J6)</f>
        <v>2676753.6960746516</v>
      </c>
      <c r="N6" s="2">
        <v>1.9196308574500495E-2</v>
      </c>
      <c r="O6" s="2">
        <v>1.3887644476301407E-3</v>
      </c>
      <c r="P6" s="2">
        <v>9.6082340292088522E-2</v>
      </c>
      <c r="Q6" s="2">
        <v>5.8104112534719109E-2</v>
      </c>
      <c r="R6" s="2">
        <v>0.36303870620912104</v>
      </c>
      <c r="S6" s="2">
        <v>7.2988531493593758E-2</v>
      </c>
      <c r="T6" s="2">
        <v>1.4391631574231699E-2</v>
      </c>
      <c r="U6" s="2">
        <v>0.17370755308664099</v>
      </c>
      <c r="V6" s="2"/>
      <c r="W6" s="2">
        <v>0.53674625929576203</v>
      </c>
    </row>
    <row r="7" spans="1:23" x14ac:dyDescent="0.25">
      <c r="A7" s="22">
        <f>A6+1</f>
        <v>1822</v>
      </c>
      <c r="B7" s="11">
        <v>1995538.8826438552</v>
      </c>
      <c r="C7" s="11">
        <v>372652.66805443901</v>
      </c>
      <c r="D7" s="11"/>
      <c r="E7" s="11"/>
      <c r="F7" s="11"/>
      <c r="G7" s="11"/>
      <c r="H7" s="11"/>
      <c r="I7" s="11"/>
      <c r="J7" s="11"/>
      <c r="L7" s="11">
        <f t="shared" ref="L7:L70" si="0">SUM(B7:J7)</f>
        <v>2368191.5506982943</v>
      </c>
      <c r="N7" s="2">
        <v>1.9196308574500495E-2</v>
      </c>
      <c r="O7" s="2">
        <v>1.3887644476301407E-3</v>
      </c>
      <c r="P7" s="2">
        <v>9.6082340292088522E-2</v>
      </c>
      <c r="Q7" s="2">
        <v>5.8104112534719109E-2</v>
      </c>
      <c r="R7" s="2">
        <v>0.36303870620912104</v>
      </c>
      <c r="S7" s="2">
        <v>7.2988531493593758E-2</v>
      </c>
      <c r="T7" s="2">
        <v>1.4391631574231699E-2</v>
      </c>
      <c r="U7" s="2">
        <v>0.17370755308664099</v>
      </c>
      <c r="V7" s="2"/>
      <c r="W7" s="2">
        <v>0.53674625929576203</v>
      </c>
    </row>
    <row r="8" spans="1:23" x14ac:dyDescent="0.25">
      <c r="A8" s="22">
        <f t="shared" ref="A8:A15" si="1">A7+1</f>
        <v>1823</v>
      </c>
      <c r="B8" s="11">
        <v>1636297.9430746399</v>
      </c>
      <c r="C8" s="11">
        <v>363993.15562502918</v>
      </c>
      <c r="D8" s="11"/>
      <c r="E8" s="11"/>
      <c r="F8" s="11"/>
      <c r="G8" s="11"/>
      <c r="H8" s="11"/>
      <c r="I8" s="11"/>
      <c r="J8" s="11"/>
      <c r="L8" s="11">
        <f t="shared" si="0"/>
        <v>2000291.0986996691</v>
      </c>
      <c r="N8" s="2">
        <v>1.9196308574500495E-2</v>
      </c>
      <c r="O8" s="2">
        <v>1.3887644476301407E-3</v>
      </c>
      <c r="P8" s="2">
        <v>9.6082340292088522E-2</v>
      </c>
      <c r="Q8" s="2">
        <v>5.8104112534719109E-2</v>
      </c>
      <c r="R8" s="2">
        <v>0.36303870620912104</v>
      </c>
      <c r="S8" s="2">
        <v>7.2988531493593758E-2</v>
      </c>
      <c r="T8" s="2">
        <v>1.4391631574231699E-2</v>
      </c>
      <c r="U8" s="2">
        <v>0.17370755308664099</v>
      </c>
      <c r="V8" s="2"/>
      <c r="W8" s="2">
        <v>0.53674625929576203</v>
      </c>
    </row>
    <row r="9" spans="1:23" x14ac:dyDescent="0.25">
      <c r="A9" s="22">
        <f t="shared" si="1"/>
        <v>1824</v>
      </c>
      <c r="B9" s="11">
        <v>2397962.1673779492</v>
      </c>
      <c r="C9" s="11">
        <v>643570.47508272633</v>
      </c>
      <c r="D9" s="11"/>
      <c r="E9" s="11"/>
      <c r="F9" s="11"/>
      <c r="G9" s="11"/>
      <c r="H9" s="11"/>
      <c r="I9" s="11"/>
      <c r="J9" s="11"/>
      <c r="L9" s="11">
        <f t="shared" si="0"/>
        <v>3041532.6424606754</v>
      </c>
      <c r="N9" s="2">
        <v>1.9196308574500495E-2</v>
      </c>
      <c r="O9" s="2">
        <v>1.3887644476301407E-3</v>
      </c>
      <c r="P9" s="2">
        <v>9.6082340292088522E-2</v>
      </c>
      <c r="Q9" s="2">
        <v>5.8104112534719109E-2</v>
      </c>
      <c r="R9" s="2">
        <v>0.36303870620912104</v>
      </c>
      <c r="S9" s="2">
        <v>7.2988531493593758E-2</v>
      </c>
      <c r="T9" s="2">
        <v>1.4391631574231699E-2</v>
      </c>
      <c r="U9" s="2">
        <v>0.17370755308664099</v>
      </c>
      <c r="V9" s="2"/>
      <c r="W9" s="2">
        <v>0.53674625929576203</v>
      </c>
    </row>
    <row r="10" spans="1:23" x14ac:dyDescent="0.25">
      <c r="A10" s="22">
        <f t="shared" si="1"/>
        <v>1825</v>
      </c>
      <c r="B10" s="11">
        <v>2779256.1616526018</v>
      </c>
      <c r="C10" s="11">
        <v>702784.9125192432</v>
      </c>
      <c r="D10" s="11"/>
      <c r="E10" s="11"/>
      <c r="F10" s="11"/>
      <c r="G10" s="11"/>
      <c r="H10" s="11"/>
      <c r="I10" s="11"/>
      <c r="J10" s="11"/>
      <c r="L10" s="11">
        <f t="shared" si="0"/>
        <v>3482041.0741718449</v>
      </c>
      <c r="N10" s="2">
        <v>1.9196308574500495E-2</v>
      </c>
      <c r="O10" s="2">
        <v>1.3887644476301407E-3</v>
      </c>
      <c r="P10" s="2">
        <v>9.6082340292088522E-2</v>
      </c>
      <c r="Q10" s="2">
        <v>5.8104112534719109E-2</v>
      </c>
      <c r="R10" s="2">
        <v>0.36303870620912104</v>
      </c>
      <c r="S10" s="2">
        <v>7.2988531493593758E-2</v>
      </c>
      <c r="T10" s="2">
        <v>1.4391631574231699E-2</v>
      </c>
      <c r="U10" s="2">
        <v>0.17370755308664099</v>
      </c>
      <c r="V10" s="2"/>
      <c r="W10" s="2">
        <v>0.53674625929576203</v>
      </c>
    </row>
    <row r="11" spans="1:23" x14ac:dyDescent="0.25">
      <c r="A11" s="22">
        <f t="shared" si="1"/>
        <v>1826</v>
      </c>
      <c r="B11" s="11">
        <v>2784490.1677459176</v>
      </c>
      <c r="C11" s="11">
        <v>614932.62716655503</v>
      </c>
      <c r="D11" s="11"/>
      <c r="E11" s="11"/>
      <c r="F11" s="11"/>
      <c r="G11" s="11"/>
      <c r="H11" s="11"/>
      <c r="I11" s="11"/>
      <c r="J11" s="11"/>
      <c r="L11" s="11">
        <f t="shared" si="0"/>
        <v>3399422.7949124724</v>
      </c>
      <c r="N11" s="2">
        <v>1.9196308574500495E-2</v>
      </c>
      <c r="O11" s="2">
        <v>1.3887644476301407E-3</v>
      </c>
      <c r="P11" s="2">
        <v>9.6082340292088522E-2</v>
      </c>
      <c r="Q11" s="2">
        <v>5.8104112534719109E-2</v>
      </c>
      <c r="R11" s="2">
        <v>0.36303870620912104</v>
      </c>
      <c r="S11" s="2">
        <v>7.2988531493593758E-2</v>
      </c>
      <c r="T11" s="2">
        <v>1.4391631574231699E-2</v>
      </c>
      <c r="U11" s="2">
        <v>0.17370755308664099</v>
      </c>
      <c r="V11" s="2"/>
      <c r="W11" s="2">
        <v>0.53674625929576203</v>
      </c>
    </row>
    <row r="12" spans="1:23" x14ac:dyDescent="0.25">
      <c r="A12" s="22">
        <f t="shared" si="1"/>
        <v>1827</v>
      </c>
      <c r="B12" s="11">
        <v>2482787.6953666583</v>
      </c>
      <c r="C12" s="11">
        <v>489342.34280029772</v>
      </c>
      <c r="D12" s="11"/>
      <c r="E12" s="11">
        <v>585010.66903608839</v>
      </c>
      <c r="F12" s="11"/>
      <c r="G12" s="11"/>
      <c r="H12" s="11"/>
      <c r="I12" s="11"/>
      <c r="J12" s="11"/>
      <c r="L12" s="11">
        <f t="shared" si="0"/>
        <v>3557140.7072030446</v>
      </c>
      <c r="N12" s="2">
        <v>1.9196308574500495E-2</v>
      </c>
      <c r="O12" s="2">
        <v>1.3887644476301407E-3</v>
      </c>
      <c r="P12" s="2">
        <v>9.6082340292088522E-2</v>
      </c>
      <c r="Q12" s="2">
        <v>5.8104112534719109E-2</v>
      </c>
      <c r="R12" s="2">
        <v>0.36303870620912104</v>
      </c>
      <c r="S12" s="2">
        <v>7.2988531493593758E-2</v>
      </c>
      <c r="T12" s="2">
        <v>1.4391631574231699E-2</v>
      </c>
      <c r="U12" s="2">
        <v>0.17370755308664099</v>
      </c>
      <c r="V12" s="2"/>
      <c r="W12" s="2">
        <v>0.63282859958785054</v>
      </c>
    </row>
    <row r="13" spans="1:23" x14ac:dyDescent="0.25">
      <c r="A13" s="22">
        <f t="shared" si="1"/>
        <v>1828</v>
      </c>
      <c r="B13" s="11">
        <v>3746102.2628881647</v>
      </c>
      <c r="C13" s="11">
        <v>535836.78472509095</v>
      </c>
      <c r="D13" s="11"/>
      <c r="E13" s="11">
        <v>671640.36433867842</v>
      </c>
      <c r="F13" s="11"/>
      <c r="G13" s="11"/>
      <c r="H13" s="11"/>
      <c r="I13" s="11"/>
      <c r="J13" s="11"/>
      <c r="L13" s="11">
        <f t="shared" si="0"/>
        <v>4953579.411951934</v>
      </c>
      <c r="N13" s="2">
        <v>1.9196308574500495E-2</v>
      </c>
      <c r="O13" s="2">
        <v>1.3887644476301407E-3</v>
      </c>
      <c r="P13" s="2">
        <v>9.6082340292088522E-2</v>
      </c>
      <c r="Q13" s="2">
        <v>5.8104112534719109E-2</v>
      </c>
      <c r="R13" s="2">
        <v>0.36303870620912104</v>
      </c>
      <c r="S13" s="2">
        <v>7.2988531493593758E-2</v>
      </c>
      <c r="T13" s="2">
        <v>1.4391631574231699E-2</v>
      </c>
      <c r="U13" s="2">
        <v>0.17370755308664099</v>
      </c>
      <c r="V13" s="2"/>
      <c r="W13" s="2">
        <v>0.63282859958785054</v>
      </c>
    </row>
    <row r="14" spans="1:23" x14ac:dyDescent="0.25">
      <c r="A14" s="22">
        <f t="shared" si="1"/>
        <v>1829</v>
      </c>
      <c r="B14" s="11">
        <v>2679523.4764599632</v>
      </c>
      <c r="C14" s="11">
        <v>517184.78577723051</v>
      </c>
      <c r="D14" s="11"/>
      <c r="E14" s="11">
        <v>637805.36111198121</v>
      </c>
      <c r="F14" s="11"/>
      <c r="G14" s="11"/>
      <c r="H14" s="11"/>
      <c r="I14" s="11"/>
      <c r="J14" s="11"/>
      <c r="L14" s="11">
        <f t="shared" si="0"/>
        <v>3834513.6233491753</v>
      </c>
      <c r="N14" s="2">
        <v>1.9196308574500495E-2</v>
      </c>
      <c r="O14" s="2">
        <v>1.3887644476301407E-3</v>
      </c>
      <c r="P14" s="2">
        <v>9.6082340292088522E-2</v>
      </c>
      <c r="Q14" s="2">
        <v>5.8104112534719109E-2</v>
      </c>
      <c r="R14" s="2">
        <v>0.36303870620912104</v>
      </c>
      <c r="S14" s="2">
        <v>7.2988531493593758E-2</v>
      </c>
      <c r="T14" s="2">
        <v>1.4391631574231699E-2</v>
      </c>
      <c r="U14" s="2">
        <v>0.17370755308664099</v>
      </c>
      <c r="V14" s="2"/>
      <c r="W14" s="2">
        <v>0.63282859958785054</v>
      </c>
    </row>
    <row r="15" spans="1:23" x14ac:dyDescent="0.25">
      <c r="A15" s="22">
        <f t="shared" si="1"/>
        <v>1830</v>
      </c>
      <c r="B15" s="11">
        <v>2610914.8329266217</v>
      </c>
      <c r="C15" s="11">
        <v>466569.29099069885</v>
      </c>
      <c r="D15" s="11"/>
      <c r="E15" s="11">
        <v>480612.55746783549</v>
      </c>
      <c r="F15" s="11"/>
      <c r="G15" s="11"/>
      <c r="H15" s="11"/>
      <c r="I15" s="11"/>
      <c r="J15" s="11"/>
      <c r="L15" s="11">
        <f t="shared" si="0"/>
        <v>3558096.6813851562</v>
      </c>
      <c r="N15" s="2">
        <v>1.9196308574500495E-2</v>
      </c>
      <c r="O15" s="2">
        <v>1.3887644476301407E-3</v>
      </c>
      <c r="P15" s="2">
        <v>9.6082340292088522E-2</v>
      </c>
      <c r="Q15" s="2">
        <v>5.8104112534719109E-2</v>
      </c>
      <c r="R15" s="2">
        <v>0.36303870620912104</v>
      </c>
      <c r="S15" s="2">
        <v>7.2988531493593758E-2</v>
      </c>
      <c r="T15" s="2">
        <v>1.4391631574231699E-2</v>
      </c>
      <c r="U15" s="2">
        <v>0.17370755308664099</v>
      </c>
      <c r="V15" s="2"/>
      <c r="W15" s="2">
        <v>0.63282859958785054</v>
      </c>
    </row>
    <row r="16" spans="1:23" x14ac:dyDescent="0.25">
      <c r="A16">
        <v>1831</v>
      </c>
      <c r="B16" s="11">
        <v>1332782.7129806716</v>
      </c>
      <c r="C16" s="11">
        <v>556588.63707728195</v>
      </c>
      <c r="D16" s="11"/>
      <c r="E16" s="11">
        <v>248049.94354241592</v>
      </c>
      <c r="F16" s="11"/>
      <c r="G16" s="11"/>
      <c r="H16" s="11">
        <v>82847.953152158181</v>
      </c>
      <c r="I16" s="11"/>
      <c r="J16" s="11"/>
      <c r="L16" s="11">
        <f t="shared" si="0"/>
        <v>2220269.2467525275</v>
      </c>
      <c r="N16" s="2">
        <v>1.9196308574500495E-2</v>
      </c>
      <c r="O16" s="2">
        <v>1.3887644476301407E-3</v>
      </c>
      <c r="P16" s="2">
        <v>9.6082340292088522E-2</v>
      </c>
      <c r="Q16" s="2">
        <v>5.8104112534719109E-2</v>
      </c>
      <c r="R16" s="2">
        <v>0.36303870620912104</v>
      </c>
      <c r="S16" s="2">
        <v>7.2988531493593758E-2</v>
      </c>
      <c r="T16" s="2">
        <v>1.4391631574231699E-2</v>
      </c>
      <c r="U16" s="2">
        <v>0.17370755308664099</v>
      </c>
      <c r="V16" s="2"/>
      <c r="W16" s="2">
        <v>0.69093271212256968</v>
      </c>
    </row>
    <row r="17" spans="1:23" x14ac:dyDescent="0.25">
      <c r="A17">
        <v>1832</v>
      </c>
      <c r="B17" s="11">
        <v>2293836.095656273</v>
      </c>
      <c r="C17" s="11">
        <v>634789.98243539804</v>
      </c>
      <c r="D17" s="11"/>
      <c r="E17" s="11">
        <v>375849.56991623587</v>
      </c>
      <c r="F17" s="11"/>
      <c r="G17" s="11"/>
      <c r="H17" s="11">
        <v>237838.07007755429</v>
      </c>
      <c r="I17" s="11"/>
      <c r="J17" s="11"/>
      <c r="L17" s="11">
        <f t="shared" si="0"/>
        <v>3542313.7180854608</v>
      </c>
      <c r="N17" s="2">
        <v>1.9196308574500495E-2</v>
      </c>
      <c r="O17" s="2">
        <v>1.3887644476301407E-3</v>
      </c>
      <c r="P17" s="2">
        <v>9.6082340292088522E-2</v>
      </c>
      <c r="Q17" s="2">
        <v>5.8104112534719109E-2</v>
      </c>
      <c r="R17" s="2">
        <v>0.36303870620912104</v>
      </c>
      <c r="S17" s="2">
        <v>7.2988531493593758E-2</v>
      </c>
      <c r="T17" s="2">
        <v>1.4391631574231699E-2</v>
      </c>
      <c r="U17" s="2">
        <v>0.17370755308664099</v>
      </c>
      <c r="V17" s="2"/>
      <c r="W17" s="2">
        <v>0.69093271212256968</v>
      </c>
    </row>
    <row r="18" spans="1:23" x14ac:dyDescent="0.25">
      <c r="A18">
        <v>1833</v>
      </c>
      <c r="B18" s="11">
        <v>2753893.8286413183</v>
      </c>
      <c r="C18" s="11">
        <v>909128.54584864236</v>
      </c>
      <c r="D18" s="11"/>
      <c r="E18" s="11">
        <v>817198.65425921453</v>
      </c>
      <c r="F18" s="11"/>
      <c r="G18" s="11"/>
      <c r="H18" s="11">
        <v>258064.2790154629</v>
      </c>
      <c r="I18" s="11"/>
      <c r="J18" s="11"/>
      <c r="L18" s="11">
        <f t="shared" si="0"/>
        <v>4738285.3077646382</v>
      </c>
      <c r="N18" s="2">
        <v>1.9196308574500495E-2</v>
      </c>
      <c r="O18" s="2">
        <v>1.3887644476301407E-3</v>
      </c>
      <c r="P18" s="2">
        <v>9.6082340292088522E-2</v>
      </c>
      <c r="Q18" s="2">
        <v>5.8104112534719109E-2</v>
      </c>
      <c r="R18" s="2">
        <v>0.36303870620912104</v>
      </c>
      <c r="S18" s="2">
        <v>7.2988531493593758E-2</v>
      </c>
      <c r="T18" s="2">
        <v>1.4391631574231699E-2</v>
      </c>
      <c r="U18" s="2">
        <v>0.17370755308664099</v>
      </c>
      <c r="V18" s="2"/>
      <c r="W18" s="2">
        <v>0.69093271212256968</v>
      </c>
    </row>
    <row r="19" spans="1:23" x14ac:dyDescent="0.25">
      <c r="A19">
        <v>1834</v>
      </c>
      <c r="B19" s="11">
        <v>2639382.2306689965</v>
      </c>
      <c r="C19" s="11">
        <v>588329.78886081674</v>
      </c>
      <c r="D19" s="11"/>
      <c r="E19" s="11">
        <v>996241.99247720174</v>
      </c>
      <c r="F19" s="11"/>
      <c r="G19" s="11"/>
      <c r="H19" s="11">
        <v>220687.16594809075</v>
      </c>
      <c r="I19" s="11"/>
      <c r="J19" s="11">
        <v>11892.482562614974</v>
      </c>
      <c r="L19" s="11">
        <f t="shared" si="0"/>
        <v>4456533.6605177205</v>
      </c>
      <c r="N19" s="2">
        <v>1.9196308574500495E-2</v>
      </c>
      <c r="O19" s="2">
        <v>1.3887644476301407E-3</v>
      </c>
      <c r="P19" s="2">
        <v>9.6082340292088522E-2</v>
      </c>
      <c r="Q19" s="2">
        <v>5.8104112534719109E-2</v>
      </c>
      <c r="R19" s="2">
        <v>0.36303870620912104</v>
      </c>
      <c r="S19" s="2">
        <v>7.2988531493593758E-2</v>
      </c>
      <c r="T19" s="2">
        <v>1.4391631574231699E-2</v>
      </c>
      <c r="U19" s="2">
        <v>0.17370755308664099</v>
      </c>
      <c r="V19" s="2"/>
      <c r="W19" s="2">
        <v>0.71012902069707018</v>
      </c>
    </row>
    <row r="20" spans="1:23" x14ac:dyDescent="0.25">
      <c r="A20">
        <v>1835</v>
      </c>
      <c r="B20" s="11">
        <v>2812505.1970751947</v>
      </c>
      <c r="C20" s="11">
        <v>754075.23111106805</v>
      </c>
      <c r="D20" s="11"/>
      <c r="E20" s="11">
        <v>1169505.3994213343</v>
      </c>
      <c r="F20" s="11"/>
      <c r="G20" s="11"/>
      <c r="H20" s="11">
        <v>462137.42245586449</v>
      </c>
      <c r="I20" s="11"/>
      <c r="J20" s="11">
        <v>31639.505971551469</v>
      </c>
      <c r="L20" s="11">
        <f t="shared" si="0"/>
        <v>5229862.7560350141</v>
      </c>
      <c r="N20" s="2">
        <v>1.9196308574500495E-2</v>
      </c>
      <c r="O20" s="2">
        <v>1.3887644476301407E-3</v>
      </c>
      <c r="P20" s="2">
        <v>9.6082340292088522E-2</v>
      </c>
      <c r="Q20" s="2">
        <v>5.8104112534719109E-2</v>
      </c>
      <c r="R20" s="2">
        <v>0.36303870620912104</v>
      </c>
      <c r="S20" s="2">
        <v>7.2988531493593758E-2</v>
      </c>
      <c r="T20" s="2">
        <v>1.4391631574231699E-2</v>
      </c>
      <c r="U20" s="2">
        <v>0.17370755308664099</v>
      </c>
      <c r="V20" s="2"/>
      <c r="W20" s="2">
        <v>0.71012902069707018</v>
      </c>
    </row>
    <row r="21" spans="1:23" x14ac:dyDescent="0.25">
      <c r="A21">
        <v>1836</v>
      </c>
      <c r="B21" s="11">
        <v>3233217.2347171949</v>
      </c>
      <c r="C21" s="11">
        <v>991395.82453433936</v>
      </c>
      <c r="D21" s="11"/>
      <c r="E21" s="11">
        <v>1499522.130890328</v>
      </c>
      <c r="F21" s="11"/>
      <c r="G21" s="11"/>
      <c r="H21" s="11">
        <v>520597.94394811016</v>
      </c>
      <c r="I21" s="11"/>
      <c r="J21" s="11">
        <v>56513.883102262327</v>
      </c>
      <c r="L21" s="11">
        <f t="shared" si="0"/>
        <v>6301247.0171922352</v>
      </c>
      <c r="N21" s="2">
        <v>1.9196308574500495E-2</v>
      </c>
      <c r="O21" s="2">
        <v>1.3887644476301407E-3</v>
      </c>
      <c r="P21" s="2">
        <v>9.6082340292088522E-2</v>
      </c>
      <c r="Q21" s="2">
        <v>5.8104112534719109E-2</v>
      </c>
      <c r="R21" s="2">
        <v>0.36303870620912104</v>
      </c>
      <c r="S21" s="2">
        <v>7.2988531493593758E-2</v>
      </c>
      <c r="T21" s="2">
        <v>1.4391631574231699E-2</v>
      </c>
      <c r="U21" s="2">
        <v>0.17370755308664099</v>
      </c>
      <c r="V21" s="2"/>
      <c r="W21" s="2">
        <v>0.71012902069707018</v>
      </c>
    </row>
    <row r="22" spans="1:23" x14ac:dyDescent="0.25">
      <c r="A22">
        <v>1837</v>
      </c>
      <c r="B22" s="11">
        <v>1963987.6131635623</v>
      </c>
      <c r="C22" s="11">
        <v>463948.59502625832</v>
      </c>
      <c r="D22" s="11"/>
      <c r="E22" s="11">
        <v>1154955.1881253119</v>
      </c>
      <c r="F22" s="11">
        <v>585349.54625016835</v>
      </c>
      <c r="G22" s="11"/>
      <c r="H22" s="11">
        <v>667403.53894712648</v>
      </c>
      <c r="I22" s="11"/>
      <c r="J22" s="11">
        <v>94903.173505848536</v>
      </c>
      <c r="L22" s="11">
        <f t="shared" si="0"/>
        <v>4930547.6550182756</v>
      </c>
      <c r="N22" s="2">
        <v>1.81842447568018E-2</v>
      </c>
      <c r="O22" s="2">
        <v>0</v>
      </c>
      <c r="P22" s="2">
        <v>0.10406618298160852</v>
      </c>
      <c r="Q22" s="2">
        <v>5.3698412707730368E-2</v>
      </c>
      <c r="R22" s="2">
        <v>0.38487988648940119</v>
      </c>
      <c r="S22" s="2">
        <v>7.4981173689228214E-2</v>
      </c>
      <c r="T22" s="2">
        <v>1.4150995597881823E-2</v>
      </c>
      <c r="U22" s="2">
        <v>0.15957146114546691</v>
      </c>
      <c r="V22" s="2"/>
      <c r="W22" s="2">
        <v>0.79538136177023699</v>
      </c>
    </row>
    <row r="23" spans="1:23" x14ac:dyDescent="0.25">
      <c r="A23">
        <v>1838</v>
      </c>
      <c r="B23" s="11">
        <v>2827778.0038696015</v>
      </c>
      <c r="C23" s="11">
        <v>723635.0687125104</v>
      </c>
      <c r="D23" s="11"/>
      <c r="E23" s="11">
        <v>1357406.3825914247</v>
      </c>
      <c r="F23" s="11"/>
      <c r="G23" s="11"/>
      <c r="H23" s="11"/>
      <c r="I23" s="11"/>
      <c r="J23" s="11">
        <v>61971.44809032818</v>
      </c>
      <c r="L23" s="11">
        <f t="shared" si="0"/>
        <v>4970790.9032638641</v>
      </c>
      <c r="N23" s="2">
        <v>1.7225538758765133E-2</v>
      </c>
      <c r="O23" s="2">
        <v>0</v>
      </c>
      <c r="P23" s="2">
        <v>0.11271343315992645</v>
      </c>
      <c r="Q23" s="2">
        <v>4.9626771695493004E-2</v>
      </c>
      <c r="R23" s="2">
        <v>0.40803507860334215</v>
      </c>
      <c r="S23" s="2">
        <v>7.7028216526149329E-2</v>
      </c>
      <c r="T23" s="2">
        <v>1.391438318708914E-2</v>
      </c>
      <c r="U23" s="2">
        <v>0.1465857457527994</v>
      </c>
      <c r="V23" s="2"/>
      <c r="W23" s="2">
        <v>0.6845597962748331</v>
      </c>
    </row>
    <row r="24" spans="1:23" x14ac:dyDescent="0.25">
      <c r="A24">
        <v>1839</v>
      </c>
      <c r="B24" s="11">
        <v>2840281.241978555</v>
      </c>
      <c r="C24" s="11">
        <v>690780.98620612931</v>
      </c>
      <c r="D24" s="11"/>
      <c r="E24" s="11">
        <v>1335039.6383518665</v>
      </c>
      <c r="F24" s="11"/>
      <c r="G24" s="11"/>
      <c r="H24" s="11">
        <v>273738.10638151865</v>
      </c>
      <c r="I24" s="11"/>
      <c r="J24" s="11">
        <v>25778.212351499242</v>
      </c>
      <c r="L24" s="11">
        <f t="shared" si="0"/>
        <v>5165618.1852695681</v>
      </c>
      <c r="N24" s="2">
        <v>1.6317377460437685E-2</v>
      </c>
      <c r="O24" s="2">
        <v>0</v>
      </c>
      <c r="P24" s="2">
        <v>0.12207921584807646</v>
      </c>
      <c r="Q24" s="2">
        <v>4.5863859744257225E-2</v>
      </c>
      <c r="R24" s="2">
        <v>0.4325833362960641</v>
      </c>
      <c r="S24" s="2">
        <v>7.9131145183070517E-2</v>
      </c>
      <c r="T24" s="2">
        <v>1.3681727065629872E-2</v>
      </c>
      <c r="U24" s="2">
        <v>0.13465679077987658</v>
      </c>
      <c r="V24" s="2"/>
      <c r="W24" s="2">
        <v>0.75150058012871201</v>
      </c>
    </row>
    <row r="25" spans="1:23" x14ac:dyDescent="0.25">
      <c r="A25">
        <v>1840</v>
      </c>
      <c r="B25" s="11">
        <v>2841021.0284530697</v>
      </c>
      <c r="C25" s="11">
        <v>644399.22846993874</v>
      </c>
      <c r="D25" s="11"/>
      <c r="E25" s="11">
        <v>1795913.8982439255</v>
      </c>
      <c r="F25" s="11"/>
      <c r="G25" s="11"/>
      <c r="H25" s="11">
        <v>878381.64160145936</v>
      </c>
      <c r="I25" s="11"/>
      <c r="J25" s="11">
        <v>44947.811135230251</v>
      </c>
      <c r="L25" s="11">
        <f t="shared" si="0"/>
        <v>6204663.607903624</v>
      </c>
      <c r="N25" s="2">
        <v>1.5457096054596046E-2</v>
      </c>
      <c r="O25" s="2">
        <v>0</v>
      </c>
      <c r="P25" s="2">
        <v>0.13222323661222571</v>
      </c>
      <c r="Q25" s="2">
        <v>4.2386267709449518E-2</v>
      </c>
      <c r="R25" s="2">
        <v>0.45860846935403887</v>
      </c>
      <c r="S25" s="2">
        <v>8.1291485385209014E-2</v>
      </c>
      <c r="T25" s="2">
        <v>1.3452961082175622E-2</v>
      </c>
      <c r="U25" s="2">
        <v>0.12369859845522649</v>
      </c>
      <c r="V25" s="2"/>
      <c r="W25" s="2">
        <v>0.77237366818553654</v>
      </c>
    </row>
    <row r="26" spans="1:23" x14ac:dyDescent="0.25">
      <c r="A26">
        <v>1841</v>
      </c>
      <c r="B26" s="11">
        <v>2739911.6079190718</v>
      </c>
      <c r="C26" s="11">
        <v>683424.45628902572</v>
      </c>
      <c r="D26" s="11"/>
      <c r="E26" s="11">
        <v>1779488.2033963155</v>
      </c>
      <c r="F26" s="11"/>
      <c r="G26" s="11"/>
      <c r="H26" s="11">
        <v>285823.27452674229</v>
      </c>
      <c r="I26" s="11"/>
      <c r="J26" s="11">
        <v>65463.160545459985</v>
      </c>
      <c r="L26" s="11">
        <f t="shared" si="0"/>
        <v>5554110.7026766157</v>
      </c>
      <c r="N26" s="2">
        <v>1.4748022869052548E-2</v>
      </c>
      <c r="O26" s="2">
        <v>0</v>
      </c>
      <c r="P26" s="2">
        <v>0.14557251145593925</v>
      </c>
      <c r="Q26" s="2">
        <v>3.9770096072861201E-2</v>
      </c>
      <c r="R26" s="2">
        <v>0.49044840544745971</v>
      </c>
      <c r="S26" s="2">
        <v>8.3663777105251885E-2</v>
      </c>
      <c r="T26" s="2">
        <v>1.3237373485032334E-2</v>
      </c>
      <c r="U26" s="2">
        <v>0.11563974818346633</v>
      </c>
      <c r="V26" s="2"/>
      <c r="W26" s="2">
        <v>0.80617878402877896</v>
      </c>
    </row>
    <row r="27" spans="1:23" x14ac:dyDescent="0.25">
      <c r="A27">
        <v>1842</v>
      </c>
      <c r="B27" s="11">
        <v>1923218.1897365139</v>
      </c>
      <c r="C27" s="11">
        <v>684054.47029086866</v>
      </c>
      <c r="D27" s="11"/>
      <c r="E27" s="11">
        <v>1284910.3291741677</v>
      </c>
      <c r="F27" s="11">
        <v>306376.98136585485</v>
      </c>
      <c r="G27" s="11"/>
      <c r="H27" s="11">
        <v>300124.89587003581</v>
      </c>
      <c r="I27" s="11"/>
      <c r="J27" s="11">
        <v>52543.355695298553</v>
      </c>
      <c r="L27" s="11">
        <f t="shared" si="0"/>
        <v>4551228.2221327396</v>
      </c>
      <c r="N27" s="2">
        <v>1.2753188907319985E-2</v>
      </c>
      <c r="O27" s="2">
        <v>0</v>
      </c>
      <c r="P27" s="2">
        <v>0.12071749573961534</v>
      </c>
      <c r="Q27" s="2">
        <v>4.9312629370749525E-2</v>
      </c>
      <c r="R27" s="2">
        <v>0.48663170822968443</v>
      </c>
      <c r="S27" s="2">
        <v>8.0495611505694231E-2</v>
      </c>
      <c r="T27" s="2">
        <v>1.7061914773101199E-2</v>
      </c>
      <c r="U27" s="2">
        <v>0.11812375661278979</v>
      </c>
      <c r="V27" s="2"/>
      <c r="W27" s="2">
        <v>0.86803439036585339</v>
      </c>
    </row>
    <row r="28" spans="1:23" x14ac:dyDescent="0.25">
      <c r="A28">
        <v>1843</v>
      </c>
      <c r="B28" s="11">
        <v>2351520.4199639815</v>
      </c>
      <c r="C28" s="11">
        <v>463493.78433203575</v>
      </c>
      <c r="D28" s="11"/>
      <c r="E28" s="11">
        <v>1387445.6395165306</v>
      </c>
      <c r="F28" s="11">
        <v>255140.26168542347</v>
      </c>
      <c r="G28" s="11"/>
      <c r="H28" s="11">
        <v>187347.01062386669</v>
      </c>
      <c r="I28" s="11"/>
      <c r="J28" s="11">
        <v>38543.63957101119</v>
      </c>
      <c r="L28" s="11">
        <f t="shared" si="0"/>
        <v>4683490.7556928489</v>
      </c>
      <c r="N28" s="2">
        <v>1.2756831812516509E-2</v>
      </c>
      <c r="O28" s="2">
        <v>0</v>
      </c>
      <c r="P28" s="2">
        <v>0.11230499653068757</v>
      </c>
      <c r="Q28" s="2">
        <v>5.1843553540821007E-2</v>
      </c>
      <c r="R28" s="2">
        <v>0.49407030414829634</v>
      </c>
      <c r="S28" s="2">
        <v>8.0590568757871614E-2</v>
      </c>
      <c r="T28" s="2">
        <v>1.9050333570771814E-2</v>
      </c>
      <c r="U28" s="2">
        <v>0.11462312611084187</v>
      </c>
      <c r="V28" s="2"/>
      <c r="W28" s="2">
        <v>0.86618938090103503</v>
      </c>
    </row>
    <row r="29" spans="1:23" x14ac:dyDescent="0.25">
      <c r="A29">
        <v>1844</v>
      </c>
      <c r="B29" s="11">
        <v>2655444.3298177109</v>
      </c>
      <c r="C29" s="11">
        <v>731847.88429640699</v>
      </c>
      <c r="D29" s="11"/>
      <c r="E29" s="11">
        <v>1590128.7778434553</v>
      </c>
      <c r="F29" s="11">
        <v>262647.19412881025</v>
      </c>
      <c r="G29" s="11"/>
      <c r="H29" s="11">
        <v>262877.77534352348</v>
      </c>
      <c r="I29" s="11"/>
      <c r="J29" s="11">
        <v>84712.390474494299</v>
      </c>
      <c r="L29" s="11">
        <f t="shared" si="0"/>
        <v>5587658.3519044016</v>
      </c>
      <c r="N29" s="2">
        <v>1.2760475758296558E-2</v>
      </c>
      <c r="O29" s="2">
        <v>0</v>
      </c>
      <c r="P29" s="2">
        <v>0.10447874327150067</v>
      </c>
      <c r="Q29" s="2">
        <v>5.4504375005690803E-2</v>
      </c>
      <c r="R29" s="2">
        <v>0.50162260558240301</v>
      </c>
      <c r="S29" s="2">
        <v>8.0685638027084117E-2</v>
      </c>
      <c r="T29" s="2">
        <v>2.1270485404711208E-2</v>
      </c>
      <c r="U29" s="2">
        <v>0.11122623777103445</v>
      </c>
      <c r="V29" s="2"/>
      <c r="W29" s="2">
        <v>0.86527807541600965</v>
      </c>
    </row>
    <row r="30" spans="1:23" x14ac:dyDescent="0.25">
      <c r="A30">
        <v>1845</v>
      </c>
      <c r="B30" s="11">
        <v>2746940.6854136726</v>
      </c>
      <c r="C30" s="11">
        <v>738715.38219354942</v>
      </c>
      <c r="D30" s="11"/>
      <c r="E30" s="11">
        <v>1423475.0497083608</v>
      </c>
      <c r="F30" s="11"/>
      <c r="G30" s="11">
        <v>13759.014480640568</v>
      </c>
      <c r="H30" s="11">
        <v>272428.69319314841</v>
      </c>
      <c r="I30" s="11"/>
      <c r="J30" s="11">
        <v>74314.058102048526</v>
      </c>
      <c r="L30" s="11">
        <f t="shared" si="0"/>
        <v>5269632.8830914209</v>
      </c>
      <c r="N30" s="2">
        <v>1.2764120744957372E-2</v>
      </c>
      <c r="O30" s="2">
        <v>0</v>
      </c>
      <c r="P30" s="2">
        <v>9.7197881953625984E-2</v>
      </c>
      <c r="Q30" s="2">
        <v>5.7301760621440746E-2</v>
      </c>
      <c r="R30" s="2">
        <v>0.50929035062134231</v>
      </c>
      <c r="S30" s="2">
        <v>8.0780819445473481E-2</v>
      </c>
      <c r="T30" s="2">
        <v>2.3749376758745246E-2</v>
      </c>
      <c r="U30" s="2">
        <v>0.10793001716543245</v>
      </c>
      <c r="V30" s="2"/>
      <c r="W30" s="2">
        <v>0.78448413110679893</v>
      </c>
    </row>
    <row r="31" spans="1:23" x14ac:dyDescent="0.25">
      <c r="A31">
        <v>1846</v>
      </c>
      <c r="B31" s="11">
        <v>3031507.9245123039</v>
      </c>
      <c r="C31" s="11">
        <v>1795552.6461383204</v>
      </c>
      <c r="D31" s="11"/>
      <c r="E31" s="11">
        <v>1319956.5815937566</v>
      </c>
      <c r="F31" s="11"/>
      <c r="G31" s="11">
        <v>46489.788560524386</v>
      </c>
      <c r="H31" s="11">
        <v>1849113.7828114019</v>
      </c>
      <c r="I31" s="11"/>
      <c r="J31" s="11">
        <v>76606.633889446282</v>
      </c>
      <c r="L31" s="11">
        <f t="shared" si="0"/>
        <v>8119227.3575057536</v>
      </c>
      <c r="N31" s="2">
        <v>1.4769101531881429E-2</v>
      </c>
      <c r="O31" s="2">
        <v>6.3053261607248466E-3</v>
      </c>
      <c r="P31" s="2">
        <v>0.10274363200342648</v>
      </c>
      <c r="Q31" s="2">
        <v>5.1405005800231246E-2</v>
      </c>
      <c r="R31" s="2">
        <v>0.52940276177516199</v>
      </c>
      <c r="S31" s="2">
        <v>8.4158708306145358E-2</v>
      </c>
      <c r="T31" s="2">
        <v>2.3706540178969081E-2</v>
      </c>
      <c r="U31" s="2">
        <v>9.9713726326501606E-2</v>
      </c>
      <c r="V31" s="2"/>
      <c r="W31" s="2">
        <v>0.80433955359792753</v>
      </c>
    </row>
    <row r="32" spans="1:23" x14ac:dyDescent="0.25">
      <c r="A32">
        <v>1847</v>
      </c>
      <c r="B32" s="11">
        <v>2844909.7963804603</v>
      </c>
      <c r="C32" s="11">
        <v>727502.00574221159</v>
      </c>
      <c r="D32" s="11"/>
      <c r="E32" s="11">
        <v>1253381.0911121101</v>
      </c>
      <c r="F32" s="11"/>
      <c r="G32" s="11">
        <v>17453.585267288479</v>
      </c>
      <c r="H32" s="11">
        <v>245235.91169607104</v>
      </c>
      <c r="I32" s="11"/>
      <c r="J32" s="11">
        <v>96190.216493772663</v>
      </c>
      <c r="L32" s="11">
        <f t="shared" si="0"/>
        <v>5184672.6066919137</v>
      </c>
      <c r="N32" s="2">
        <v>1.4365894704509288E-2</v>
      </c>
      <c r="O32" s="2">
        <v>3.6051802205735698E-3</v>
      </c>
      <c r="P32" s="2">
        <v>0.10154475501441997</v>
      </c>
      <c r="Q32" s="2">
        <v>5.8061745934140499E-2</v>
      </c>
      <c r="R32" s="2">
        <v>0.4800107895214587</v>
      </c>
      <c r="S32" s="2">
        <v>0.10585724783907562</v>
      </c>
      <c r="T32" s="2">
        <v>1.8021909520586892E-2</v>
      </c>
      <c r="U32" s="2">
        <v>0.1165271696657318</v>
      </c>
      <c r="V32" s="2"/>
      <c r="W32" s="2">
        <v>0.77411553506083386</v>
      </c>
    </row>
    <row r="33" spans="1:23" x14ac:dyDescent="0.25">
      <c r="A33">
        <v>1848</v>
      </c>
      <c r="B33" s="11">
        <v>2265806.7038548924</v>
      </c>
      <c r="C33" s="11">
        <v>821952.43216746417</v>
      </c>
      <c r="D33" s="11"/>
      <c r="E33" s="11">
        <v>885528.00875750091</v>
      </c>
      <c r="F33" s="11">
        <v>347706.73474481638</v>
      </c>
      <c r="G33" s="11">
        <v>7738.8986188142189</v>
      </c>
      <c r="H33" s="11">
        <v>214056.20512460909</v>
      </c>
      <c r="I33" s="11"/>
      <c r="J33" s="11">
        <v>83977.76811146237</v>
      </c>
      <c r="L33" s="11">
        <f t="shared" si="0"/>
        <v>4626766.7513795597</v>
      </c>
      <c r="N33" s="2">
        <v>1.950970718025908E-2</v>
      </c>
      <c r="O33" s="2">
        <v>3.9713232454871329E-3</v>
      </c>
      <c r="P33" s="2">
        <v>0.12315717172984848</v>
      </c>
      <c r="Q33" s="2">
        <v>4.3724133194225842E-2</v>
      </c>
      <c r="R33" s="2">
        <v>0.4729902413845119</v>
      </c>
      <c r="S33" s="2">
        <v>0.10297840905184018</v>
      </c>
      <c r="T33" s="2">
        <v>1.4870743996577991E-2</v>
      </c>
      <c r="U33" s="2">
        <v>0.1260320568392537</v>
      </c>
      <c r="V33" s="2"/>
      <c r="W33" s="2">
        <v>0.89236304262542643</v>
      </c>
    </row>
    <row r="34" spans="1:23" x14ac:dyDescent="0.25">
      <c r="A34">
        <v>1849</v>
      </c>
      <c r="B34" s="11">
        <v>2681094.3723950339</v>
      </c>
      <c r="C34" s="11">
        <v>765390.16303435457</v>
      </c>
      <c r="D34" s="11">
        <v>27118.832370752931</v>
      </c>
      <c r="E34" s="11">
        <v>1127946.5664774093</v>
      </c>
      <c r="F34" s="11"/>
      <c r="G34" s="11"/>
      <c r="H34" s="11">
        <v>207558.40082640207</v>
      </c>
      <c r="I34" s="11"/>
      <c r="J34" s="11">
        <v>94133.999081653572</v>
      </c>
      <c r="L34" s="11">
        <f t="shared" si="0"/>
        <v>4903242.3341856059</v>
      </c>
      <c r="N34" s="2">
        <v>1.5592363160101756E-2</v>
      </c>
      <c r="O34" s="2">
        <v>1.735848252971209E-3</v>
      </c>
      <c r="P34" s="2">
        <v>0.11499911012044051</v>
      </c>
      <c r="Q34" s="2">
        <v>4.1103241071499499E-2</v>
      </c>
      <c r="R34" s="2">
        <v>0.52398106255168786</v>
      </c>
      <c r="S34" s="2">
        <v>8.6707599436223692E-2</v>
      </c>
      <c r="T34" s="2">
        <v>1.2558575286768547E-2</v>
      </c>
      <c r="U34" s="2">
        <v>0.12259673785196089</v>
      </c>
      <c r="V34" s="2"/>
      <c r="W34" s="2">
        <v>0.83083109004245903</v>
      </c>
    </row>
    <row r="35" spans="1:23" x14ac:dyDescent="0.25">
      <c r="A35">
        <v>1850</v>
      </c>
      <c r="B35" s="11">
        <v>2820280.8232224588</v>
      </c>
      <c r="C35" s="11">
        <v>840738.98690893338</v>
      </c>
      <c r="D35" s="11">
        <v>27034.780526519557</v>
      </c>
      <c r="E35" s="11">
        <v>1193377.2125039834</v>
      </c>
      <c r="F35" s="11"/>
      <c r="G35" s="11">
        <v>291.98786588732571</v>
      </c>
      <c r="H35" s="11">
        <v>315368.89105371805</v>
      </c>
      <c r="I35" s="11"/>
      <c r="J35" s="11">
        <v>114336.85322859834</v>
      </c>
      <c r="L35" s="11">
        <f t="shared" si="0"/>
        <v>5311429.5353100998</v>
      </c>
      <c r="N35" s="2">
        <v>1.6883072742657528E-2</v>
      </c>
      <c r="O35" s="2">
        <v>2.1895681923689426E-3</v>
      </c>
      <c r="P35" s="2">
        <v>0.11538191577440476</v>
      </c>
      <c r="Q35" s="2">
        <v>4.5217327876075492E-2</v>
      </c>
      <c r="R35" s="2">
        <v>0.52676528202474837</v>
      </c>
      <c r="S35" s="2">
        <v>8.0555958513508233E-2</v>
      </c>
      <c r="T35" s="2">
        <v>1.1219849213990846E-2</v>
      </c>
      <c r="U35" s="2">
        <v>0.11348374430677698</v>
      </c>
      <c r="V35" s="2"/>
      <c r="W35" s="2">
        <v>0.831140760131023</v>
      </c>
    </row>
    <row r="36" spans="1:23" x14ac:dyDescent="0.25">
      <c r="A36">
        <v>1851</v>
      </c>
      <c r="B36" s="11">
        <v>3900617.236640051</v>
      </c>
      <c r="C36" s="11">
        <v>990351.36378870299</v>
      </c>
      <c r="D36" s="11">
        <v>31639.011959066996</v>
      </c>
      <c r="E36" s="11">
        <v>1817541.4553957575</v>
      </c>
      <c r="F36" s="11">
        <v>415406.04037335742</v>
      </c>
      <c r="G36" s="11">
        <v>108841.94112523508</v>
      </c>
      <c r="H36" s="11">
        <v>533651.91626103316</v>
      </c>
      <c r="I36" s="11"/>
      <c r="J36" s="11">
        <v>139727.41374819702</v>
      </c>
      <c r="L36" s="11">
        <f t="shared" si="0"/>
        <v>7937776.3792914012</v>
      </c>
      <c r="N36" s="2">
        <v>1.8280625092367681E-2</v>
      </c>
      <c r="O36" s="2">
        <v>2.7618824749385028E-3</v>
      </c>
      <c r="P36" s="2">
        <v>0.11576599570056603</v>
      </c>
      <c r="Q36" s="2">
        <v>4.9743199975298781E-2</v>
      </c>
      <c r="R36" s="2">
        <v>0.52956429569292052</v>
      </c>
      <c r="S36" s="2">
        <v>7.4840757836954389E-2</v>
      </c>
      <c r="T36" s="2">
        <v>1.002382941616959E-2</v>
      </c>
      <c r="U36" s="2">
        <v>0.10504814767124693</v>
      </c>
      <c r="V36" s="2"/>
      <c r="W36" s="2">
        <v>0.90602873386046245</v>
      </c>
    </row>
    <row r="37" spans="1:23" x14ac:dyDescent="0.25">
      <c r="A37">
        <v>1852</v>
      </c>
      <c r="B37" s="11">
        <v>3836382.9503902891</v>
      </c>
      <c r="C37" s="11">
        <v>737902.39201020519</v>
      </c>
      <c r="D37" s="11">
        <v>45066.425858117393</v>
      </c>
      <c r="E37" s="11">
        <v>1775081.6286285003</v>
      </c>
      <c r="F37" s="11"/>
      <c r="G37" s="11">
        <v>50380.365357248542</v>
      </c>
      <c r="H37" s="11">
        <v>602066.19898167765</v>
      </c>
      <c r="I37" s="11"/>
      <c r="J37" s="11">
        <v>147463.10204432276</v>
      </c>
      <c r="L37" s="11">
        <f t="shared" si="0"/>
        <v>7194343.0632703612</v>
      </c>
      <c r="N37" s="2">
        <v>1.9793864473695334E-2</v>
      </c>
      <c r="O37" s="2">
        <v>3.4837895581226598E-3</v>
      </c>
      <c r="P37" s="2">
        <v>0.1161513541406841</v>
      </c>
      <c r="Q37" s="2">
        <v>5.4722073594529311E-2</v>
      </c>
      <c r="R37" s="2">
        <v>0.53237818216646149</v>
      </c>
      <c r="S37" s="2">
        <v>6.9531033296195061E-2</v>
      </c>
      <c r="T37" s="2">
        <v>8.9553036095328716E-3</v>
      </c>
      <c r="U37" s="2">
        <v>9.7239594944358132E-2</v>
      </c>
      <c r="V37" s="2"/>
      <c r="W37" s="2">
        <v>0.8327241624873839</v>
      </c>
    </row>
    <row r="38" spans="1:23" x14ac:dyDescent="0.25">
      <c r="A38">
        <v>1853</v>
      </c>
      <c r="B38" s="11">
        <v>3541352.6988257752</v>
      </c>
      <c r="C38" s="11">
        <v>972221.53682914993</v>
      </c>
      <c r="D38" s="11">
        <v>58076.587149899628</v>
      </c>
      <c r="E38" s="11">
        <v>2100193.5272642877</v>
      </c>
      <c r="F38" s="11"/>
      <c r="G38" s="11">
        <v>25682.241448123914</v>
      </c>
      <c r="H38" s="11">
        <v>672270.45393067924</v>
      </c>
      <c r="I38" s="11"/>
      <c r="J38" s="11">
        <v>127424.2229856778</v>
      </c>
      <c r="L38" s="11">
        <f t="shared" si="0"/>
        <v>7497221.2684335932</v>
      </c>
      <c r="N38" s="2">
        <v>2.1712638750831945E-2</v>
      </c>
      <c r="O38" s="2">
        <v>4.9383202379825238E-3</v>
      </c>
      <c r="P38" s="2">
        <v>0.11654057231032508</v>
      </c>
      <c r="Q38" s="2">
        <v>6.1341287434704954E-2</v>
      </c>
      <c r="R38" s="2">
        <v>0.5352371369887341</v>
      </c>
      <c r="S38" s="2">
        <v>6.5284436969952037E-2</v>
      </c>
      <c r="T38" s="2">
        <v>8.1989776688971942E-3</v>
      </c>
      <c r="U38" s="2">
        <v>9.1064503155009968E-2</v>
      </c>
      <c r="V38" s="2"/>
      <c r="W38" s="2">
        <v>0.83903343654648577</v>
      </c>
    </row>
    <row r="39" spans="1:23" x14ac:dyDescent="0.25">
      <c r="A39">
        <v>1854</v>
      </c>
      <c r="B39" s="11">
        <v>3344410.3220826341</v>
      </c>
      <c r="C39" s="11">
        <v>1014384.8576992874</v>
      </c>
      <c r="D39" s="11">
        <v>104667.0370719026</v>
      </c>
      <c r="E39" s="11">
        <v>1947936.1361232861</v>
      </c>
      <c r="F39" s="11"/>
      <c r="G39" s="11">
        <v>26599.632101288873</v>
      </c>
      <c r="H39" s="11">
        <v>685010.10280072002</v>
      </c>
      <c r="I39" s="11"/>
      <c r="J39" s="11">
        <v>143240.33205251943</v>
      </c>
      <c r="L39" s="11">
        <f t="shared" si="0"/>
        <v>7266248.419931639</v>
      </c>
      <c r="N39" s="2">
        <v>1.9715738704528508E-2</v>
      </c>
      <c r="O39" s="2">
        <v>1.3307900991123674E-2</v>
      </c>
      <c r="P39" s="2">
        <v>0.11769575496704497</v>
      </c>
      <c r="Q39" s="2">
        <v>5.7613261920935653E-2</v>
      </c>
      <c r="R39" s="2">
        <v>0.53609595358880635</v>
      </c>
      <c r="S39" s="2">
        <v>7.6300706731923851E-2</v>
      </c>
      <c r="T39" s="2">
        <v>1.4512061342786762E-2</v>
      </c>
      <c r="U39" s="2">
        <v>8.2468948512139692E-2</v>
      </c>
      <c r="V39" s="2"/>
      <c r="W39" s="2">
        <v>0.84140962002736552</v>
      </c>
    </row>
    <row r="40" spans="1:23" x14ac:dyDescent="0.25">
      <c r="A40">
        <v>1855</v>
      </c>
      <c r="B40" s="11">
        <v>3829874.8061108799</v>
      </c>
      <c r="C40" s="11">
        <v>1042275.6411596638</v>
      </c>
      <c r="D40" s="11">
        <v>120968.98987270301</v>
      </c>
      <c r="E40" s="11">
        <v>2207116.0861229482</v>
      </c>
      <c r="F40" s="11">
        <v>729375.78884353803</v>
      </c>
      <c r="G40" s="11"/>
      <c r="H40" s="11">
        <v>624512.24518045073</v>
      </c>
      <c r="I40" s="11"/>
      <c r="J40" s="11">
        <v>158913.69848515064</v>
      </c>
      <c r="L40" s="11">
        <f t="shared" si="0"/>
        <v>8713037.2557753343</v>
      </c>
      <c r="N40" s="2">
        <v>2.4985724043687398E-2</v>
      </c>
      <c r="O40" s="2">
        <v>2.6418383586665197E-3</v>
      </c>
      <c r="P40" s="2">
        <v>0.12037345625500404</v>
      </c>
      <c r="Q40" s="2">
        <v>5.2762923941207851E-2</v>
      </c>
      <c r="R40" s="2">
        <v>0.54609575804445676</v>
      </c>
      <c r="S40" s="2">
        <v>6.4247941481523879E-2</v>
      </c>
      <c r="T40" s="2">
        <v>1.2482641031201828E-2</v>
      </c>
      <c r="U40" s="2">
        <v>6.2228251808994772E-2</v>
      </c>
      <c r="V40" s="2"/>
      <c r="W40" s="2">
        <v>0.88317669660607645</v>
      </c>
    </row>
    <row r="41" spans="1:23" x14ac:dyDescent="0.25">
      <c r="A41">
        <v>1856</v>
      </c>
      <c r="B41" s="11">
        <v>4731641.3838684438</v>
      </c>
      <c r="C41" s="11">
        <v>1216134.2336614081</v>
      </c>
      <c r="D41" s="11">
        <v>156020.48405611928</v>
      </c>
      <c r="E41" s="11">
        <v>3095687.2645263495</v>
      </c>
      <c r="F41" s="11">
        <v>955775.96831730404</v>
      </c>
      <c r="G41" s="11">
        <v>32970.145551899477</v>
      </c>
      <c r="H41" s="11">
        <v>798165.47856969654</v>
      </c>
      <c r="I41" s="11"/>
      <c r="J41" s="11">
        <v>167581.16071424124</v>
      </c>
      <c r="L41" s="11">
        <f t="shared" si="0"/>
        <v>11153976.119265461</v>
      </c>
      <c r="N41" s="2">
        <v>1.6743223608185243E-2</v>
      </c>
      <c r="O41" s="2">
        <v>7.4467632796477983E-3</v>
      </c>
      <c r="P41" s="2">
        <v>0.13302600267320205</v>
      </c>
      <c r="Q41" s="2">
        <v>6.0541746405126509E-2</v>
      </c>
      <c r="R41" s="2">
        <v>0.59513526188219379</v>
      </c>
      <c r="S41" s="2">
        <v>5.3611615518730234E-2</v>
      </c>
      <c r="T41" s="2">
        <v>1.142778290891747E-2</v>
      </c>
      <c r="U41" s="2">
        <v>6.2793902898074558E-2</v>
      </c>
      <c r="V41" s="2"/>
      <c r="W41" s="2">
        <v>0.94072629917407768</v>
      </c>
    </row>
    <row r="42" spans="1:23" x14ac:dyDescent="0.25">
      <c r="A42">
        <v>1857</v>
      </c>
      <c r="B42" s="11">
        <v>6358258.1109933043</v>
      </c>
      <c r="C42" s="11">
        <v>1330439.2879763045</v>
      </c>
      <c r="D42" s="11">
        <v>191592.52587815156</v>
      </c>
      <c r="E42" s="11">
        <v>3852739.0843566465</v>
      </c>
      <c r="F42" s="11"/>
      <c r="G42" s="11">
        <v>72950.556948928759</v>
      </c>
      <c r="H42" s="11"/>
      <c r="I42" s="11"/>
      <c r="J42" s="11">
        <v>196321.77079354064</v>
      </c>
      <c r="L42" s="11">
        <f t="shared" si="0"/>
        <v>12002301.336946877</v>
      </c>
      <c r="N42" s="2">
        <v>2.0640921698537335E-2</v>
      </c>
      <c r="O42" s="2">
        <v>2.8779501559993352E-3</v>
      </c>
      <c r="P42" s="2">
        <v>0.14493996610305546</v>
      </c>
      <c r="Q42" s="2">
        <v>6.5078978565967949E-2</v>
      </c>
      <c r="R42" s="2">
        <v>0.53854221081370623</v>
      </c>
      <c r="S42" s="2">
        <v>6.2068117587539391E-2</v>
      </c>
      <c r="T42" s="2">
        <v>1.0809307099924715E-2</v>
      </c>
      <c r="U42" s="2">
        <v>7.9373903856277031E-2</v>
      </c>
      <c r="V42" s="2"/>
      <c r="W42" s="2">
        <v>0.79718425972750018</v>
      </c>
    </row>
    <row r="43" spans="1:23" x14ac:dyDescent="0.25">
      <c r="A43">
        <v>1858</v>
      </c>
      <c r="B43" s="11">
        <v>4582553.5308090942</v>
      </c>
      <c r="C43" s="11">
        <v>1171314.4094155168</v>
      </c>
      <c r="D43" s="11">
        <v>179788.27784761577</v>
      </c>
      <c r="E43" s="11">
        <v>3032344.3056740337</v>
      </c>
      <c r="F43" s="11"/>
      <c r="G43" s="11">
        <v>82910.494456867003</v>
      </c>
      <c r="H43" s="11"/>
      <c r="I43" s="11"/>
      <c r="J43" s="11">
        <v>188253.59153000358</v>
      </c>
      <c r="L43" s="11">
        <f t="shared" si="0"/>
        <v>9237164.6097331308</v>
      </c>
      <c r="N43" s="2">
        <v>1.531063581666546E-2</v>
      </c>
      <c r="O43" s="2">
        <v>7.087929493398335E-3</v>
      </c>
      <c r="P43" s="2">
        <v>0.14490480402503703</v>
      </c>
      <c r="Q43" s="2">
        <v>5.1787612358393138E-2</v>
      </c>
      <c r="R43" s="2">
        <v>0.53109116907730824</v>
      </c>
      <c r="S43" s="2">
        <v>5.6896139236545788E-2</v>
      </c>
      <c r="T43" s="2">
        <v>1.2644620184606058E-2</v>
      </c>
      <c r="U43" s="2">
        <v>0.10472610926299293</v>
      </c>
      <c r="V43" s="2"/>
      <c r="W43" s="2">
        <v>0.81576526786000814</v>
      </c>
    </row>
    <row r="44" spans="1:23" x14ac:dyDescent="0.25">
      <c r="A44">
        <v>1859</v>
      </c>
      <c r="B44" s="11">
        <v>4240087.3817087291</v>
      </c>
      <c r="C44" s="11">
        <v>1489735.9509124812</v>
      </c>
      <c r="D44" s="11">
        <v>191695.29484772007</v>
      </c>
      <c r="E44" s="11">
        <v>3604633.3054256323</v>
      </c>
      <c r="F44" s="11"/>
      <c r="G44" s="11">
        <v>95387.10365415625</v>
      </c>
      <c r="H44" s="11"/>
      <c r="I44" s="11"/>
      <c r="J44" s="11">
        <v>165320.24865768428</v>
      </c>
      <c r="L44" s="11">
        <f t="shared" si="0"/>
        <v>9786859.2852064036</v>
      </c>
      <c r="N44" s="2">
        <v>2.1717458044326222E-2</v>
      </c>
      <c r="O44" s="2">
        <v>5.9482800834948554E-3</v>
      </c>
      <c r="P44" s="2">
        <v>0.17338286412495038</v>
      </c>
      <c r="Q44" s="2">
        <v>3.4296343666197028E-2</v>
      </c>
      <c r="R44" s="2">
        <v>0.46227586747016641</v>
      </c>
      <c r="S44" s="2">
        <v>6.2330465690460093E-2</v>
      </c>
      <c r="T44" s="2">
        <v>1.5728684400230255E-2</v>
      </c>
      <c r="U44" s="2">
        <v>0.11547465360222563</v>
      </c>
      <c r="V44" s="2"/>
      <c r="W44" s="2">
        <v>0.79452780772539378</v>
      </c>
    </row>
    <row r="45" spans="1:23" x14ac:dyDescent="0.25">
      <c r="A45">
        <v>1860</v>
      </c>
      <c r="B45" s="11">
        <v>5049071.10400833</v>
      </c>
      <c r="C45" s="11">
        <v>1500665.2291689143</v>
      </c>
      <c r="D45" s="11">
        <v>195698.46948226367</v>
      </c>
      <c r="E45" s="11">
        <v>3479323.4660114269</v>
      </c>
      <c r="F45" s="11"/>
      <c r="G45" s="11">
        <v>35530.395990117111</v>
      </c>
      <c r="H45" s="11"/>
      <c r="I45" s="11"/>
      <c r="J45" s="11">
        <v>184257.02989300565</v>
      </c>
      <c r="L45" s="11">
        <f t="shared" si="0"/>
        <v>10444545.694554057</v>
      </c>
      <c r="N45" s="2">
        <v>1.7394337900409736E-2</v>
      </c>
      <c r="O45" s="2">
        <v>1.0636800012764997E-3</v>
      </c>
      <c r="P45" s="2">
        <v>0.17208133351925489</v>
      </c>
      <c r="Q45" s="2">
        <v>4.6818446169717434E-2</v>
      </c>
      <c r="R45" s="2">
        <v>0.49616979244165121</v>
      </c>
      <c r="S45" s="2">
        <v>5.6645583943811348E-2</v>
      </c>
      <c r="T45" s="2">
        <v>1.6035601405259347E-2</v>
      </c>
      <c r="U45" s="2">
        <v>9.6703559092140137E-2</v>
      </c>
      <c r="V45" s="2"/>
      <c r="W45" s="2">
        <v>0.79944830435999203</v>
      </c>
    </row>
    <row r="46" spans="1:23" x14ac:dyDescent="0.25">
      <c r="A46">
        <v>1861</v>
      </c>
      <c r="B46" s="11">
        <v>5199411.8799988003</v>
      </c>
      <c r="C46" s="11">
        <v>1190399.0076810836</v>
      </c>
      <c r="D46" s="11">
        <v>171731.71184209795</v>
      </c>
      <c r="E46" s="11">
        <v>3955153.1311805891</v>
      </c>
      <c r="F46" s="11">
        <v>640495.49697802879</v>
      </c>
      <c r="G46" s="11">
        <v>69581.838467981172</v>
      </c>
      <c r="H46" s="11"/>
      <c r="I46" s="11"/>
      <c r="J46" s="11">
        <v>157635.22819649315</v>
      </c>
      <c r="L46" s="11">
        <f t="shared" si="0"/>
        <v>11384408.294345075</v>
      </c>
      <c r="N46" s="2">
        <v>1.5742261922671814E-2</v>
      </c>
      <c r="O46" s="2">
        <v>1.5979889511943057E-3</v>
      </c>
      <c r="P46" s="2">
        <v>0.16263180031828517</v>
      </c>
      <c r="Q46" s="2">
        <v>5.5178660658875917E-2</v>
      </c>
      <c r="R46" s="2">
        <v>0.51861219161068528</v>
      </c>
      <c r="S46" s="2">
        <v>5.7531265603940507E-2</v>
      </c>
      <c r="T46" s="2">
        <v>2.1566260427511495E-2</v>
      </c>
      <c r="U46" s="2">
        <v>6.511199567087092E-2</v>
      </c>
      <c r="V46" s="2"/>
      <c r="W46" s="2">
        <v>0.84279376450515953</v>
      </c>
    </row>
    <row r="47" spans="1:23" x14ac:dyDescent="0.25">
      <c r="A47">
        <v>1862</v>
      </c>
      <c r="B47" s="11">
        <v>4256041.816826487</v>
      </c>
      <c r="C47" s="11">
        <v>895768.23375064519</v>
      </c>
      <c r="D47" s="11">
        <v>202035.98528581407</v>
      </c>
      <c r="E47" s="11">
        <v>4028385.4332567598</v>
      </c>
      <c r="F47" s="11"/>
      <c r="G47" s="11">
        <v>3034.6000139650109</v>
      </c>
      <c r="H47" s="11"/>
      <c r="I47" s="11"/>
      <c r="J47" s="11">
        <v>118282.82835684287</v>
      </c>
      <c r="L47" s="11">
        <f t="shared" si="0"/>
        <v>9503548.8974905144</v>
      </c>
      <c r="N47" s="2">
        <v>1.017546577128659E-2</v>
      </c>
      <c r="O47" s="2">
        <v>0</v>
      </c>
      <c r="P47" s="2">
        <v>0.18554628659457423</v>
      </c>
      <c r="Q47" s="2">
        <v>5.4296766860517889E-2</v>
      </c>
      <c r="R47" s="2">
        <v>0.51238831018991071</v>
      </c>
      <c r="S47" s="2">
        <v>6.0219780193159746E-2</v>
      </c>
      <c r="T47" s="2">
        <v>1.8719089685168912E-2</v>
      </c>
      <c r="U47" s="2">
        <v>6.1007050447886693E-2</v>
      </c>
      <c r="V47" s="2"/>
      <c r="W47" s="2">
        <v>0.78783620268882704</v>
      </c>
    </row>
    <row r="48" spans="1:23" x14ac:dyDescent="0.25">
      <c r="A48">
        <v>1863</v>
      </c>
      <c r="B48" s="11">
        <v>4483571.8474480957</v>
      </c>
      <c r="C48" s="11">
        <v>1170440.9753121063</v>
      </c>
      <c r="D48" s="11">
        <v>151557.0149372411</v>
      </c>
      <c r="E48" s="11">
        <v>3553885.9118202874</v>
      </c>
      <c r="F48" s="11"/>
      <c r="G48" s="11">
        <v>80049.520454303201</v>
      </c>
      <c r="H48" s="11"/>
      <c r="I48" s="11"/>
      <c r="J48" s="11">
        <v>137973.93222345802</v>
      </c>
      <c r="L48" s="11">
        <f t="shared" si="0"/>
        <v>9577479.2021954898</v>
      </c>
      <c r="N48" s="2">
        <v>1.4676672419940936E-2</v>
      </c>
      <c r="O48" s="2">
        <v>1.1920919738268349E-3</v>
      </c>
      <c r="P48" s="2">
        <v>0.18781972983653455</v>
      </c>
      <c r="Q48" s="2">
        <v>4.4323867013014454E-2</v>
      </c>
      <c r="R48" s="2">
        <v>0.52694256512052928</v>
      </c>
      <c r="S48" s="2">
        <v>5.1577625011809618E-2</v>
      </c>
      <c r="T48" s="2">
        <v>1.8286464296344757E-2</v>
      </c>
      <c r="U48" s="2">
        <v>5.0871140540062802E-2</v>
      </c>
      <c r="V48" s="2"/>
      <c r="W48" s="2">
        <v>0.79978866418723915</v>
      </c>
    </row>
    <row r="49" spans="1:23" x14ac:dyDescent="0.25">
      <c r="A49">
        <v>1864</v>
      </c>
      <c r="B49" s="11">
        <v>6981979.5552143408</v>
      </c>
      <c r="C49" s="11">
        <v>1270359.1879342028</v>
      </c>
      <c r="D49" s="11">
        <v>205052.75280479313</v>
      </c>
      <c r="E49" s="11">
        <v>5609860.9032596685</v>
      </c>
      <c r="F49" s="11"/>
      <c r="G49" s="11">
        <v>64873.848850309165</v>
      </c>
      <c r="H49" s="11"/>
      <c r="I49" s="11"/>
      <c r="J49" s="11">
        <v>215385.31609696776</v>
      </c>
      <c r="L49" s="11">
        <f t="shared" si="0"/>
        <v>14347511.564160282</v>
      </c>
      <c r="N49" s="2">
        <v>1.643752852781348E-2</v>
      </c>
      <c r="O49" s="2">
        <v>5.6199659640456864E-3</v>
      </c>
      <c r="P49" s="2">
        <v>0.13345727787364534</v>
      </c>
      <c r="Q49" s="2">
        <v>2.2916573774423157E-2</v>
      </c>
      <c r="R49" s="2">
        <v>0.42177110165014192</v>
      </c>
      <c r="S49" s="2">
        <v>5.2619582533219508E-2</v>
      </c>
      <c r="T49" s="2">
        <v>1.5636740087987062E-2</v>
      </c>
      <c r="U49" s="2">
        <v>0.13136078529808964</v>
      </c>
      <c r="V49" s="2"/>
      <c r="W49" s="2">
        <v>0.72428339940172315</v>
      </c>
    </row>
    <row r="50" spans="1:23" x14ac:dyDescent="0.25">
      <c r="A50">
        <v>1865</v>
      </c>
      <c r="B50" s="11">
        <v>6309775.1760724038</v>
      </c>
      <c r="C50" s="11">
        <v>1478767.9614891282</v>
      </c>
      <c r="D50" s="11">
        <v>219959.0541538675</v>
      </c>
      <c r="E50" s="11">
        <v>5159509.380369355</v>
      </c>
      <c r="F50" s="11">
        <v>617509.44542596361</v>
      </c>
      <c r="G50" s="11">
        <v>47246.300730336494</v>
      </c>
      <c r="H50" s="11"/>
      <c r="I50" s="11"/>
      <c r="J50" s="11">
        <v>117623.58221675725</v>
      </c>
      <c r="L50" s="11">
        <f t="shared" si="0"/>
        <v>13950390.900457811</v>
      </c>
      <c r="N50" s="2">
        <v>7.840764991509817E-3</v>
      </c>
      <c r="O50" s="2">
        <v>1.2709133193783998E-3</v>
      </c>
      <c r="P50" s="2">
        <v>0.16257108716080942</v>
      </c>
      <c r="Q50" s="2">
        <v>4.1778288321300976E-2</v>
      </c>
      <c r="R50" s="2">
        <v>0.53405858407273943</v>
      </c>
      <c r="S50" s="2">
        <v>5.1521013315059663E-2</v>
      </c>
      <c r="T50" s="2">
        <v>1.5786377362918443E-2</v>
      </c>
      <c r="U50" s="2">
        <v>4.7110160294040165E-2</v>
      </c>
      <c r="V50" s="2"/>
      <c r="W50" s="2">
        <v>0.82015890051645524</v>
      </c>
    </row>
    <row r="51" spans="1:23" x14ac:dyDescent="0.25">
      <c r="A51">
        <v>1866</v>
      </c>
      <c r="B51" s="11">
        <v>8032660.476654009</v>
      </c>
      <c r="C51" s="11">
        <v>1308359.916050239</v>
      </c>
      <c r="D51" s="11">
        <v>153454.91294756829</v>
      </c>
      <c r="E51" s="11">
        <v>5024654.172710998</v>
      </c>
      <c r="F51" s="11">
        <v>694574.81516120234</v>
      </c>
      <c r="G51" s="11">
        <v>59772.695813823673</v>
      </c>
      <c r="H51" s="11"/>
      <c r="I51" s="11"/>
      <c r="J51" s="11">
        <v>130810.16610548877</v>
      </c>
      <c r="L51" s="11">
        <f t="shared" si="0"/>
        <v>15404287.155443329</v>
      </c>
      <c r="N51" s="2">
        <v>9.2962098250223401E-3</v>
      </c>
      <c r="O51" s="2">
        <v>3.7427445178546182E-3</v>
      </c>
      <c r="P51" s="2">
        <v>0.15348913565087111</v>
      </c>
      <c r="Q51" s="2">
        <v>3.0250876153253458E-2</v>
      </c>
      <c r="R51" s="2">
        <v>0.40615684375954919</v>
      </c>
      <c r="S51" s="2">
        <v>3.889256584430522E-2</v>
      </c>
      <c r="T51" s="2">
        <v>5.6167965228395731E-3</v>
      </c>
      <c r="U51" s="2">
        <v>2.9972928292330257E-2</v>
      </c>
      <c r="V51" s="2"/>
      <c r="W51" s="2">
        <v>0.6471672244127723</v>
      </c>
    </row>
    <row r="52" spans="1:23" x14ac:dyDescent="0.25">
      <c r="A52">
        <v>1867</v>
      </c>
      <c r="B52" s="11">
        <v>6370975.5118118273</v>
      </c>
      <c r="C52" s="11">
        <v>1154654.80267371</v>
      </c>
      <c r="D52" s="11">
        <v>179043.68610704655</v>
      </c>
      <c r="E52" s="11">
        <v>4374197.4673290653</v>
      </c>
      <c r="F52" s="11">
        <v>610720.46583354927</v>
      </c>
      <c r="G52" s="11">
        <v>48170.658009394981</v>
      </c>
      <c r="H52" s="11"/>
      <c r="I52" s="11"/>
      <c r="J52" s="11">
        <v>173552.32463496004</v>
      </c>
      <c r="L52" s="11">
        <f t="shared" si="0"/>
        <v>12911314.916399552</v>
      </c>
      <c r="N52" s="2">
        <v>1.121450531791399E-2</v>
      </c>
      <c r="O52" s="2">
        <v>4.4727713727746891E-3</v>
      </c>
      <c r="P52" s="2">
        <v>0.1434502477963252</v>
      </c>
      <c r="Q52" s="2">
        <v>3.949270719575243E-2</v>
      </c>
      <c r="R52" s="2">
        <v>0.43293463053837389</v>
      </c>
      <c r="S52" s="2">
        <v>4.3422060028212507E-2</v>
      </c>
      <c r="T52" s="2">
        <v>9.8271588856266735E-3</v>
      </c>
      <c r="U52" s="2">
        <v>3.5026406039713999E-2</v>
      </c>
      <c r="V52" s="2"/>
      <c r="W52" s="2">
        <v>0.68034777997894091</v>
      </c>
    </row>
    <row r="53" spans="1:23" x14ac:dyDescent="0.25">
      <c r="A53">
        <v>1868</v>
      </c>
      <c r="B53" s="11">
        <v>6014107.5840753196</v>
      </c>
      <c r="C53" s="11">
        <v>1299861.2545666695</v>
      </c>
      <c r="D53" s="11">
        <v>190904.65282275886</v>
      </c>
      <c r="E53" s="11">
        <v>3398392.8043750678</v>
      </c>
      <c r="F53" s="11">
        <v>653616.43228864146</v>
      </c>
      <c r="G53" s="11">
        <v>62132.402128136615</v>
      </c>
      <c r="H53" s="11"/>
      <c r="I53" s="11"/>
      <c r="J53" s="11">
        <v>108473.17871303836</v>
      </c>
      <c r="L53" s="11">
        <f t="shared" si="0"/>
        <v>11727488.308969632</v>
      </c>
      <c r="N53" s="2">
        <v>1.3528645748399824E-2</v>
      </c>
      <c r="O53" s="2">
        <v>5.3451908506381976E-3</v>
      </c>
      <c r="P53" s="2">
        <v>0.1340679488848911</v>
      </c>
      <c r="Q53" s="2">
        <v>5.1557975172289154E-2</v>
      </c>
      <c r="R53" s="2">
        <v>0.46147786796954976</v>
      </c>
      <c r="S53" s="2">
        <v>4.8479066787252556E-2</v>
      </c>
      <c r="T53" s="2">
        <v>1.7193617637857522E-2</v>
      </c>
      <c r="U53" s="2">
        <v>4.0931907222853843E-2</v>
      </c>
      <c r="V53" s="2"/>
      <c r="W53" s="2">
        <v>0.72102424510144292</v>
      </c>
    </row>
    <row r="54" spans="1:23" x14ac:dyDescent="0.25">
      <c r="A54">
        <v>1869</v>
      </c>
      <c r="B54" s="11">
        <v>7811933.0291809533</v>
      </c>
      <c r="C54" s="11">
        <v>1343732.907453229</v>
      </c>
      <c r="D54" s="11"/>
      <c r="E54" s="11">
        <v>4347809.9816665174</v>
      </c>
      <c r="F54" s="11">
        <v>778480.72249070276</v>
      </c>
      <c r="G54" s="11"/>
      <c r="H54" s="11"/>
      <c r="I54" s="11"/>
      <c r="J54" s="11">
        <v>420530.04679281119</v>
      </c>
      <c r="L54" s="11">
        <f t="shared" si="0"/>
        <v>14702486.687584212</v>
      </c>
      <c r="N54" s="2">
        <v>1.7264701877349256E-2</v>
      </c>
      <c r="O54" s="2">
        <v>6.7192249093697889E-3</v>
      </c>
      <c r="P54" s="2">
        <v>0.1261429940470532</v>
      </c>
      <c r="Q54" s="2">
        <v>7.564443154111182E-2</v>
      </c>
      <c r="R54" s="2">
        <v>0.49498547090455502</v>
      </c>
      <c r="S54" s="2">
        <v>5.5157250802247579E-2</v>
      </c>
      <c r="T54" s="2">
        <v>5.3227103507279966E-2</v>
      </c>
      <c r="U54" s="2">
        <v>4.9704664982953041E-2</v>
      </c>
      <c r="V54" s="2"/>
      <c r="W54" s="2">
        <v>0.74325508261415807</v>
      </c>
    </row>
    <row r="55" spans="1:23" x14ac:dyDescent="0.25">
      <c r="A55">
        <v>1870</v>
      </c>
      <c r="B55" s="11">
        <v>6092738.187074068</v>
      </c>
      <c r="C55" s="11">
        <v>1309740.0932905371</v>
      </c>
      <c r="D55" s="11">
        <v>137976.26124989183</v>
      </c>
      <c r="E55" s="11">
        <v>2902295.849396524</v>
      </c>
      <c r="F55" s="11">
        <v>756101.34415727633</v>
      </c>
      <c r="G55" s="11">
        <v>21435.656384885402</v>
      </c>
      <c r="H55" s="11"/>
      <c r="I55" s="11"/>
      <c r="J55" s="11">
        <v>175946.62855073335</v>
      </c>
      <c r="L55" s="11">
        <f t="shared" si="0"/>
        <v>11396234.020103915</v>
      </c>
      <c r="N55" s="2">
        <v>2.5307436764191629E-2</v>
      </c>
      <c r="O55" s="2">
        <v>1.462145937754983E-3</v>
      </c>
      <c r="P55" s="2">
        <v>9.0438133815129967E-2</v>
      </c>
      <c r="Q55" s="2">
        <v>5.7140255274507522E-2</v>
      </c>
      <c r="R55" s="2">
        <v>0.55385170183005017</v>
      </c>
      <c r="S55" s="2">
        <v>6.758509150250612E-2</v>
      </c>
      <c r="T55" s="2">
        <v>1.4652785872479311E-2</v>
      </c>
      <c r="U55" s="2">
        <v>5.5634397948478846E-2</v>
      </c>
      <c r="V55" s="2"/>
      <c r="W55" s="2">
        <v>0.80893169367059103</v>
      </c>
    </row>
    <row r="56" spans="1:23" x14ac:dyDescent="0.25">
      <c r="A56">
        <v>1871</v>
      </c>
      <c r="B56" s="11">
        <v>7137086.850648175</v>
      </c>
      <c r="C56" s="11">
        <v>1367780.5548946175</v>
      </c>
      <c r="D56" s="11">
        <v>234862.54742623289</v>
      </c>
      <c r="E56" s="11">
        <v>2785565.0656469697</v>
      </c>
      <c r="F56" s="11">
        <v>835931.49049565359</v>
      </c>
      <c r="G56" s="11">
        <v>6818.7330044571727</v>
      </c>
      <c r="H56" s="11"/>
      <c r="I56" s="11"/>
      <c r="J56" s="11">
        <v>294907.8270289927</v>
      </c>
      <c r="L56" s="11">
        <f t="shared" si="0"/>
        <v>12662953.069145098</v>
      </c>
      <c r="N56" s="2">
        <v>2.6511165488238245E-2</v>
      </c>
      <c r="O56" s="2">
        <v>8.4450176922173188E-4</v>
      </c>
      <c r="P56" s="2">
        <v>0.12766946567103465</v>
      </c>
      <c r="Q56" s="2">
        <v>6.7842484313237514E-2</v>
      </c>
      <c r="R56" s="2">
        <v>0.54330077022098533</v>
      </c>
      <c r="S56" s="2">
        <v>6.2642829440961306E-2</v>
      </c>
      <c r="T56" s="2">
        <v>1.6662645229670373E-2</v>
      </c>
      <c r="U56" s="2">
        <v>4.9477571119429097E-2</v>
      </c>
      <c r="V56" s="2"/>
      <c r="W56" s="2">
        <v>0.82710894893954079</v>
      </c>
    </row>
    <row r="57" spans="1:23" x14ac:dyDescent="0.25">
      <c r="A57">
        <v>1872</v>
      </c>
      <c r="B57" s="11">
        <v>8562560.8966149911</v>
      </c>
      <c r="C57" s="11">
        <v>1357347.8386534664</v>
      </c>
      <c r="D57" s="11">
        <v>213315.58364648587</v>
      </c>
      <c r="E57" s="11">
        <v>4150004.8776332578</v>
      </c>
      <c r="F57" s="11">
        <v>834199.66816358268</v>
      </c>
      <c r="G57" s="11">
        <v>23681.281693098914</v>
      </c>
      <c r="H57" s="11"/>
      <c r="I57" s="11"/>
      <c r="J57" s="11">
        <v>378648.7330817437</v>
      </c>
      <c r="L57" s="11">
        <f t="shared" si="0"/>
        <v>15519758.879486626</v>
      </c>
      <c r="N57" s="2">
        <v>2.3539117441010244E-2</v>
      </c>
      <c r="O57" s="2">
        <v>1.6467747842476199E-3</v>
      </c>
      <c r="P57" s="2">
        <v>0.14576987518710449</v>
      </c>
      <c r="Q57" s="2">
        <v>6.8382945002443685E-2</v>
      </c>
      <c r="R57" s="2">
        <v>0.51534033558220282</v>
      </c>
      <c r="S57" s="2">
        <v>7.9785313142424E-2</v>
      </c>
      <c r="T57" s="2">
        <v>1.6549416642314903E-2</v>
      </c>
      <c r="U57" s="2">
        <v>5.6042023701817004E-2</v>
      </c>
      <c r="V57" s="2"/>
      <c r="W57" s="2">
        <v>0.838672856481121</v>
      </c>
    </row>
    <row r="58" spans="1:23" x14ac:dyDescent="0.25">
      <c r="A58">
        <v>1873</v>
      </c>
      <c r="B58" s="11">
        <v>8726354.217576582</v>
      </c>
      <c r="C58" s="11">
        <v>1655375.3976007311</v>
      </c>
      <c r="D58" s="11">
        <v>129613.55863283102</v>
      </c>
      <c r="E58" s="11">
        <v>4137765.1285774722</v>
      </c>
      <c r="F58" s="11">
        <v>864721.25182086974</v>
      </c>
      <c r="G58" s="11">
        <v>38533.991159428573</v>
      </c>
      <c r="H58" s="11"/>
      <c r="I58" s="11"/>
      <c r="J58" s="11">
        <v>326995.43219861452</v>
      </c>
      <c r="L58" s="11">
        <f t="shared" si="0"/>
        <v>15879358.977566527</v>
      </c>
      <c r="N58" s="2">
        <v>2.5530546245283982E-2</v>
      </c>
      <c r="O58" s="2">
        <v>1.597533470926925E-3</v>
      </c>
      <c r="P58" s="2">
        <v>0.14895580317450496</v>
      </c>
      <c r="Q58" s="2">
        <v>7.1048005334270428E-2</v>
      </c>
      <c r="R58" s="2">
        <v>0.49693286917364066</v>
      </c>
      <c r="S58" s="2">
        <v>7.8079635515725873E-2</v>
      </c>
      <c r="T58" s="2">
        <v>1.4065397670087097E-2</v>
      </c>
      <c r="U58" s="2">
        <v>5.9459679518894151E-2</v>
      </c>
      <c r="V58" s="2"/>
      <c r="W58" s="2">
        <v>0.82462146476906362</v>
      </c>
    </row>
    <row r="59" spans="1:23" x14ac:dyDescent="0.25">
      <c r="A59">
        <v>1874</v>
      </c>
      <c r="B59" s="11">
        <v>8921514.3966888413</v>
      </c>
      <c r="C59" s="11">
        <v>1758516.4933185012</v>
      </c>
      <c r="D59" s="11">
        <v>128596.33340300412</v>
      </c>
      <c r="E59" s="11">
        <v>3666238.9879112002</v>
      </c>
      <c r="F59" s="11">
        <v>1037728.6360038053</v>
      </c>
      <c r="G59" s="11">
        <v>77846.006800135292</v>
      </c>
      <c r="H59" s="11"/>
      <c r="I59" s="11"/>
      <c r="J59" s="11">
        <v>440872.34301377425</v>
      </c>
      <c r="L59" s="11">
        <f t="shared" si="0"/>
        <v>16031313.197139263</v>
      </c>
      <c r="N59" s="2">
        <v>2.7690451573472837E-2</v>
      </c>
      <c r="O59" s="2">
        <v>1.5497645550225257E-3</v>
      </c>
      <c r="P59" s="2">
        <v>0.15221136240174749</v>
      </c>
      <c r="Q59" s="2">
        <v>7.3816929964015648E-2</v>
      </c>
      <c r="R59" s="2">
        <v>0.47918289994934132</v>
      </c>
      <c r="S59" s="2">
        <v>7.6410422446872184E-2</v>
      </c>
      <c r="T59" s="2">
        <v>1.1954222671018493E-2</v>
      </c>
      <c r="U59" s="2">
        <v>6.3085756990159753E-2</v>
      </c>
      <c r="V59" s="2"/>
      <c r="W59" s="2">
        <v>0.81208488058763462</v>
      </c>
    </row>
    <row r="60" spans="1:23" x14ac:dyDescent="0.25">
      <c r="A60">
        <v>1875</v>
      </c>
      <c r="B60" s="11">
        <v>7928465.9081686214</v>
      </c>
      <c r="C60" s="11">
        <v>1764750.2004923054</v>
      </c>
      <c r="D60" s="11">
        <v>146502.28155734736</v>
      </c>
      <c r="E60" s="11">
        <v>4038268.2054119818</v>
      </c>
      <c r="F60" s="11">
        <v>1004967.4095223628</v>
      </c>
      <c r="G60" s="11">
        <v>57759.508593721264</v>
      </c>
      <c r="H60" s="11"/>
      <c r="I60" s="11"/>
      <c r="J60" s="11">
        <v>371857.66229999566</v>
      </c>
      <c r="L60" s="11">
        <f t="shared" si="0"/>
        <v>15312571.176046336</v>
      </c>
      <c r="N60" s="2">
        <v>3.0033086678843812E-2</v>
      </c>
      <c r="O60" s="2">
        <v>1.5034240093953122E-3</v>
      </c>
      <c r="P60" s="2">
        <v>0.15553807472041853</v>
      </c>
      <c r="Q60" s="2">
        <v>7.6693766752154877E-2</v>
      </c>
      <c r="R60" s="2">
        <v>0.46206694273553245</v>
      </c>
      <c r="S60" s="2">
        <v>7.477689438411296E-2</v>
      </c>
      <c r="T60" s="2">
        <v>1.0159928856629875E-2</v>
      </c>
      <c r="U60" s="2">
        <v>6.6932966461025895E-2</v>
      </c>
      <c r="V60" s="2"/>
      <c r="W60" s="2">
        <v>0.80101131784595891</v>
      </c>
    </row>
    <row r="61" spans="1:23" x14ac:dyDescent="0.25">
      <c r="A61">
        <v>1876</v>
      </c>
      <c r="B61" s="11">
        <v>6925323.9163160427</v>
      </c>
      <c r="C61" s="11">
        <v>1679664.7981541681</v>
      </c>
      <c r="D61" s="11">
        <v>38936.747118572333</v>
      </c>
      <c r="E61" s="11">
        <v>4093425.0158217377</v>
      </c>
      <c r="F61" s="11">
        <v>889598.90828589187</v>
      </c>
      <c r="G61" s="11">
        <v>52921.408418663734</v>
      </c>
      <c r="H61" s="11"/>
      <c r="I61" s="11"/>
      <c r="J61" s="11">
        <v>341931.20413382689</v>
      </c>
      <c r="L61" s="11">
        <f t="shared" si="0"/>
        <v>14021801.998248903</v>
      </c>
      <c r="N61" s="2">
        <v>3.2573910651678903E-2</v>
      </c>
      <c r="O61" s="2">
        <v>1.4584691233910836E-3</v>
      </c>
      <c r="P61" s="2">
        <v>0.15893749524350068</v>
      </c>
      <c r="Q61" s="2">
        <v>7.9682721314761631E-2</v>
      </c>
      <c r="R61" s="2">
        <v>0.44556235122650123</v>
      </c>
      <c r="S61" s="2">
        <v>7.3178288441221304E-2</v>
      </c>
      <c r="T61" s="2">
        <v>8.6349532891029715E-3</v>
      </c>
      <c r="U61" s="2">
        <v>7.1014793402124354E-2</v>
      </c>
      <c r="V61" s="2"/>
      <c r="W61" s="2">
        <v>0.79136026137752058</v>
      </c>
    </row>
    <row r="62" spans="1:23" x14ac:dyDescent="0.25">
      <c r="A62">
        <v>1877</v>
      </c>
      <c r="B62" s="11">
        <v>7129088.7422479736</v>
      </c>
      <c r="C62" s="11">
        <v>1741899.8700080474</v>
      </c>
      <c r="D62" s="11">
        <v>82017.61535844118</v>
      </c>
      <c r="E62" s="11">
        <v>4002145.4944850001</v>
      </c>
      <c r="F62" s="11">
        <v>1265065.1221867576</v>
      </c>
      <c r="G62" s="11">
        <v>17966.002728302909</v>
      </c>
      <c r="H62" s="11"/>
      <c r="I62" s="11"/>
      <c r="J62" s="11">
        <v>583395.3184586576</v>
      </c>
      <c r="L62" s="11">
        <f t="shared" si="0"/>
        <v>14821578.16547318</v>
      </c>
      <c r="N62" s="2">
        <v>3.5329690434083884E-2</v>
      </c>
      <c r="O62" s="2">
        <v>1.4148584634754524E-3</v>
      </c>
      <c r="P62" s="2">
        <v>0.1624112130723295</v>
      </c>
      <c r="Q62" s="2">
        <v>8.2788163171651358E-2</v>
      </c>
      <c r="R62" s="2">
        <v>0.42964728802102559</v>
      </c>
      <c r="S62" s="2">
        <v>7.1613858041212203E-2</v>
      </c>
      <c r="T62" s="2">
        <v>7.3388720882956197E-3</v>
      </c>
      <c r="U62" s="2">
        <v>7.5345545679391474E-2</v>
      </c>
      <c r="V62" s="2"/>
      <c r="W62" s="2">
        <v>0.78310132579981373</v>
      </c>
    </row>
    <row r="63" spans="1:23" x14ac:dyDescent="0.25">
      <c r="A63">
        <v>1878</v>
      </c>
      <c r="B63" s="11">
        <v>6906026.5167857157</v>
      </c>
      <c r="C63" s="11">
        <v>2002245.2375899616</v>
      </c>
      <c r="D63" s="11">
        <v>85231.241902629117</v>
      </c>
      <c r="E63" s="11">
        <v>3503273.0660202955</v>
      </c>
      <c r="F63" s="11">
        <v>1009505.2834801334</v>
      </c>
      <c r="G63" s="11">
        <v>4903.1151545468256</v>
      </c>
      <c r="H63" s="11"/>
      <c r="I63" s="11"/>
      <c r="J63" s="11">
        <v>1034718.3849130974</v>
      </c>
      <c r="L63" s="11">
        <f t="shared" si="0"/>
        <v>14545902.845846381</v>
      </c>
      <c r="N63" s="2">
        <v>3.8318611465334294E-2</v>
      </c>
      <c r="O63" s="2">
        <v>1.3725518350458325E-3</v>
      </c>
      <c r="P63" s="2">
        <v>0.16596085203943872</v>
      </c>
      <c r="Q63" s="2">
        <v>8.6014632134134378E-2</v>
      </c>
      <c r="R63" s="2">
        <v>0.41430069572907541</v>
      </c>
      <c r="S63" s="2">
        <v>7.0082872567677965E-2</v>
      </c>
      <c r="T63" s="2">
        <v>6.2373288800916691E-3</v>
      </c>
      <c r="U63" s="2">
        <v>7.9940403706862659E-2</v>
      </c>
      <c r="V63" s="2"/>
      <c r="W63" s="2">
        <v>0.77621331622352652</v>
      </c>
    </row>
    <row r="64" spans="1:23" x14ac:dyDescent="0.25">
      <c r="A64">
        <v>1879</v>
      </c>
      <c r="B64" s="11">
        <v>6682025.5128160613</v>
      </c>
      <c r="C64" s="11">
        <v>1888926.8786557338</v>
      </c>
      <c r="D64" s="11">
        <v>62110.879595249149</v>
      </c>
      <c r="E64" s="11">
        <v>3570091.4706275277</v>
      </c>
      <c r="F64" s="11">
        <v>1005156.9341432343</v>
      </c>
      <c r="G64" s="11">
        <v>12481.216381667778</v>
      </c>
      <c r="H64" s="11"/>
      <c r="I64" s="11"/>
      <c r="J64" s="11">
        <v>907482.61814172543</v>
      </c>
      <c r="L64" s="11">
        <f t="shared" si="0"/>
        <v>14128275.5103612</v>
      </c>
      <c r="N64" s="2">
        <v>4.2558065852801891E-2</v>
      </c>
      <c r="O64" s="2">
        <v>1.335768819583724E-3</v>
      </c>
      <c r="P64" s="2">
        <v>0.16986776765328149</v>
      </c>
      <c r="Q64" s="2">
        <v>8.9831129278473518E-2</v>
      </c>
      <c r="R64" s="2">
        <v>0.40133407657422859</v>
      </c>
      <c r="S64" s="2">
        <v>6.8696005612697952E-2</v>
      </c>
      <c r="T64" s="2">
        <v>5.7873317797089725E-3</v>
      </c>
      <c r="U64" s="2">
        <v>8.5883219789773868E-2</v>
      </c>
      <c r="V64" s="2"/>
      <c r="W64" s="2">
        <v>0.77546223608207654</v>
      </c>
    </row>
    <row r="65" spans="1:23" x14ac:dyDescent="0.25">
      <c r="A65">
        <v>1880</v>
      </c>
      <c r="B65" s="11">
        <v>7702609.556656207</v>
      </c>
      <c r="C65" s="11">
        <v>1976900.6753558402</v>
      </c>
      <c r="D65" s="11">
        <v>72450.141739639177</v>
      </c>
      <c r="E65" s="11">
        <v>4257244.8318925416</v>
      </c>
      <c r="F65" s="11">
        <v>1445451.8280272537</v>
      </c>
      <c r="G65" s="11">
        <v>28046.586570575859</v>
      </c>
      <c r="H65" s="11"/>
      <c r="I65" s="11">
        <v>530746.29914892395</v>
      </c>
      <c r="J65" s="11">
        <v>581283.56201731483</v>
      </c>
      <c r="L65" s="11">
        <f t="shared" si="0"/>
        <v>16594733.481408296</v>
      </c>
      <c r="N65" s="2">
        <v>4.2490365098815853E-2</v>
      </c>
      <c r="O65" s="2">
        <v>1.250756440612674E-3</v>
      </c>
      <c r="P65" s="2">
        <v>0.16651990838387656</v>
      </c>
      <c r="Q65" s="2">
        <v>9.1192114495091084E-2</v>
      </c>
      <c r="R65" s="2">
        <v>0.39186958968867375</v>
      </c>
      <c r="S65" s="2">
        <v>6.6770337109358993E-2</v>
      </c>
      <c r="T65" s="2">
        <v>4.2681327343176301E-3</v>
      </c>
      <c r="U65" s="2">
        <v>8.6348099303875381E-2</v>
      </c>
      <c r="V65" s="2"/>
      <c r="W65" s="2">
        <v>0.85070930325462191</v>
      </c>
    </row>
    <row r="66" spans="1:23" x14ac:dyDescent="0.25">
      <c r="A66">
        <v>1881</v>
      </c>
      <c r="B66" s="11">
        <v>7677329.2513263505</v>
      </c>
      <c r="C66" s="11">
        <v>2112967.0964248125</v>
      </c>
      <c r="D66" s="11">
        <v>51667.878784014181</v>
      </c>
      <c r="E66" s="11">
        <v>4122254.2030659309</v>
      </c>
      <c r="F66" s="11">
        <v>1079195.0867800217</v>
      </c>
      <c r="G66" s="11">
        <v>63250.253439990571</v>
      </c>
      <c r="H66" s="11"/>
      <c r="I66" s="11">
        <v>571940.33234909689</v>
      </c>
      <c r="J66" s="11">
        <v>896998.45058514504</v>
      </c>
      <c r="L66" s="11">
        <f t="shared" si="0"/>
        <v>16575602.552755361</v>
      </c>
      <c r="N66" s="2">
        <v>4.2422772042207471E-2</v>
      </c>
      <c r="O66" s="2">
        <v>1.1711545072758988E-3</v>
      </c>
      <c r="P66" s="2">
        <v>0.16323803080035931</v>
      </c>
      <c r="Q66" s="2">
        <v>9.2573719298423521E-2</v>
      </c>
      <c r="R66" s="2">
        <v>0.38262829967882772</v>
      </c>
      <c r="S66" s="2">
        <v>6.4898648443008786E-2</v>
      </c>
      <c r="T66" s="2">
        <v>3.1477298574144937E-3</v>
      </c>
      <c r="U66" s="2">
        <v>8.6815495176389645E-2</v>
      </c>
      <c r="V66" s="2"/>
      <c r="W66" s="2">
        <v>0.83689584980390674</v>
      </c>
    </row>
    <row r="67" spans="1:23" x14ac:dyDescent="0.25">
      <c r="A67">
        <v>1882</v>
      </c>
      <c r="B67" s="11">
        <v>8108968.5907508023</v>
      </c>
      <c r="C67" s="11">
        <v>2072155.0504382122</v>
      </c>
      <c r="D67" s="11">
        <v>44826.616663797889</v>
      </c>
      <c r="E67" s="11">
        <v>3819753.7632206134</v>
      </c>
      <c r="F67" s="11">
        <v>1148721.3949884849</v>
      </c>
      <c r="G67" s="11">
        <v>50140.138080486933</v>
      </c>
      <c r="H67" s="11"/>
      <c r="I67" s="11">
        <v>660942.24768816645</v>
      </c>
      <c r="J67" s="11">
        <v>613718.28970284259</v>
      </c>
      <c r="L67" s="11">
        <f t="shared" si="0"/>
        <v>16519226.091533408</v>
      </c>
      <c r="N67" s="2">
        <v>4.2355286511653316E-2</v>
      </c>
      <c r="O67" s="2">
        <v>1.0966186824037329E-3</v>
      </c>
      <c r="P67" s="2">
        <v>0.1600208344947609</v>
      </c>
      <c r="Q67" s="2">
        <v>9.3976256085219215E-2</v>
      </c>
      <c r="R67" s="2">
        <v>0.37360494298989572</v>
      </c>
      <c r="S67" s="2">
        <v>6.3079426464942717E-2</v>
      </c>
      <c r="T67" s="2">
        <v>2.3214374697376294E-3</v>
      </c>
      <c r="U67" s="2">
        <v>8.7285421028178545E-2</v>
      </c>
      <c r="V67" s="2"/>
      <c r="W67" s="2">
        <v>0.82374022372679179</v>
      </c>
    </row>
    <row r="68" spans="1:23" x14ac:dyDescent="0.25">
      <c r="A68">
        <v>1883</v>
      </c>
      <c r="B68" s="11">
        <v>7781969.3451497005</v>
      </c>
      <c r="C68" s="11">
        <v>2109833.2601969265</v>
      </c>
      <c r="D68" s="11">
        <v>42140.543708359197</v>
      </c>
      <c r="E68" s="11">
        <v>3566878.578803652</v>
      </c>
      <c r="F68" s="11">
        <v>1093586.1679453035</v>
      </c>
      <c r="G68" s="11">
        <v>20879.796041245685</v>
      </c>
      <c r="H68" s="11"/>
      <c r="I68" s="11">
        <v>767295.04874218872</v>
      </c>
      <c r="J68" s="11">
        <v>437626.51018774731</v>
      </c>
      <c r="L68" s="11">
        <f t="shared" si="0"/>
        <v>15820209.250775125</v>
      </c>
      <c r="N68" s="2">
        <v>4.2287908336102499E-2</v>
      </c>
      <c r="O68" s="2">
        <v>1.0268265434883383E-3</v>
      </c>
      <c r="P68" s="2">
        <v>0.15686704468835883</v>
      </c>
      <c r="Q68" s="2">
        <v>9.5400041985188963E-2</v>
      </c>
      <c r="R68" s="2">
        <v>0.36479438019520533</v>
      </c>
      <c r="S68" s="2">
        <v>6.1311200442645826E-2</v>
      </c>
      <c r="T68" s="2">
        <v>1.7120503251598484E-3</v>
      </c>
      <c r="U68" s="2">
        <v>8.7757890553832707E-2</v>
      </c>
      <c r="V68" s="2"/>
      <c r="W68" s="2">
        <v>0.81115734306998222</v>
      </c>
    </row>
    <row r="69" spans="1:23" x14ac:dyDescent="0.25">
      <c r="A69">
        <v>1884</v>
      </c>
      <c r="B69" s="11">
        <v>7513391.2324544368</v>
      </c>
      <c r="C69" s="11">
        <v>1975640.5932382999</v>
      </c>
      <c r="D69" s="11">
        <v>36425.702058500407</v>
      </c>
      <c r="E69" s="11">
        <v>3516278.6252382034</v>
      </c>
      <c r="F69" s="11">
        <v>982803.53714171983</v>
      </c>
      <c r="G69" s="11">
        <v>15320.009264462173</v>
      </c>
      <c r="H69" s="11"/>
      <c r="I69" s="11">
        <v>780194.19032382977</v>
      </c>
      <c r="J69" s="11">
        <v>440497.73657493625</v>
      </c>
      <c r="L69" s="11">
        <f t="shared" si="0"/>
        <v>15260551.626294388</v>
      </c>
      <c r="N69" s="2">
        <v>4.2220637344776234E-2</v>
      </c>
      <c r="O69" s="2">
        <v>9.6147618796816096E-4</v>
      </c>
      <c r="P69" s="2">
        <v>0.15377541172655995</v>
      </c>
      <c r="Q69" s="2">
        <v>9.6845398932712615E-2</v>
      </c>
      <c r="R69" s="2">
        <v>0.35619159306894682</v>
      </c>
      <c r="S69" s="2">
        <v>5.9592540870793208E-2</v>
      </c>
      <c r="T69" s="2">
        <v>1.2626298808777387E-3</v>
      </c>
      <c r="U69" s="2">
        <v>8.8232917522070548E-2</v>
      </c>
      <c r="V69" s="2"/>
      <c r="W69" s="2">
        <v>0.79908260553470534</v>
      </c>
    </row>
    <row r="70" spans="1:23" x14ac:dyDescent="0.25">
      <c r="A70">
        <v>1885</v>
      </c>
      <c r="B70" s="11">
        <v>6183059.4072653744</v>
      </c>
      <c r="C70" s="11">
        <v>1657049.6682199789</v>
      </c>
      <c r="D70" s="11">
        <v>20920.478357503864</v>
      </c>
      <c r="E70" s="11">
        <v>2830992.7129876055</v>
      </c>
      <c r="F70" s="11">
        <v>994414.17124668986</v>
      </c>
      <c r="G70" s="11">
        <v>9405.8683671303806</v>
      </c>
      <c r="H70" s="11"/>
      <c r="I70" s="11">
        <v>656017.18903899577</v>
      </c>
      <c r="J70" s="11">
        <v>614004.68258347688</v>
      </c>
      <c r="L70" s="11">
        <f t="shared" si="0"/>
        <v>12965864.178066757</v>
      </c>
      <c r="N70" s="2">
        <v>4.2153473367167411E-2</v>
      </c>
      <c r="O70" s="2">
        <v>9.0028492727631281E-4</v>
      </c>
      <c r="P70" s="2">
        <v>0.15074471058373853</v>
      </c>
      <c r="Q70" s="2">
        <v>9.8312653739632175E-2</v>
      </c>
      <c r="R70" s="2">
        <v>0.34779168172794606</v>
      </c>
      <c r="S70" s="2">
        <v>5.7922058315580213E-2</v>
      </c>
      <c r="T70" s="2">
        <v>9.3118420215625641E-4</v>
      </c>
      <c r="U70" s="2">
        <v>8.8710515776139545E-2</v>
      </c>
      <c r="V70" s="2"/>
      <c r="W70" s="2">
        <v>0.78746656263963644</v>
      </c>
    </row>
    <row r="71" spans="1:23" x14ac:dyDescent="0.25">
      <c r="A71">
        <v>1886</v>
      </c>
      <c r="B71" s="11">
        <v>7010176.3790796259</v>
      </c>
      <c r="C71" s="11">
        <v>1479392.443380666</v>
      </c>
      <c r="D71" s="11">
        <v>31994.034624443597</v>
      </c>
      <c r="E71" s="11">
        <v>2932946.0172792994</v>
      </c>
      <c r="F71" s="11">
        <v>1103768.2953487202</v>
      </c>
      <c r="G71" s="11">
        <v>9037.0828404361855</v>
      </c>
      <c r="H71" s="11"/>
      <c r="I71" s="11">
        <v>824321.65878581244</v>
      </c>
      <c r="J71" s="11">
        <v>509497.04622902098</v>
      </c>
      <c r="L71" s="11">
        <f t="shared" ref="L71:L98" si="2">SUM(B71:J71)</f>
        <v>13901132.957568027</v>
      </c>
      <c r="N71" s="2">
        <v>4.2086416233040165E-2</v>
      </c>
      <c r="O71" s="2">
        <v>8.4298806400367739E-4</v>
      </c>
      <c r="P71" s="2">
        <v>0.14777374037783331</v>
      </c>
      <c r="Q71" s="2">
        <v>9.9802138169147681E-2</v>
      </c>
      <c r="R71" s="2">
        <v>0.33958986184084161</v>
      </c>
      <c r="S71" s="2">
        <v>5.6298402291448037E-2</v>
      </c>
      <c r="T71" s="2">
        <v>6.8674441455686256E-4</v>
      </c>
      <c r="U71" s="2">
        <v>8.9190699234219642E-2</v>
      </c>
      <c r="V71" s="2"/>
      <c r="W71" s="2">
        <v>0.77627099062509086</v>
      </c>
    </row>
    <row r="72" spans="1:23" x14ac:dyDescent="0.25">
      <c r="A72">
        <v>1887</v>
      </c>
      <c r="B72" s="11">
        <v>6728159.0624270579</v>
      </c>
      <c r="C72" s="11">
        <v>1847420.0523843965</v>
      </c>
      <c r="D72" s="11">
        <v>22431.442098158692</v>
      </c>
      <c r="E72" s="11">
        <v>3146718.546457327</v>
      </c>
      <c r="F72" s="11">
        <v>894515.02686869411</v>
      </c>
      <c r="G72" s="11">
        <v>484.69243917052188</v>
      </c>
      <c r="H72" s="11"/>
      <c r="I72" s="11">
        <v>852017.11071876332</v>
      </c>
      <c r="J72" s="11">
        <v>650150.87836464751</v>
      </c>
      <c r="L72" s="11">
        <f t="shared" si="2"/>
        <v>14141896.811758215</v>
      </c>
      <c r="N72" s="2">
        <v>4.2019465772429432E-2</v>
      </c>
      <c r="O72" s="2">
        <v>7.8933774688706303E-4</v>
      </c>
      <c r="P72" s="2">
        <v>0.14486132389451109</v>
      </c>
      <c r="Q72" s="2">
        <v>0.10131418901083272</v>
      </c>
      <c r="R72" s="2">
        <v>0.33158146190307664</v>
      </c>
      <c r="S72" s="2">
        <v>5.4720260169296646E-2</v>
      </c>
      <c r="T72" s="2">
        <v>5.064711040339455E-4</v>
      </c>
      <c r="U72" s="2">
        <v>8.9673481889828877E-2</v>
      </c>
      <c r="V72" s="2"/>
      <c r="W72" s="2">
        <v>0.76546599149089634</v>
      </c>
    </row>
    <row r="73" spans="1:23" x14ac:dyDescent="0.25">
      <c r="A73">
        <v>1888</v>
      </c>
      <c r="B73" s="11">
        <v>7370050.868740188</v>
      </c>
      <c r="C73" s="11">
        <v>1641247.7939519472</v>
      </c>
      <c r="D73" s="11">
        <v>23741.139371361758</v>
      </c>
      <c r="E73" s="11">
        <v>3551246.5486663212</v>
      </c>
      <c r="F73" s="11">
        <v>1032777.0645531333</v>
      </c>
      <c r="G73" s="11">
        <v>14224.746308410775</v>
      </c>
      <c r="H73" s="11"/>
      <c r="I73" s="11">
        <v>1125762.3214973588</v>
      </c>
      <c r="J73" s="11">
        <v>606063.62205248012</v>
      </c>
      <c r="L73" s="11">
        <f t="shared" si="2"/>
        <v>15365114.1051412</v>
      </c>
      <c r="N73" s="2">
        <v>4.195262181564053E-2</v>
      </c>
      <c r="O73" s="2">
        <v>7.3910189866938276E-4</v>
      </c>
      <c r="P73" s="2">
        <v>0.14200630712070858</v>
      </c>
      <c r="Q73" s="2">
        <v>0.10284914815678642</v>
      </c>
      <c r="R73" s="2">
        <v>0.32376192057615338</v>
      </c>
      <c r="S73" s="2">
        <v>5.3186356115302418E-2</v>
      </c>
      <c r="T73" s="2">
        <v>3.7352029923226171E-4</v>
      </c>
      <c r="U73" s="2">
        <v>9.0158877812231156E-2</v>
      </c>
      <c r="V73" s="2"/>
      <c r="W73" s="2">
        <v>0.75502785379472415</v>
      </c>
    </row>
    <row r="74" spans="1:23" x14ac:dyDescent="0.25">
      <c r="A74">
        <v>1889</v>
      </c>
      <c r="B74" s="11">
        <v>7566257.9522407828</v>
      </c>
      <c r="C74" s="11">
        <v>2146675.4775813408</v>
      </c>
      <c r="D74" s="11">
        <v>25221.807993691036</v>
      </c>
      <c r="E74" s="11">
        <v>4362133.1584003204</v>
      </c>
      <c r="F74" s="11">
        <v>1048543.3716229082</v>
      </c>
      <c r="G74" s="11">
        <v>35975.474348650889</v>
      </c>
      <c r="H74" s="11"/>
      <c r="I74" s="11">
        <v>2670954.411384461</v>
      </c>
      <c r="J74" s="11">
        <v>626524.50515025319</v>
      </c>
      <c r="L74" s="11">
        <f t="shared" si="2"/>
        <v>18482286.158722412</v>
      </c>
      <c r="N74" s="2">
        <v>4.1885884193248728E-2</v>
      </c>
      <c r="O74" s="2">
        <v>6.9206321219406487E-4</v>
      </c>
      <c r="P74" s="2">
        <v>0.13920755878736729</v>
      </c>
      <c r="Q74" s="2">
        <v>0.10440736267893914</v>
      </c>
      <c r="R74" s="2">
        <v>0.31612678408963502</v>
      </c>
      <c r="S74" s="2">
        <v>5.1695450059482548E-2</v>
      </c>
      <c r="T74" s="2">
        <v>2.7546964244816495E-4</v>
      </c>
      <c r="U74" s="2">
        <v>9.0646901146846273E-2</v>
      </c>
      <c r="V74" s="2"/>
      <c r="W74" s="2">
        <v>0.74493747381016107</v>
      </c>
    </row>
    <row r="75" spans="1:23" x14ac:dyDescent="0.25">
      <c r="A75">
        <v>1890</v>
      </c>
      <c r="B75" s="11">
        <v>8652420.5897039212</v>
      </c>
      <c r="C75" s="11">
        <v>2729894.6476598186</v>
      </c>
      <c r="D75" s="11">
        <v>21795.071656482552</v>
      </c>
      <c r="E75" s="11">
        <v>4302198.742995888</v>
      </c>
      <c r="F75" s="11">
        <v>1253063.5955950937</v>
      </c>
      <c r="G75" s="11">
        <v>8853.1071922185565</v>
      </c>
      <c r="H75" s="11"/>
      <c r="I75" s="11">
        <v>2853218.8762686984</v>
      </c>
      <c r="J75" s="11">
        <v>680458.97957179416</v>
      </c>
      <c r="L75" s="11">
        <f t="shared" si="2"/>
        <v>20501903.610643916</v>
      </c>
      <c r="N75" s="2">
        <v>4.1819835410736514E-2</v>
      </c>
      <c r="O75" s="2">
        <v>6.6327450398963057E-4</v>
      </c>
      <c r="P75" s="2">
        <v>0.13675971460251779</v>
      </c>
      <c r="Q75" s="2">
        <v>0.10612173794879244</v>
      </c>
      <c r="R75" s="2">
        <v>0.3096324583421291</v>
      </c>
      <c r="S75" s="2">
        <v>5.0468123819445265E-2</v>
      </c>
      <c r="T75" s="2">
        <v>3.2242809609175324E-4</v>
      </c>
      <c r="U75" s="2">
        <v>9.1152201208622774E-2</v>
      </c>
      <c r="V75" s="2"/>
      <c r="W75" s="2">
        <v>0.73693977393232535</v>
      </c>
    </row>
    <row r="76" spans="1:23" x14ac:dyDescent="0.25">
      <c r="A76">
        <v>1891</v>
      </c>
      <c r="B76" s="11">
        <v>9611759.7282373793</v>
      </c>
      <c r="C76" s="11">
        <v>3240433.0545705426</v>
      </c>
      <c r="D76" s="11">
        <v>18594.748083121518</v>
      </c>
      <c r="E76" s="11">
        <v>5373078.557565812</v>
      </c>
      <c r="F76" s="11">
        <v>1159361.6549286786</v>
      </c>
      <c r="G76" s="11">
        <v>3379.7595954128064</v>
      </c>
      <c r="H76" s="11"/>
      <c r="I76" s="11">
        <v>3045503.6209426606</v>
      </c>
      <c r="J76" s="11">
        <v>1043880.176650853</v>
      </c>
      <c r="L76" s="11">
        <f t="shared" si="2"/>
        <v>23495991.300574455</v>
      </c>
      <c r="N76" s="2">
        <v>4.1244477666942982E-2</v>
      </c>
      <c r="O76" s="2">
        <v>8.0059138973762847E-4</v>
      </c>
      <c r="P76" s="2">
        <v>0.12980964362706671</v>
      </c>
      <c r="Q76" s="2">
        <v>0.10894774756339035</v>
      </c>
      <c r="R76" s="2">
        <v>0.31599566146140845</v>
      </c>
      <c r="S76" s="2">
        <v>5.073027508686756E-2</v>
      </c>
      <c r="T76" s="2">
        <v>4.4995116571366759E-4</v>
      </c>
      <c r="U76" s="2">
        <v>9.0650659271343054E-2</v>
      </c>
      <c r="V76" s="2"/>
      <c r="W76" s="2">
        <v>0.73862900723247038</v>
      </c>
    </row>
    <row r="77" spans="1:23" x14ac:dyDescent="0.25">
      <c r="A77">
        <v>1892</v>
      </c>
      <c r="B77" s="11">
        <v>9156622.7372044232</v>
      </c>
      <c r="C77" s="11">
        <v>3265292.5696709566</v>
      </c>
      <c r="D77" s="11">
        <v>13954.758656816262</v>
      </c>
      <c r="E77" s="11">
        <v>4155399.6712421253</v>
      </c>
      <c r="F77" s="11">
        <v>1273168.7420342274</v>
      </c>
      <c r="G77" s="11">
        <v>9659.9325685604344</v>
      </c>
      <c r="H77" s="11"/>
      <c r="I77" s="11">
        <v>2837182.4256163142</v>
      </c>
      <c r="J77" s="11">
        <v>836489.36072115134</v>
      </c>
      <c r="L77" s="11">
        <f t="shared" si="2"/>
        <v>21547770.197714575</v>
      </c>
      <c r="N77" s="2">
        <v>4.0677035701155079E-2</v>
      </c>
      <c r="O77" s="2">
        <v>9.6633681751175484E-4</v>
      </c>
      <c r="P77" s="2">
        <v>0.12321277232524903</v>
      </c>
      <c r="Q77" s="2">
        <v>0.11184901348735676</v>
      </c>
      <c r="R77" s="2">
        <v>0.32248963366786298</v>
      </c>
      <c r="S77" s="2">
        <v>5.0993788070989629E-2</v>
      </c>
      <c r="T77" s="2">
        <v>6.2791070003240506E-4</v>
      </c>
      <c r="U77" s="2">
        <v>9.0151876941747131E-2</v>
      </c>
      <c r="V77" s="2"/>
      <c r="W77" s="2">
        <v>0.74096836771190489</v>
      </c>
    </row>
    <row r="78" spans="1:23" x14ac:dyDescent="0.25">
      <c r="A78">
        <v>1893</v>
      </c>
      <c r="B78" s="11">
        <v>9004356.035207767</v>
      </c>
      <c r="C78" s="11">
        <v>2838037.4007677268</v>
      </c>
      <c r="D78" s="11">
        <v>12131.65466147145</v>
      </c>
      <c r="E78" s="11">
        <v>4814775.5548283905</v>
      </c>
      <c r="F78" s="11">
        <v>1391952.7459341011</v>
      </c>
      <c r="G78" s="11">
        <v>11048.806180572519</v>
      </c>
      <c r="H78" s="11"/>
      <c r="I78" s="11">
        <v>3403981.7857455509</v>
      </c>
      <c r="J78" s="11">
        <v>790507.87114434526</v>
      </c>
      <c r="L78" s="11">
        <f t="shared" si="2"/>
        <v>22266791.854469929</v>
      </c>
      <c r="N78" s="2">
        <v>4.0117400608014157E-2</v>
      </c>
      <c r="O78" s="2">
        <v>1.1663963125868437E-3</v>
      </c>
      <c r="P78" s="2">
        <v>0.11695115123872177</v>
      </c>
      <c r="Q78" s="2">
        <v>0.11482753978751106</v>
      </c>
      <c r="R78" s="2">
        <v>0.32911706237439464</v>
      </c>
      <c r="S78" s="2">
        <v>5.1258669845103119E-2</v>
      </c>
      <c r="T78" s="2">
        <v>8.7625475220145361E-4</v>
      </c>
      <c r="U78" s="2">
        <v>8.9655839035791551E-2</v>
      </c>
      <c r="V78" s="2"/>
      <c r="W78" s="2">
        <v>0.74397031395432456</v>
      </c>
    </row>
    <row r="79" spans="1:23" x14ac:dyDescent="0.25">
      <c r="A79">
        <v>1894</v>
      </c>
      <c r="B79" s="11">
        <v>8705665.448305279</v>
      </c>
      <c r="C79" s="11">
        <v>3160229.8362667481</v>
      </c>
      <c r="D79" s="11">
        <v>156784.79493761947</v>
      </c>
      <c r="E79" s="11">
        <v>5453139.5189671088</v>
      </c>
      <c r="F79" s="11">
        <v>1130805.2051445376</v>
      </c>
      <c r="G79" s="11">
        <v>6716.044179876927</v>
      </c>
      <c r="H79" s="11"/>
      <c r="I79" s="11">
        <v>3108874.2972548376</v>
      </c>
      <c r="J79" s="11">
        <v>502645.27821800881</v>
      </c>
      <c r="L79" s="11">
        <f t="shared" si="2"/>
        <v>22224860.423274014</v>
      </c>
      <c r="N79" s="2">
        <v>3.9565464980482676E-2</v>
      </c>
      <c r="O79" s="2">
        <v>1.4078738731277169E-3</v>
      </c>
      <c r="P79" s="2">
        <v>0.11100774309303918</v>
      </c>
      <c r="Q79" s="2">
        <v>0.11788538389874031</v>
      </c>
      <c r="R79" s="2">
        <v>0.33588069022246336</v>
      </c>
      <c r="S79" s="2">
        <v>5.1524927519241134E-2</v>
      </c>
      <c r="T79" s="2">
        <v>1.2228210010054061E-3</v>
      </c>
      <c r="U79" s="2">
        <v>8.9162530452979227E-2</v>
      </c>
      <c r="V79" s="2"/>
      <c r="W79" s="2">
        <v>0.74765743504107895</v>
      </c>
    </row>
    <row r="80" spans="1:23" x14ac:dyDescent="0.25">
      <c r="A80">
        <v>1895</v>
      </c>
      <c r="B80" s="11">
        <v>8517970.7950981203</v>
      </c>
      <c r="C80" s="11">
        <v>3453699.6905269725</v>
      </c>
      <c r="D80" s="11">
        <v>141423.86362020287</v>
      </c>
      <c r="E80" s="11">
        <v>5316871.951819432</v>
      </c>
      <c r="F80" s="11">
        <v>1412209.093340341</v>
      </c>
      <c r="G80" s="11">
        <v>10407.759913358883</v>
      </c>
      <c r="H80" s="11"/>
      <c r="I80" s="11">
        <v>4099859.2830977892</v>
      </c>
      <c r="J80" s="11">
        <v>959994.45995116176</v>
      </c>
      <c r="L80" s="11">
        <f t="shared" si="2"/>
        <v>23912436.897367377</v>
      </c>
      <c r="N80" s="2">
        <v>3.902112288923025E-2</v>
      </c>
      <c r="O80" s="2">
        <v>1.699344229097999E-3</v>
      </c>
      <c r="P80" s="2">
        <v>0.10536637644085213</v>
      </c>
      <c r="Q80" s="2">
        <v>0.12102465804518484</v>
      </c>
      <c r="R80" s="2">
        <v>0.34278331621707947</v>
      </c>
      <c r="S80" s="2">
        <v>5.1792568240369083E-2</v>
      </c>
      <c r="T80" s="2">
        <v>1.7064571652743419E-3</v>
      </c>
      <c r="U80" s="2">
        <v>8.8671936175899732E-2</v>
      </c>
      <c r="V80" s="2"/>
      <c r="W80" s="2">
        <v>0.75206577940298769</v>
      </c>
    </row>
    <row r="81" spans="1:23" x14ac:dyDescent="0.25">
      <c r="A81">
        <v>1896</v>
      </c>
      <c r="B81" s="11">
        <v>7870355.2873403281</v>
      </c>
      <c r="C81" s="11">
        <v>3294782.3746975008</v>
      </c>
      <c r="D81" s="11">
        <v>107906.38047057329</v>
      </c>
      <c r="E81" s="11">
        <v>4859598.3390687294</v>
      </c>
      <c r="F81" s="11">
        <v>1247102.9470171952</v>
      </c>
      <c r="G81" s="11">
        <v>13199.635262266056</v>
      </c>
      <c r="H81" s="11"/>
      <c r="I81" s="11">
        <v>3329842.8862362118</v>
      </c>
      <c r="J81" s="11">
        <v>1664708.3481832938</v>
      </c>
      <c r="L81" s="11">
        <f t="shared" si="2"/>
        <v>22387496.198276099</v>
      </c>
      <c r="N81" s="2">
        <v>3.8484269862303376E-2</v>
      </c>
      <c r="O81" s="2">
        <v>2.0511573260133262E-3</v>
      </c>
      <c r="P81" s="2">
        <v>0.10001170166094046</v>
      </c>
      <c r="Q81" s="2">
        <v>0.12424753069926962</v>
      </c>
      <c r="R81" s="2">
        <v>0.34982779688512144</v>
      </c>
      <c r="S81" s="2">
        <v>5.2061599192576524E-2</v>
      </c>
      <c r="T81" s="2">
        <v>2.3813755688869369E-3</v>
      </c>
      <c r="U81" s="2">
        <v>8.818404126977214E-2</v>
      </c>
      <c r="V81" s="2"/>
      <c r="W81" s="2">
        <v>0.75724947246488394</v>
      </c>
    </row>
    <row r="82" spans="1:23" x14ac:dyDescent="0.25">
      <c r="A82">
        <v>1897</v>
      </c>
      <c r="B82" s="11">
        <v>6420418.1203765208</v>
      </c>
      <c r="C82" s="11">
        <v>2880573.1553874672</v>
      </c>
      <c r="D82" s="11">
        <v>112369.91412761439</v>
      </c>
      <c r="E82" s="11">
        <v>3929954.2093137945</v>
      </c>
      <c r="F82" s="11">
        <v>945592.44635289675</v>
      </c>
      <c r="G82" s="11">
        <v>63925.589103959013</v>
      </c>
      <c r="H82" s="11"/>
      <c r="I82" s="11">
        <v>2777415.23048743</v>
      </c>
      <c r="J82" s="11">
        <v>756509.74319172953</v>
      </c>
      <c r="L82" s="11">
        <f t="shared" si="2"/>
        <v>17886758.408341415</v>
      </c>
      <c r="N82" s="2">
        <v>3.7954802865074792E-2</v>
      </c>
      <c r="O82" s="2">
        <v>2.4758058455827503E-3</v>
      </c>
      <c r="P82" s="2">
        <v>9.4929149193355988E-2</v>
      </c>
      <c r="Q82" s="2">
        <v>0.12755622807958969</v>
      </c>
      <c r="R82" s="2">
        <v>0.35701704745745766</v>
      </c>
      <c r="S82" s="2">
        <v>5.2332027597270001E-2</v>
      </c>
      <c r="T82" s="2">
        <v>3.3232299734754145E-3</v>
      </c>
      <c r="U82" s="2">
        <v>8.7698830881990389E-2</v>
      </c>
      <c r="V82" s="2"/>
      <c r="W82" s="2">
        <v>0.76328712189379655</v>
      </c>
    </row>
    <row r="83" spans="1:23" x14ac:dyDescent="0.25">
      <c r="A83">
        <v>1898</v>
      </c>
      <c r="B83" s="11">
        <v>7237342.2583959959</v>
      </c>
      <c r="C83" s="11">
        <v>3088243.3646743568</v>
      </c>
      <c r="D83" s="11">
        <v>80634.612336162434</v>
      </c>
      <c r="E83" s="11">
        <v>3909522.6691996842</v>
      </c>
      <c r="F83" s="11">
        <v>975743.74820208107</v>
      </c>
      <c r="G83" s="11">
        <v>59345.521655391458</v>
      </c>
      <c r="H83" s="11"/>
      <c r="I83" s="11">
        <v>2491113.9131580549</v>
      </c>
      <c r="J83" s="11">
        <v>631483.85761842737</v>
      </c>
      <c r="L83" s="11">
        <f t="shared" si="2"/>
        <v>18473429.945240155</v>
      </c>
      <c r="N83" s="2">
        <v>3.7432620280468752E-2</v>
      </c>
      <c r="O83" s="2">
        <v>2.9883688136859636E-3</v>
      </c>
      <c r="P83" s="2">
        <v>9.0104889897037868E-2</v>
      </c>
      <c r="Q83" s="2">
        <v>0.13095303568868394</v>
      </c>
      <c r="R83" s="2">
        <v>0.36435404307536212</v>
      </c>
      <c r="S83" s="2">
        <v>5.2603860713366875E-2</v>
      </c>
      <c r="T83" s="2">
        <v>4.6375958504383842E-3</v>
      </c>
      <c r="U83" s="2">
        <v>8.7216290241671116E-2</v>
      </c>
      <c r="V83" s="2"/>
      <c r="W83" s="2">
        <v>0.77029070456071502</v>
      </c>
    </row>
    <row r="84" spans="1:23" x14ac:dyDescent="0.25">
      <c r="A84">
        <v>1899</v>
      </c>
      <c r="B84" s="11">
        <v>6235591.9385982836</v>
      </c>
      <c r="C84" s="11">
        <v>2781939.1330544804</v>
      </c>
      <c r="D84" s="11">
        <v>76261.275934782723</v>
      </c>
      <c r="E84" s="11">
        <v>4631519.7642386202</v>
      </c>
      <c r="F84" s="11">
        <v>968699.22061299707</v>
      </c>
      <c r="G84" s="11">
        <v>12104.345561256985</v>
      </c>
      <c r="H84" s="11"/>
      <c r="I84" s="11">
        <v>2519451.7459051707</v>
      </c>
      <c r="J84" s="11">
        <v>476777.41177524754</v>
      </c>
      <c r="L84" s="11">
        <f t="shared" si="2"/>
        <v>17702344.835680839</v>
      </c>
      <c r="N84" s="2">
        <v>3.6949372390369765E-2</v>
      </c>
      <c r="O84" s="2">
        <v>4.2746076956125222E-3</v>
      </c>
      <c r="P84" s="2">
        <v>8.6560992100260178E-2</v>
      </c>
      <c r="Q84" s="2">
        <v>0.13486251687399256</v>
      </c>
      <c r="R84" s="2">
        <v>0.37253962940444713</v>
      </c>
      <c r="S84" s="2">
        <v>5.2883504296366547E-2</v>
      </c>
      <c r="T84" s="2">
        <v>1.1332807620806721E-2</v>
      </c>
      <c r="U84" s="2">
        <v>8.6748265638156241E-2</v>
      </c>
      <c r="V84" s="2"/>
      <c r="W84" s="2">
        <v>0.78615169602001156</v>
      </c>
    </row>
    <row r="85" spans="1:23" x14ac:dyDescent="0.25">
      <c r="A85">
        <v>1900</v>
      </c>
      <c r="B85" s="11">
        <v>6824936.0513108727</v>
      </c>
      <c r="C85" s="11">
        <v>2643057.7671046113</v>
      </c>
      <c r="D85" s="11">
        <v>48489.120280839794</v>
      </c>
      <c r="E85" s="11">
        <v>2918658.3276857785</v>
      </c>
      <c r="F85" s="11">
        <v>946804.96010330261</v>
      </c>
      <c r="G85" s="11">
        <v>11641.163044570012</v>
      </c>
      <c r="H85" s="11"/>
      <c r="I85" s="11">
        <v>2479744.3334281296</v>
      </c>
      <c r="J85" s="11">
        <v>409001.2339686809</v>
      </c>
      <c r="L85" s="11">
        <f t="shared" si="2"/>
        <v>16282332.956926785</v>
      </c>
      <c r="N85" s="2">
        <v>2.8199128049667503E-2</v>
      </c>
      <c r="O85" s="2">
        <v>0</v>
      </c>
      <c r="P85" s="2">
        <v>7.5163816128652181E-2</v>
      </c>
      <c r="Q85" s="2">
        <v>0.15237463898332917</v>
      </c>
      <c r="R85" s="2">
        <v>0.30672435698540307</v>
      </c>
      <c r="S85" s="2">
        <v>7.1740117072655374E-2</v>
      </c>
      <c r="T85" s="2">
        <v>9.3144564459600974E-3</v>
      </c>
      <c r="U85" s="2">
        <v>3.8679245318545739E-2</v>
      </c>
      <c r="V85" s="2"/>
      <c r="W85" s="2">
        <v>0.68219575898421314</v>
      </c>
    </row>
    <row r="86" spans="1:23" x14ac:dyDescent="0.25">
      <c r="A86">
        <v>1901</v>
      </c>
      <c r="B86" s="11">
        <v>4894495.0603781054</v>
      </c>
      <c r="C86" s="11">
        <v>2635316.7196672237</v>
      </c>
      <c r="D86" s="11">
        <v>36133.671238275718</v>
      </c>
      <c r="E86" s="11">
        <v>2083855.262201617</v>
      </c>
      <c r="F86" s="11">
        <v>796390.64910934831</v>
      </c>
      <c r="G86" s="11">
        <v>11512.181009392407</v>
      </c>
      <c r="H86" s="11"/>
      <c r="I86" s="11">
        <v>1916987.1443497227</v>
      </c>
      <c r="J86" s="11">
        <v>648370.01192509686</v>
      </c>
      <c r="L86" s="11">
        <f t="shared" si="2"/>
        <v>13023060.699878784</v>
      </c>
      <c r="N86" s="2">
        <v>2.3001496935959209E-2</v>
      </c>
      <c r="O86" s="2">
        <v>0</v>
      </c>
      <c r="P86" s="2">
        <v>8.0135659821303273E-2</v>
      </c>
      <c r="Q86" s="2">
        <v>9.4150301726154281E-2</v>
      </c>
      <c r="R86" s="2">
        <v>0.31385779108387518</v>
      </c>
      <c r="S86" s="2">
        <v>6.4874397717172669E-2</v>
      </c>
      <c r="T86" s="2">
        <v>7.1645226177667583E-3</v>
      </c>
      <c r="U86" s="2">
        <v>0.12439710904242877</v>
      </c>
      <c r="V86" s="2"/>
      <c r="W86" s="2">
        <v>0.70758127894466016</v>
      </c>
    </row>
    <row r="87" spans="1:23" x14ac:dyDescent="0.25">
      <c r="A87">
        <v>1902</v>
      </c>
      <c r="B87" s="11">
        <v>6351957.1098129544</v>
      </c>
      <c r="C87" s="11">
        <v>2394952.0724218991</v>
      </c>
      <c r="D87" s="11">
        <v>34812.435748411313</v>
      </c>
      <c r="E87" s="11">
        <v>1910374.8992311936</v>
      </c>
      <c r="F87" s="11">
        <v>1012359.2186628351</v>
      </c>
      <c r="G87" s="11">
        <v>20139.572506248616</v>
      </c>
      <c r="H87" s="11"/>
      <c r="I87" s="11">
        <v>2404518.7237561042</v>
      </c>
      <c r="J87" s="11">
        <v>675266.20924127218</v>
      </c>
      <c r="L87" s="11">
        <f t="shared" si="2"/>
        <v>14804380.241380921</v>
      </c>
      <c r="N87" s="2">
        <v>2.3760728553632027E-2</v>
      </c>
      <c r="O87" s="2">
        <v>1.4027664418574681E-3</v>
      </c>
      <c r="P87" s="2">
        <v>8.7831006486532928E-2</v>
      </c>
      <c r="Q87" s="2">
        <v>0.11438966450448902</v>
      </c>
      <c r="R87" s="2">
        <v>0.28149022724343831</v>
      </c>
      <c r="S87" s="2">
        <v>6.9289402465741654E-2</v>
      </c>
      <c r="T87" s="2">
        <v>7.8955281584260489E-3</v>
      </c>
      <c r="U87" s="2">
        <v>0.12250281369474633</v>
      </c>
      <c r="V87" s="2"/>
      <c r="W87" s="2">
        <v>0.70856213754886388</v>
      </c>
    </row>
    <row r="88" spans="1:23" x14ac:dyDescent="0.25">
      <c r="A88">
        <v>1903</v>
      </c>
      <c r="B88" s="11">
        <v>6505287.2450876189</v>
      </c>
      <c r="C88" s="11">
        <v>2458161.158736804</v>
      </c>
      <c r="D88" s="11">
        <v>72093.228353661892</v>
      </c>
      <c r="E88" s="11">
        <v>2060857.8232401051</v>
      </c>
      <c r="F88" s="11">
        <v>991174.45594575268</v>
      </c>
      <c r="G88" s="11">
        <v>5699.9860382990482</v>
      </c>
      <c r="H88" s="11"/>
      <c r="I88" s="11">
        <v>2832957.8850567462</v>
      </c>
      <c r="J88" s="11">
        <v>849047.29872418963</v>
      </c>
      <c r="L88" s="11">
        <f t="shared" si="2"/>
        <v>15775279.081183176</v>
      </c>
      <c r="N88" s="2">
        <v>2.9232195968274949E-2</v>
      </c>
      <c r="O88" s="2">
        <v>1.1523463317911434E-3</v>
      </c>
      <c r="P88" s="2">
        <v>8.8089515862524781E-2</v>
      </c>
      <c r="Q88" s="2">
        <v>0.12318101454064773</v>
      </c>
      <c r="R88" s="2">
        <v>0.28333616986120291</v>
      </c>
      <c r="S88" s="2">
        <v>7.2204436549900858E-2</v>
      </c>
      <c r="T88" s="2">
        <v>8.5603932584269668E-3</v>
      </c>
      <c r="U88" s="2">
        <v>0.11285228023793788</v>
      </c>
      <c r="V88" s="2"/>
      <c r="W88" s="2">
        <v>0.71860835261070721</v>
      </c>
    </row>
    <row r="89" spans="1:23" x14ac:dyDescent="0.25">
      <c r="A89">
        <v>1904</v>
      </c>
      <c r="B89" s="11">
        <v>6922563.6398827024</v>
      </c>
      <c r="C89" s="11">
        <v>2519758.4941639104</v>
      </c>
      <c r="D89" s="11">
        <v>60454.992247499031</v>
      </c>
      <c r="E89" s="11">
        <v>2346449.330554089</v>
      </c>
      <c r="F89" s="11">
        <v>1000786.6709638721</v>
      </c>
      <c r="G89" s="11">
        <v>19263.576300068551</v>
      </c>
      <c r="H89" s="11"/>
      <c r="I89" s="11">
        <v>3080448.3058449901</v>
      </c>
      <c r="J89" s="11">
        <v>1001664.4387359497</v>
      </c>
      <c r="L89" s="11">
        <f t="shared" si="2"/>
        <v>16951389.448693082</v>
      </c>
      <c r="N89" s="2">
        <v>3.2406714258151649E-2</v>
      </c>
      <c r="O89" s="2">
        <v>1.5171908161296546E-3</v>
      </c>
      <c r="P89" s="2">
        <v>8.9398919544665251E-2</v>
      </c>
      <c r="Q89" s="2">
        <v>0.12677711749951764</v>
      </c>
      <c r="R89" s="2">
        <v>0.27745965656955429</v>
      </c>
      <c r="S89" s="2">
        <v>7.3245996527107851E-2</v>
      </c>
      <c r="T89" s="2">
        <v>8.1965271078525952E-3</v>
      </c>
      <c r="U89" s="2">
        <v>0.11131680493922438</v>
      </c>
      <c r="V89" s="2"/>
      <c r="W89" s="2">
        <v>0.72031892726220326</v>
      </c>
    </row>
    <row r="90" spans="1:23" x14ac:dyDescent="0.25">
      <c r="A90">
        <v>1905</v>
      </c>
      <c r="B90" s="11">
        <v>7810518.0046327282</v>
      </c>
      <c r="C90" s="11">
        <v>2547569.0934330416</v>
      </c>
      <c r="D90" s="11">
        <v>65068.395647472709</v>
      </c>
      <c r="E90" s="11">
        <v>2451042.9098541685</v>
      </c>
      <c r="F90" s="11">
        <v>1330751.0613537619</v>
      </c>
      <c r="G90" s="11">
        <v>25297.14197289577</v>
      </c>
      <c r="H90" s="11"/>
      <c r="I90" s="11">
        <v>3962341.2592577511</v>
      </c>
      <c r="J90" s="11">
        <v>1266045.4274347036</v>
      </c>
      <c r="L90" s="11">
        <f t="shared" si="2"/>
        <v>19458633.293586526</v>
      </c>
      <c r="N90" s="2">
        <v>3.6432148843446192E-2</v>
      </c>
      <c r="O90" s="2">
        <v>1.3982232651692926E-3</v>
      </c>
      <c r="P90" s="2">
        <v>9.0072644988266851E-2</v>
      </c>
      <c r="Q90" s="2">
        <v>0.13333291987931611</v>
      </c>
      <c r="R90" s="2">
        <v>0.26588149513912168</v>
      </c>
      <c r="S90" s="2">
        <v>7.320794502179015E-2</v>
      </c>
      <c r="T90" s="2">
        <v>7.1913845122360039E-3</v>
      </c>
      <c r="U90" s="2">
        <v>0.10333791485082132</v>
      </c>
      <c r="V90" s="2"/>
      <c r="W90" s="2">
        <v>0.71085467650016776</v>
      </c>
    </row>
    <row r="91" spans="1:23" x14ac:dyDescent="0.25">
      <c r="A91">
        <v>1906</v>
      </c>
      <c r="B91" s="11">
        <v>8988622.3202824574</v>
      </c>
      <c r="C91" s="11">
        <v>3383473.6407006872</v>
      </c>
      <c r="D91" s="11">
        <v>58543.836050014223</v>
      </c>
      <c r="E91" s="11">
        <v>3611188.3393453551</v>
      </c>
      <c r="F91" s="11">
        <v>1296947.8930019168</v>
      </c>
      <c r="G91" s="11">
        <v>30099.311847384637</v>
      </c>
      <c r="H91" s="11"/>
      <c r="I91" s="11">
        <v>4913165.4907146981</v>
      </c>
      <c r="J91" s="11">
        <v>1606715.0593613761</v>
      </c>
      <c r="L91" s="11">
        <f t="shared" si="2"/>
        <v>23888755.891303889</v>
      </c>
      <c r="N91" s="2">
        <v>3.8733767016022165E-2</v>
      </c>
      <c r="O91" s="2">
        <v>1.3305926996747381E-3</v>
      </c>
      <c r="P91" s="2">
        <v>9.2076406457053367E-2</v>
      </c>
      <c r="Q91" s="2">
        <v>0.14676364293458619</v>
      </c>
      <c r="R91" s="2">
        <v>0.27992732803276715</v>
      </c>
      <c r="S91" s="2">
        <v>6.5494850018070108E-2</v>
      </c>
      <c r="T91" s="2">
        <v>8.059179616913624E-3</v>
      </c>
      <c r="U91" s="2">
        <v>0.11459848211058908</v>
      </c>
      <c r="V91" s="2"/>
      <c r="W91" s="2">
        <v>0.74698424888567638</v>
      </c>
    </row>
    <row r="92" spans="1:23" x14ac:dyDescent="0.25">
      <c r="A92">
        <v>1907</v>
      </c>
      <c r="B92" s="11">
        <v>11847725.133203976</v>
      </c>
      <c r="C92" s="11">
        <v>4329275.5024006711</v>
      </c>
      <c r="D92" s="11">
        <v>92330.891616420166</v>
      </c>
      <c r="E92" s="11">
        <v>3739970.3068619575</v>
      </c>
      <c r="F92" s="11">
        <v>1335076.8226877567</v>
      </c>
      <c r="G92" s="11"/>
      <c r="H92" s="11"/>
      <c r="I92" s="11">
        <v>5730301.9193404764</v>
      </c>
      <c r="J92" s="11">
        <v>1486182.8525906049</v>
      </c>
      <c r="L92" s="11">
        <f t="shared" si="2"/>
        <v>28560863.428701863</v>
      </c>
      <c r="N92" s="2">
        <v>3.9713111922621398E-2</v>
      </c>
      <c r="O92" s="2">
        <v>1.0363945913936044E-3</v>
      </c>
      <c r="P92" s="2">
        <v>8.6356592972759577E-2</v>
      </c>
      <c r="Q92" s="2">
        <v>0.15343337939202525</v>
      </c>
      <c r="R92" s="2">
        <v>0.29991882155546784</v>
      </c>
      <c r="S92" s="2">
        <v>5.8118560007895774E-2</v>
      </c>
      <c r="T92" s="2">
        <v>8.9112218712988547E-3</v>
      </c>
      <c r="U92" s="2">
        <v>0.12763309317015398</v>
      </c>
      <c r="V92" s="2"/>
      <c r="W92" s="2">
        <v>0.77512117548361625</v>
      </c>
    </row>
    <row r="93" spans="1:23" x14ac:dyDescent="0.25">
      <c r="A93">
        <v>1908</v>
      </c>
      <c r="B93" s="11">
        <v>9370972.4505891018</v>
      </c>
      <c r="C93" s="11">
        <v>4460222.3817838114</v>
      </c>
      <c r="D93" s="11">
        <v>97662.107775657118</v>
      </c>
      <c r="E93" s="11">
        <v>3045569.58448325</v>
      </c>
      <c r="F93" s="11">
        <v>1028424.4571056013</v>
      </c>
      <c r="G93" s="11">
        <v>22329.983387484237</v>
      </c>
      <c r="H93" s="11"/>
      <c r="I93" s="11">
        <v>4618644.1247093435</v>
      </c>
      <c r="J93" s="11">
        <v>1635662.7847942156</v>
      </c>
      <c r="L93" s="11">
        <f t="shared" si="2"/>
        <v>24279487.874628466</v>
      </c>
      <c r="N93" s="2">
        <v>4.6686596601955427E-2</v>
      </c>
      <c r="O93" s="2">
        <v>1.2879039756558E-3</v>
      </c>
      <c r="P93" s="2">
        <v>9.0137696880899384E-2</v>
      </c>
      <c r="Q93" s="2">
        <v>0.14853574145558029</v>
      </c>
      <c r="R93" s="2">
        <v>0.28808895212870866</v>
      </c>
      <c r="S93" s="2">
        <v>5.1742920740469413E-2</v>
      </c>
      <c r="T93" s="2">
        <v>9.1921050407145471E-3</v>
      </c>
      <c r="U93" s="2">
        <v>0.12111349356174805</v>
      </c>
      <c r="V93" s="2"/>
      <c r="W93" s="2">
        <v>0.75678541038573166</v>
      </c>
    </row>
    <row r="94" spans="1:23" x14ac:dyDescent="0.25">
      <c r="A94">
        <v>1909</v>
      </c>
      <c r="B94" s="11">
        <v>9534553.9910784923</v>
      </c>
      <c r="C94" s="11">
        <v>4005474.924395408</v>
      </c>
      <c r="D94" s="11">
        <v>53104.160564433318</v>
      </c>
      <c r="E94" s="11">
        <v>3285933.3520574216</v>
      </c>
      <c r="F94" s="11">
        <v>1087026.8821475555</v>
      </c>
      <c r="G94" s="11">
        <v>16368.170653103183</v>
      </c>
      <c r="H94" s="11"/>
      <c r="I94" s="11">
        <v>5004069.7219037423</v>
      </c>
      <c r="J94" s="11">
        <v>1511450.8421201734</v>
      </c>
      <c r="L94" s="11">
        <f t="shared" si="2"/>
        <v>24497982.044920333</v>
      </c>
      <c r="N94" s="2">
        <v>4.0480896093055815E-2</v>
      </c>
      <c r="O94" s="2">
        <v>9.9609574840464209E-4</v>
      </c>
      <c r="P94" s="2">
        <v>0.10350410619564339</v>
      </c>
      <c r="Q94" s="2">
        <v>0.1557600096933143</v>
      </c>
      <c r="R94" s="2">
        <v>0.26831330945905923</v>
      </c>
      <c r="S94" s="2">
        <v>5.5573871132771478E-2</v>
      </c>
      <c r="T94" s="2">
        <v>8.4721182584345297E-3</v>
      </c>
      <c r="U94" s="2">
        <v>0.12380357575594389</v>
      </c>
      <c r="V94" s="2"/>
      <c r="W94" s="2">
        <v>0.75690398233662715</v>
      </c>
    </row>
    <row r="95" spans="1:23" x14ac:dyDescent="0.25">
      <c r="A95">
        <v>1910</v>
      </c>
      <c r="B95" s="11">
        <v>18752402.934608504</v>
      </c>
      <c r="C95" s="11">
        <v>5329329.8694017883</v>
      </c>
      <c r="D95" s="11">
        <v>87367.602576434103</v>
      </c>
      <c r="E95" s="11">
        <v>4226172.370155273</v>
      </c>
      <c r="F95" s="11">
        <v>1480351.3325434218</v>
      </c>
      <c r="G95" s="11">
        <v>29990.043496593324</v>
      </c>
      <c r="H95" s="11"/>
      <c r="I95" s="11">
        <v>6749065.5907999761</v>
      </c>
      <c r="J95" s="11">
        <v>2636222.8763372153</v>
      </c>
      <c r="L95" s="11">
        <f t="shared" si="2"/>
        <v>39290902.619919211</v>
      </c>
      <c r="N95" s="2">
        <v>4.5199803643048125E-2</v>
      </c>
      <c r="O95" s="2">
        <v>1.2488928810160428E-3</v>
      </c>
      <c r="P95" s="2">
        <v>9.4820980949197858E-2</v>
      </c>
      <c r="Q95" s="2">
        <v>0.14638824364973263</v>
      </c>
      <c r="R95" s="2">
        <v>0.28568309241310158</v>
      </c>
      <c r="S95" s="2">
        <v>5.5743670621657755E-2</v>
      </c>
      <c r="T95" s="2">
        <v>9.4089864639037429E-3</v>
      </c>
      <c r="U95" s="2">
        <v>0.12799928977272726</v>
      </c>
      <c r="V95" s="2"/>
      <c r="W95" s="2">
        <v>0.76649296039438508</v>
      </c>
    </row>
    <row r="96" spans="1:23" x14ac:dyDescent="0.25">
      <c r="A96">
        <v>1911</v>
      </c>
      <c r="B96" s="11">
        <v>13790055.519512109</v>
      </c>
      <c r="C96" s="11">
        <v>6402953.725406128</v>
      </c>
      <c r="D96" s="11">
        <v>118357.06885781026</v>
      </c>
      <c r="E96" s="11">
        <v>4659768.6868171543</v>
      </c>
      <c r="F96" s="11">
        <v>1460640.6783547881</v>
      </c>
      <c r="G96" s="11">
        <v>40884.222161544378</v>
      </c>
      <c r="H96" s="11"/>
      <c r="I96" s="11">
        <v>8507394.375229653</v>
      </c>
      <c r="J96" s="11">
        <v>2366593.8745048195</v>
      </c>
      <c r="L96" s="11">
        <f t="shared" si="2"/>
        <v>37346648.150844008</v>
      </c>
      <c r="N96" s="2">
        <v>4.1702093824542805E-2</v>
      </c>
      <c r="O96" s="2">
        <v>9.8508197342016593E-4</v>
      </c>
      <c r="P96" s="2">
        <v>8.8439154140320317E-2</v>
      </c>
      <c r="Q96" s="2">
        <v>0.1679207716481769</v>
      </c>
      <c r="R96" s="2">
        <v>0.29047678997387455</v>
      </c>
      <c r="S96" s="2">
        <v>5.3788175381469842E-2</v>
      </c>
      <c r="T96" s="2">
        <v>9.2428344250501688E-3</v>
      </c>
      <c r="U96" s="2">
        <v>0.13337770247245465</v>
      </c>
      <c r="V96" s="2"/>
      <c r="W96" s="2">
        <v>0.78593260383930941</v>
      </c>
    </row>
    <row r="97" spans="1:23" x14ac:dyDescent="0.25">
      <c r="A97">
        <v>1912</v>
      </c>
      <c r="B97" s="11">
        <v>14712215.551942933</v>
      </c>
      <c r="C97" s="11">
        <v>8201954.9721329808</v>
      </c>
      <c r="D97" s="11">
        <v>215269.56261866615</v>
      </c>
      <c r="E97" s="11">
        <v>5010893.3164878227</v>
      </c>
      <c r="F97" s="11">
        <v>1536481.6512491521</v>
      </c>
      <c r="G97" s="11">
        <v>230912.5016788168</v>
      </c>
      <c r="H97" s="11"/>
      <c r="I97" s="11">
        <v>10860416.835739842</v>
      </c>
      <c r="J97" s="11">
        <v>4025775.8745657508</v>
      </c>
      <c r="L97" s="11">
        <f t="shared" si="2"/>
        <v>44793920.266415961</v>
      </c>
      <c r="N97" s="2">
        <v>5.3828916042569966E-2</v>
      </c>
      <c r="O97" s="2">
        <v>1.5215135987386677E-3</v>
      </c>
      <c r="P97" s="2">
        <v>9.0029199842333471E-2</v>
      </c>
      <c r="Q97" s="2">
        <v>0.17199952700039417</v>
      </c>
      <c r="R97" s="2">
        <v>0.25179782420181318</v>
      </c>
      <c r="S97" s="2">
        <v>4.7329712258573117E-2</v>
      </c>
      <c r="T97" s="2">
        <v>1.0535782420181317E-2</v>
      </c>
      <c r="U97" s="2">
        <v>0.1560746708711076</v>
      </c>
      <c r="V97" s="2"/>
      <c r="W97" s="2">
        <v>0.78311714623571138</v>
      </c>
    </row>
    <row r="98" spans="1:23" x14ac:dyDescent="0.25">
      <c r="A98">
        <v>1913</v>
      </c>
      <c r="B98" s="11">
        <v>14278025.172357365</v>
      </c>
      <c r="C98" s="11">
        <v>9913282.8071883861</v>
      </c>
      <c r="D98" s="11">
        <v>228681.76546224288</v>
      </c>
      <c r="E98" s="11">
        <v>4743992.0304056983</v>
      </c>
      <c r="F98" s="11">
        <v>1318334.0222184814</v>
      </c>
      <c r="G98" s="11">
        <v>66463.630355177273</v>
      </c>
      <c r="H98" s="11"/>
      <c r="I98" s="11">
        <v>11071739.386980005</v>
      </c>
      <c r="J98" s="11">
        <v>3084024.059185239</v>
      </c>
      <c r="L98" s="11">
        <f t="shared" si="2"/>
        <v>44704542.874152586</v>
      </c>
      <c r="N98" s="2">
        <v>5.1097206920167941E-2</v>
      </c>
      <c r="O98" s="2">
        <v>1.2402554864068131E-3</v>
      </c>
      <c r="P98" s="2">
        <v>9.7846603936515494E-2</v>
      </c>
      <c r="Q98" s="2">
        <v>0.17475207694369174</v>
      </c>
      <c r="R98" s="2">
        <v>0.24471341154750917</v>
      </c>
      <c r="S98" s="2">
        <v>4.3892132924396275E-2</v>
      </c>
      <c r="T98" s="2">
        <v>9.5472709406544971E-3</v>
      </c>
      <c r="U98" s="2">
        <v>0.15712463150999018</v>
      </c>
      <c r="V98" s="2"/>
      <c r="W98" s="2">
        <v>0.78021359020933223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Sterling</vt:lpstr>
      <vt:lpstr>Dollars</vt:lpstr>
      <vt:lpstr>Alternative series</vt:lpstr>
      <vt:lpstr>Trade balance</vt:lpstr>
      <vt:lpstr>Price indices</vt:lpstr>
      <vt:lpstr>Import prices</vt:lpstr>
      <vt:lpstr>Export prices</vt:lpstr>
      <vt:lpstr>Freights</vt:lpstr>
      <vt:lpstr>Trading partner sample</vt:lpstr>
      <vt:lpstr>Price comparison</vt:lpstr>
    </vt:vector>
  </TitlesOfParts>
  <Company>UC3M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ABSELL , CHRISTOPHER DAVID</dc:creator>
  <cp:lastModifiedBy>Asus</cp:lastModifiedBy>
  <dcterms:created xsi:type="dcterms:W3CDTF">2017-01-23T11:13:19Z</dcterms:created>
  <dcterms:modified xsi:type="dcterms:W3CDTF">2017-07-01T16:05:29Z</dcterms:modified>
</cp:coreProperties>
</file>