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?talo L. de Oliveira</author>
  </authors>
  <commentList>
    <comment ref="I19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G15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G47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I45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G39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I22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25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28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31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34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G53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G62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G65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Fe2O3</t>
        </r>
      </text>
    </comment>
    <comment ref="I51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57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60" authorId="0">
      <text>
        <r>
          <rPr>
            <b/>
            <sz val="9"/>
            <rFont val="Tahoma"/>
            <family val="2"/>
          </rPr>
          <t>Ítalo L. de Oliveira:</t>
        </r>
        <r>
          <rPr>
            <sz val="9"/>
            <rFont val="Tahoma"/>
            <family val="2"/>
          </rPr>
          <t xml:space="preserve">
Total Fe originally reported as FeO</t>
        </r>
      </text>
    </comment>
    <comment ref="I37" authorId="0">
      <text>
        <r>
          <rPr>
            <b/>
            <sz val="9"/>
            <rFont val="Tahoma"/>
            <family val="0"/>
          </rPr>
          <t>Ítalo L. de Oliveira:</t>
        </r>
        <r>
          <rPr>
            <sz val="9"/>
            <rFont val="Tahoma"/>
            <family val="0"/>
          </rPr>
          <t xml:space="preserve">
Total Fe originally reported as FeO</t>
        </r>
      </text>
    </comment>
  </commentList>
</comments>
</file>

<file path=xl/sharedStrings.xml><?xml version="1.0" encoding="utf-8"?>
<sst xmlns="http://schemas.openxmlformats.org/spreadsheetml/2006/main" count="261" uniqueCount="139">
  <si>
    <t>Ks</t>
  </si>
  <si>
    <t>Ne</t>
  </si>
  <si>
    <t>SiO2</t>
  </si>
  <si>
    <t>Al2O3</t>
  </si>
  <si>
    <t>CaO</t>
  </si>
  <si>
    <t>Fe2O3</t>
  </si>
  <si>
    <t>SrO</t>
  </si>
  <si>
    <t>BaO</t>
  </si>
  <si>
    <t>Na2O</t>
  </si>
  <si>
    <t>K2O</t>
  </si>
  <si>
    <t>Total - O=Cl</t>
  </si>
  <si>
    <t>Si</t>
  </si>
  <si>
    <t>Al</t>
  </si>
  <si>
    <t>Ca</t>
  </si>
  <si>
    <t>Fe3+</t>
  </si>
  <si>
    <t>Sr</t>
  </si>
  <si>
    <t>Ba</t>
  </si>
  <si>
    <t>Na</t>
  </si>
  <si>
    <t>Al=cats</t>
  </si>
  <si>
    <t>MgO</t>
  </si>
  <si>
    <t>TiO2</t>
  </si>
  <si>
    <t>FeO</t>
  </si>
  <si>
    <t>MnO</t>
  </si>
  <si>
    <t>Fe2+</t>
  </si>
  <si>
    <t>Mg</t>
  </si>
  <si>
    <t>Mn</t>
  </si>
  <si>
    <t>Ca+Na+K</t>
  </si>
  <si>
    <t>Sum cats</t>
  </si>
  <si>
    <t>Cr2O3</t>
  </si>
  <si>
    <t>Cr3+</t>
  </si>
  <si>
    <t>CaNe</t>
  </si>
  <si>
    <t>Q xs</t>
  </si>
  <si>
    <t>Q Si</t>
  </si>
  <si>
    <t>Qcav</t>
  </si>
  <si>
    <t>K</t>
  </si>
  <si>
    <t>%Qsi</t>
  </si>
  <si>
    <t>T charge</t>
  </si>
  <si>
    <t>Delta</t>
  </si>
  <si>
    <t>DelAl/DelT</t>
  </si>
  <si>
    <t>Ne tot</t>
  </si>
  <si>
    <t>Qxs</t>
  </si>
  <si>
    <t>Q(Si-Al)</t>
  </si>
  <si>
    <t>Eqn 11</t>
  </si>
  <si>
    <t>Eqn 12</t>
  </si>
  <si>
    <t>Eqn 13</t>
  </si>
  <si>
    <t>Eqn 8</t>
  </si>
  <si>
    <t>Eqn 3</t>
  </si>
  <si>
    <t>Eqn 4</t>
  </si>
  <si>
    <t>Eqn 6</t>
  </si>
  <si>
    <t>Eqn 14</t>
  </si>
  <si>
    <t>Eqn 1</t>
  </si>
  <si>
    <t>Eqn10</t>
  </si>
  <si>
    <t>Eqn 9</t>
  </si>
  <si>
    <t>(Qxs-Qsi)</t>
  </si>
  <si>
    <t>/Qxs</t>
  </si>
  <si>
    <t>*24/100</t>
  </si>
  <si>
    <t>Source</t>
  </si>
  <si>
    <t>Sample #</t>
  </si>
  <si>
    <t>Factor</t>
  </si>
  <si>
    <t>32/calc ox</t>
  </si>
  <si>
    <t>M.W.</t>
  </si>
  <si>
    <t>KsM</t>
  </si>
  <si>
    <t>KAlSiO4</t>
  </si>
  <si>
    <t>NaAlSiO4</t>
  </si>
  <si>
    <t>Ca0.5AlSiO4</t>
  </si>
  <si>
    <t>Na0.75K0.25AlSiO4</t>
  </si>
  <si>
    <t>Si2O4</t>
  </si>
  <si>
    <t>KMg0.5Si1.5O4</t>
  </si>
  <si>
    <t>Ti</t>
  </si>
  <si>
    <t>wt.% oxides</t>
  </si>
  <si>
    <t>Cats per 32O</t>
  </si>
  <si>
    <t>Sum T</t>
  </si>
  <si>
    <t>Si/Al</t>
  </si>
  <si>
    <t>Na4K2.4Ca0.4Al6Mg0.6Si9.4</t>
  </si>
  <si>
    <t>Hypothetical</t>
  </si>
  <si>
    <t>Cavity</t>
  </si>
  <si>
    <t>Cations</t>
  </si>
  <si>
    <t>Eqn 7</t>
  </si>
  <si>
    <t>Ks tot</t>
  </si>
  <si>
    <t>Eqn 5</t>
  </si>
  <si>
    <t>Gallo et al. (1984)</t>
  </si>
  <si>
    <t>Lloyd et al. (1991)</t>
  </si>
  <si>
    <t>Andersen et al. (2012)</t>
  </si>
  <si>
    <t>Platz et al. (2004)</t>
  </si>
  <si>
    <t>Gurenko &amp; Sobolev (2018)</t>
  </si>
  <si>
    <t>Lustrino et al. (2020)</t>
  </si>
  <si>
    <t>Brod et al. (2005)</t>
  </si>
  <si>
    <t>Dawson (1998)</t>
  </si>
  <si>
    <t>Baudouin &amp; Parat (2020)</t>
  </si>
  <si>
    <t>Junqueira-Brod (1998)</t>
  </si>
  <si>
    <t>Prelević et al. (2005)</t>
  </si>
  <si>
    <t>AMO15A #36</t>
  </si>
  <si>
    <t>VM548, Table 6, #96.660</t>
  </si>
  <si>
    <t>A2274, Table 5 Suppl</t>
  </si>
  <si>
    <t>11529, #1 Tbl C1.7 Suppl.2</t>
  </si>
  <si>
    <t>SV 16, Table 1</t>
  </si>
  <si>
    <t>S23, 160, Table 11, #9</t>
  </si>
  <si>
    <t>TR-84, Table 3</t>
  </si>
  <si>
    <t>M1, Table 5, #3</t>
  </si>
  <si>
    <t>This work</t>
  </si>
  <si>
    <t>11497, Tbl C1.7 Suppl.2</t>
  </si>
  <si>
    <t>SAV6, #1_3</t>
  </si>
  <si>
    <t>AMO94A, #C1_3</t>
  </si>
  <si>
    <t>Kalsilite</t>
  </si>
  <si>
    <t>Nepheline</t>
  </si>
  <si>
    <t>96AE08, Table A4.3</t>
  </si>
  <si>
    <t>NV01/6, Suppl. Mat. Dataset KAG</t>
  </si>
  <si>
    <t>WN4421, Table 2, #3</t>
  </si>
  <si>
    <t>S80, Table 5 Suppl.</t>
  </si>
  <si>
    <t>Kw5, Table A1 Suppl.</t>
  </si>
  <si>
    <t>SAV8 #1_12, Table 1e Suppl.5</t>
  </si>
  <si>
    <t>All Fe2+</t>
  </si>
  <si>
    <t>Old</t>
  </si>
  <si>
    <t>Ne %</t>
  </si>
  <si>
    <t>Ks %</t>
  </si>
  <si>
    <t>Petrogeny's Residual System</t>
  </si>
  <si>
    <t>Ne-Ks Binary System</t>
  </si>
  <si>
    <t>Tappe et al. (2003)</t>
  </si>
  <si>
    <t>Spreadsheet 1, Total Na</t>
  </si>
  <si>
    <t>Ideal Nph</t>
  </si>
  <si>
    <t>Tetrahedral</t>
  </si>
  <si>
    <t>Delta Al cc</t>
  </si>
  <si>
    <t>Delta T ch</t>
  </si>
  <si>
    <t>Mean T val</t>
  </si>
  <si>
    <t>Ideal T ch</t>
  </si>
  <si>
    <t>excess Si</t>
  </si>
  <si>
    <t>%Cn</t>
  </si>
  <si>
    <t>Vacancy</t>
  </si>
  <si>
    <t>Mol.% rel 24 cats</t>
  </si>
  <si>
    <t>NeAl</t>
  </si>
  <si>
    <r>
      <t>NeFe</t>
    </r>
    <r>
      <rPr>
        <vertAlign val="superscript"/>
        <sz val="10"/>
        <rFont val="Arial"/>
        <family val="2"/>
      </rPr>
      <t>3+</t>
    </r>
  </si>
  <si>
    <t>KsAl</t>
  </si>
  <si>
    <r>
      <t>KsT</t>
    </r>
    <r>
      <rPr>
        <vertAlign val="superscript"/>
        <sz val="10"/>
        <rFont val="Arial"/>
        <family val="2"/>
      </rPr>
      <t>2+</t>
    </r>
  </si>
  <si>
    <t>Q cav.2</t>
  </si>
  <si>
    <t>Q cav.1</t>
  </si>
  <si>
    <t>24 cats</t>
  </si>
  <si>
    <t>Recalc. to 100%</t>
  </si>
  <si>
    <t>Mol.% rel 8 cats</t>
  </si>
  <si>
    <t xml:space="preserve">Cav cat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</si>
</sst>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0000"/>
    <numFmt numFmtId="184" formatCode="0.00000000"/>
    <numFmt numFmtId="185" formatCode="#,##0.0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72" fontId="0" fillId="0" borderId="0" xfId="0" applyNumberFormat="1" applyFont="1" applyFill="1" applyAlignment="1" applyProtection="1">
      <alignment vertical="center"/>
      <protection locked="0"/>
    </xf>
    <xf numFmtId="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2" fontId="6" fillId="0" borderId="0" xfId="0" applyNumberFormat="1" applyFont="1" applyFill="1" applyAlignment="1" applyProtection="1">
      <alignment vertical="center"/>
      <protection locked="0"/>
    </xf>
    <xf numFmtId="2" fontId="0" fillId="12" borderId="0" xfId="0" applyNumberFormat="1" applyFont="1" applyFill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 locked="0"/>
    </xf>
    <xf numFmtId="172" fontId="0" fillId="12" borderId="0" xfId="0" applyNumberFormat="1" applyFont="1" applyFill="1" applyAlignment="1" applyProtection="1">
      <alignment vertical="center"/>
      <protection locked="0"/>
    </xf>
    <xf numFmtId="0" fontId="0" fillId="10" borderId="0" xfId="0" applyFont="1" applyFill="1" applyAlignment="1" applyProtection="1">
      <alignment vertical="center"/>
      <protection locked="0"/>
    </xf>
    <xf numFmtId="172" fontId="0" fillId="10" borderId="0" xfId="0" applyNumberFormat="1" applyFont="1" applyFill="1" applyAlignment="1" applyProtection="1">
      <alignment vertical="center"/>
      <protection locked="0"/>
    </xf>
    <xf numFmtId="2" fontId="0" fillId="10" borderId="0" xfId="0" applyNumberFormat="1" applyFont="1" applyFill="1" applyAlignment="1" applyProtection="1">
      <alignment vertical="center"/>
      <protection locked="0"/>
    </xf>
    <xf numFmtId="2" fontId="6" fillId="10" borderId="0" xfId="0" applyNumberFormat="1" applyFont="1" applyFill="1" applyAlignment="1" applyProtection="1">
      <alignment vertical="center"/>
      <protection locked="0"/>
    </xf>
    <xf numFmtId="0" fontId="0" fillId="11" borderId="0" xfId="0" applyFont="1" applyFill="1" applyAlignment="1" applyProtection="1">
      <alignment vertical="center"/>
      <protection locked="0"/>
    </xf>
    <xf numFmtId="172" fontId="0" fillId="11" borderId="0" xfId="0" applyNumberFormat="1" applyFont="1" applyFill="1" applyAlignment="1" applyProtection="1">
      <alignment vertical="center"/>
      <protection locked="0"/>
    </xf>
    <xf numFmtId="2" fontId="0" fillId="11" borderId="0" xfId="0" applyNumberFormat="1" applyFont="1" applyFill="1" applyAlignment="1" applyProtection="1">
      <alignment vertical="center"/>
      <protection locked="0"/>
    </xf>
    <xf numFmtId="2" fontId="6" fillId="11" borderId="0" xfId="0" applyNumberFormat="1" applyFont="1" applyFill="1" applyAlignment="1" applyProtection="1">
      <alignment vertical="center"/>
      <protection locked="0"/>
    </xf>
    <xf numFmtId="2" fontId="6" fillId="12" borderId="0" xfId="0" applyNumberFormat="1" applyFont="1" applyFill="1" applyAlignment="1" applyProtection="1">
      <alignment vertical="center"/>
      <protection locked="0"/>
    </xf>
    <xf numFmtId="0" fontId="6" fillId="11" borderId="0" xfId="0" applyFont="1" applyFill="1" applyAlignment="1" applyProtection="1">
      <alignment vertical="center"/>
      <protection locked="0"/>
    </xf>
    <xf numFmtId="172" fontId="6" fillId="11" borderId="0" xfId="0" applyNumberFormat="1" applyFont="1" applyFill="1" applyAlignment="1" applyProtection="1">
      <alignment vertical="center"/>
      <protection locked="0"/>
    </xf>
    <xf numFmtId="0" fontId="6" fillId="10" borderId="0" xfId="0" applyFont="1" applyFill="1" applyAlignment="1" applyProtection="1">
      <alignment vertical="center"/>
      <protection locked="0"/>
    </xf>
    <xf numFmtId="172" fontId="6" fillId="10" borderId="0" xfId="0" applyNumberFormat="1" applyFont="1" applyFill="1" applyAlignment="1" applyProtection="1">
      <alignment vertical="center"/>
      <protection locked="0"/>
    </xf>
    <xf numFmtId="0" fontId="6" fillId="12" borderId="0" xfId="0" applyFont="1" applyFill="1" applyAlignment="1" applyProtection="1">
      <alignment vertical="center"/>
      <protection locked="0"/>
    </xf>
    <xf numFmtId="172" fontId="6" fillId="12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6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2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3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73" fontId="0" fillId="10" borderId="0" xfId="0" applyNumberFormat="1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10" borderId="0" xfId="0" applyNumberFormat="1" applyFont="1" applyFill="1" applyAlignment="1" applyProtection="1">
      <alignment/>
      <protection/>
    </xf>
    <xf numFmtId="2" fontId="0" fillId="10" borderId="0" xfId="0" applyNumberFormat="1" applyFont="1" applyFill="1" applyAlignment="1" applyProtection="1">
      <alignment/>
      <protection/>
    </xf>
    <xf numFmtId="172" fontId="0" fillId="10" borderId="0" xfId="0" applyNumberFormat="1" applyFont="1" applyFill="1" applyAlignment="1" applyProtection="1">
      <alignment vertical="center"/>
      <protection/>
    </xf>
    <xf numFmtId="173" fontId="0" fillId="10" borderId="0" xfId="0" applyNumberFormat="1" applyFont="1" applyFill="1" applyAlignment="1" applyProtection="1">
      <alignment vertical="center"/>
      <protection/>
    </xf>
    <xf numFmtId="173" fontId="0" fillId="0" borderId="0" xfId="0" applyNumberFormat="1" applyFont="1" applyFill="1" applyAlignment="1" applyProtection="1">
      <alignment vertical="center"/>
      <protection/>
    </xf>
    <xf numFmtId="2" fontId="0" fillId="10" borderId="0" xfId="0" applyNumberFormat="1" applyFont="1" applyFill="1" applyAlignment="1" applyProtection="1">
      <alignment vertical="center"/>
      <protection/>
    </xf>
    <xf numFmtId="176" fontId="0" fillId="1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12" borderId="0" xfId="0" applyFont="1" applyFill="1" applyAlignment="1" applyProtection="1">
      <alignment vertical="center"/>
      <protection/>
    </xf>
    <xf numFmtId="172" fontId="0" fillId="12" borderId="0" xfId="0" applyNumberFormat="1" applyFont="1" applyFill="1" applyAlignment="1" applyProtection="1">
      <alignment vertical="center"/>
      <protection/>
    </xf>
    <xf numFmtId="2" fontId="0" fillId="12" borderId="0" xfId="0" applyNumberFormat="1" applyFont="1" applyFill="1" applyAlignment="1" applyProtection="1">
      <alignment vertical="center"/>
      <protection/>
    </xf>
    <xf numFmtId="173" fontId="0" fillId="12" borderId="0" xfId="0" applyNumberFormat="1" applyFont="1" applyFill="1" applyAlignment="1" applyProtection="1">
      <alignment vertical="center"/>
      <protection/>
    </xf>
    <xf numFmtId="176" fontId="0" fillId="12" borderId="0" xfId="0" applyNumberFormat="1" applyFont="1" applyFill="1" applyAlignment="1" applyProtection="1">
      <alignment vertical="center"/>
      <protection/>
    </xf>
    <xf numFmtId="0" fontId="0" fillId="11" borderId="0" xfId="0" applyFont="1" applyFill="1" applyAlignment="1" applyProtection="1">
      <alignment vertical="center"/>
      <protection/>
    </xf>
    <xf numFmtId="172" fontId="0" fillId="11" borderId="0" xfId="0" applyNumberFormat="1" applyFont="1" applyFill="1" applyAlignment="1" applyProtection="1">
      <alignment vertical="center"/>
      <protection/>
    </xf>
    <xf numFmtId="2" fontId="0" fillId="11" borderId="0" xfId="0" applyNumberFormat="1" applyFont="1" applyFill="1" applyAlignment="1" applyProtection="1">
      <alignment vertical="center"/>
      <protection/>
    </xf>
    <xf numFmtId="173" fontId="0" fillId="11" borderId="0" xfId="0" applyNumberFormat="1" applyFont="1" applyFill="1" applyAlignment="1" applyProtection="1">
      <alignment vertical="center"/>
      <protection/>
    </xf>
    <xf numFmtId="176" fontId="0" fillId="11" borderId="0" xfId="0" applyNumberFormat="1" applyFont="1" applyFill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172" fontId="6" fillId="12" borderId="0" xfId="0" applyNumberFormat="1" applyFont="1" applyFill="1" applyAlignment="1" applyProtection="1">
      <alignment vertical="center"/>
      <protection/>
    </xf>
    <xf numFmtId="2" fontId="6" fillId="12" borderId="0" xfId="0" applyNumberFormat="1" applyFont="1" applyFill="1" applyAlignment="1" applyProtection="1">
      <alignment vertical="center"/>
      <protection/>
    </xf>
    <xf numFmtId="173" fontId="6" fillId="12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12" borderId="0" xfId="0" applyNumberFormat="1" applyFont="1" applyFill="1" applyAlignment="1" applyProtection="1">
      <alignment vertical="center"/>
      <protection/>
    </xf>
    <xf numFmtId="0" fontId="6" fillId="11" borderId="0" xfId="0" applyFont="1" applyFill="1" applyAlignment="1" applyProtection="1">
      <alignment vertical="center"/>
      <protection/>
    </xf>
    <xf numFmtId="172" fontId="6" fillId="11" borderId="0" xfId="0" applyNumberFormat="1" applyFont="1" applyFill="1" applyAlignment="1" applyProtection="1">
      <alignment vertical="center"/>
      <protection/>
    </xf>
    <xf numFmtId="2" fontId="6" fillId="11" borderId="0" xfId="0" applyNumberFormat="1" applyFont="1" applyFill="1" applyAlignment="1" applyProtection="1">
      <alignment vertical="center"/>
      <protection/>
    </xf>
    <xf numFmtId="173" fontId="6" fillId="11" borderId="0" xfId="0" applyNumberFormat="1" applyFont="1" applyFill="1" applyAlignment="1" applyProtection="1">
      <alignment vertical="center"/>
      <protection/>
    </xf>
    <xf numFmtId="176" fontId="6" fillId="11" borderId="0" xfId="0" applyNumberFormat="1" applyFont="1" applyFill="1" applyAlignment="1" applyProtection="1">
      <alignment vertical="center"/>
      <protection/>
    </xf>
    <xf numFmtId="0" fontId="6" fillId="10" borderId="0" xfId="0" applyFont="1" applyFill="1" applyAlignment="1" applyProtection="1">
      <alignment vertical="center"/>
      <protection/>
    </xf>
    <xf numFmtId="172" fontId="6" fillId="10" borderId="0" xfId="0" applyNumberFormat="1" applyFont="1" applyFill="1" applyAlignment="1" applyProtection="1">
      <alignment vertical="center"/>
      <protection/>
    </xf>
    <xf numFmtId="2" fontId="6" fillId="10" borderId="0" xfId="0" applyNumberFormat="1" applyFont="1" applyFill="1" applyAlignment="1" applyProtection="1">
      <alignment vertical="center"/>
      <protection/>
    </xf>
    <xf numFmtId="173" fontId="6" fillId="10" borderId="0" xfId="0" applyNumberFormat="1" applyFont="1" applyFill="1" applyAlignment="1" applyProtection="1">
      <alignment vertical="center"/>
      <protection/>
    </xf>
    <xf numFmtId="176" fontId="6" fillId="10" borderId="0" xfId="0" applyNumberFormat="1" applyFont="1" applyFill="1" applyAlignment="1" applyProtection="1">
      <alignment vertical="center"/>
      <protection/>
    </xf>
    <xf numFmtId="17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 locked="0"/>
    </xf>
    <xf numFmtId="0" fontId="6" fillId="1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6" fillId="1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8"/>
  <sheetViews>
    <sheetView tabSelected="1" zoomScalePageLayoutView="0" workbookViewId="0" topLeftCell="A1">
      <selection activeCell="N12" sqref="N12"/>
    </sheetView>
  </sheetViews>
  <sheetFormatPr defaultColWidth="10.7109375" defaultRowHeight="12.75" customHeight="1"/>
  <cols>
    <col min="1" max="1" width="20.7109375" style="0" customWidth="1"/>
    <col min="2" max="54" width="10.7109375" style="0" customWidth="1"/>
    <col min="55" max="55" width="9.140625" style="0" customWidth="1"/>
  </cols>
  <sheetData>
    <row r="1" spans="1:96" s="5" customFormat="1" ht="12.75" customHeight="1">
      <c r="A1" s="33" t="s">
        <v>118</v>
      </c>
      <c r="AI1" s="6"/>
      <c r="AP1" s="6"/>
      <c r="AW1" s="5" t="s">
        <v>118</v>
      </c>
      <c r="AY1" s="35"/>
      <c r="AZ1" s="35"/>
      <c r="BA1" s="35"/>
      <c r="BB1" s="35"/>
      <c r="BD1" s="35" t="s">
        <v>128</v>
      </c>
      <c r="BE1" s="35"/>
      <c r="BF1" s="35"/>
      <c r="BG1" s="35"/>
      <c r="BH1" s="35"/>
      <c r="BI1" s="35"/>
      <c r="BJ1" s="35"/>
      <c r="BL1" s="33" t="s">
        <v>118</v>
      </c>
      <c r="BM1" s="33"/>
      <c r="BN1" s="35"/>
      <c r="BO1" s="35"/>
      <c r="BP1" s="35"/>
      <c r="BQ1" s="35"/>
      <c r="BR1" s="35"/>
      <c r="BS1" s="6"/>
      <c r="BT1" s="34"/>
      <c r="BU1" s="34"/>
      <c r="BV1" s="34"/>
      <c r="BW1" s="35" t="s">
        <v>135</v>
      </c>
      <c r="BX1" s="35"/>
      <c r="BY1" s="35"/>
      <c r="CA1" s="35" t="s">
        <v>137</v>
      </c>
      <c r="CB1" s="35"/>
      <c r="CC1" s="35"/>
      <c r="CD1" s="35"/>
      <c r="CE1" s="35"/>
      <c r="CG1" s="35" t="s">
        <v>33</v>
      </c>
      <c r="CH1" s="35"/>
      <c r="CI1" s="35"/>
      <c r="CK1" s="1" t="s">
        <v>115</v>
      </c>
      <c r="CL1" s="1"/>
      <c r="CM1" s="1"/>
      <c r="CO1" s="1" t="s">
        <v>116</v>
      </c>
      <c r="CR1" s="33" t="s">
        <v>118</v>
      </c>
    </row>
    <row r="2" spans="1:96" s="5" customFormat="1" ht="12.75" customHeight="1">
      <c r="A2" s="2"/>
      <c r="B2" s="2"/>
      <c r="C2" s="3"/>
      <c r="D2" s="4" t="s">
        <v>2</v>
      </c>
      <c r="E2" s="4" t="s">
        <v>20</v>
      </c>
      <c r="F2" s="4" t="s">
        <v>3</v>
      </c>
      <c r="G2" s="4" t="s">
        <v>5</v>
      </c>
      <c r="H2" s="4" t="s">
        <v>28</v>
      </c>
      <c r="I2" s="4" t="s">
        <v>21</v>
      </c>
      <c r="J2" s="4" t="s">
        <v>22</v>
      </c>
      <c r="K2" s="4" t="s">
        <v>19</v>
      </c>
      <c r="L2" s="4" t="s">
        <v>4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10</v>
      </c>
      <c r="R2" s="37"/>
      <c r="S2" s="37" t="s">
        <v>58</v>
      </c>
      <c r="T2" s="37"/>
      <c r="U2" s="40" t="s">
        <v>70</v>
      </c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38"/>
      <c r="AI2" s="41"/>
      <c r="AJ2" s="41"/>
      <c r="AK2" s="40" t="s">
        <v>120</v>
      </c>
      <c r="AL2" s="40" t="s">
        <v>75</v>
      </c>
      <c r="AM2" s="41"/>
      <c r="AN2" s="41"/>
      <c r="AO2" s="42"/>
      <c r="AP2" s="41"/>
      <c r="AQ2" s="37"/>
      <c r="AR2" s="41"/>
      <c r="AS2" s="41"/>
      <c r="AT2" s="41"/>
      <c r="AU2" s="41"/>
      <c r="AV2" s="41"/>
      <c r="AW2" s="38"/>
      <c r="AX2" s="38"/>
      <c r="AY2" s="41"/>
      <c r="AZ2" s="41"/>
      <c r="BA2" s="41"/>
      <c r="BB2" s="43"/>
      <c r="BC2" s="37"/>
      <c r="BD2" s="41"/>
      <c r="BE2" s="41"/>
      <c r="BF2" s="41"/>
      <c r="BG2" s="41"/>
      <c r="BH2" s="41"/>
      <c r="BI2" s="41"/>
      <c r="BJ2" s="41"/>
      <c r="BK2" s="39"/>
      <c r="BL2" s="41"/>
      <c r="BM2" s="41"/>
      <c r="BN2" s="41"/>
      <c r="BO2" s="41"/>
      <c r="BP2" s="41"/>
      <c r="BQ2" s="41"/>
      <c r="BR2" s="41"/>
      <c r="BS2" s="38"/>
      <c r="BT2" s="40" t="s">
        <v>37</v>
      </c>
      <c r="BU2" s="41" t="s">
        <v>37</v>
      </c>
      <c r="BV2" s="40"/>
      <c r="BW2" s="41" t="s">
        <v>136</v>
      </c>
      <c r="BX2" s="41"/>
      <c r="BY2" s="41"/>
      <c r="BZ2" s="38"/>
      <c r="CA2" s="41"/>
      <c r="CB2" s="41"/>
      <c r="CC2" s="41"/>
      <c r="CD2" s="41"/>
      <c r="CE2" s="41"/>
      <c r="CF2" s="39"/>
      <c r="CG2" s="41" t="s">
        <v>136</v>
      </c>
      <c r="CH2" s="41"/>
      <c r="CI2" s="41"/>
      <c r="CJ2" s="37"/>
      <c r="CK2" s="44" t="s">
        <v>41</v>
      </c>
      <c r="CL2" s="45"/>
      <c r="CM2" s="45"/>
      <c r="CN2" s="39"/>
      <c r="CO2" s="46" t="s">
        <v>113</v>
      </c>
      <c r="CP2" s="46" t="s">
        <v>114</v>
      </c>
      <c r="CR2" s="2"/>
    </row>
    <row r="3" spans="1:96" s="5" customFormat="1" ht="12.75" customHeight="1">
      <c r="A3" s="2" t="s">
        <v>56</v>
      </c>
      <c r="B3" s="2" t="s">
        <v>57</v>
      </c>
      <c r="C3" s="3"/>
      <c r="D3" s="4" t="s">
        <v>69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 t="s">
        <v>59</v>
      </c>
      <c r="T3" s="37"/>
      <c r="U3" s="41"/>
      <c r="V3" s="40"/>
      <c r="W3" s="40"/>
      <c r="X3" s="40"/>
      <c r="Y3" s="40"/>
      <c r="Z3" s="40"/>
      <c r="AA3" s="47"/>
      <c r="AB3" s="47"/>
      <c r="AC3" s="40"/>
      <c r="AD3" s="40"/>
      <c r="AE3" s="40"/>
      <c r="AF3" s="40"/>
      <c r="AG3" s="40"/>
      <c r="AH3" s="38"/>
      <c r="AI3" s="40"/>
      <c r="AJ3" s="41"/>
      <c r="AK3" s="42" t="s">
        <v>76</v>
      </c>
      <c r="AL3" s="42" t="s">
        <v>76</v>
      </c>
      <c r="AM3" s="41"/>
      <c r="AN3" s="41"/>
      <c r="AO3" s="42"/>
      <c r="AP3" s="40"/>
      <c r="AQ3" s="37"/>
      <c r="AR3" s="40"/>
      <c r="AS3" s="40"/>
      <c r="AT3" s="40"/>
      <c r="AU3" s="42"/>
      <c r="AV3" s="42"/>
      <c r="AW3" s="38"/>
      <c r="AX3" s="38"/>
      <c r="AY3" s="44" t="s">
        <v>50</v>
      </c>
      <c r="AZ3" s="42" t="s">
        <v>77</v>
      </c>
      <c r="BA3" s="40" t="s">
        <v>138</v>
      </c>
      <c r="BB3" s="41"/>
      <c r="BC3" s="37"/>
      <c r="BD3" s="42" t="s">
        <v>47</v>
      </c>
      <c r="BE3" s="43"/>
      <c r="BF3" s="43"/>
      <c r="BG3" s="42" t="s">
        <v>79</v>
      </c>
      <c r="BH3" s="42"/>
      <c r="BI3" s="42" t="s">
        <v>48</v>
      </c>
      <c r="BJ3" s="42" t="s">
        <v>49</v>
      </c>
      <c r="BK3" s="39"/>
      <c r="BL3" s="41"/>
      <c r="BM3" s="41"/>
      <c r="BN3" s="44" t="s">
        <v>46</v>
      </c>
      <c r="BO3" s="44" t="s">
        <v>77</v>
      </c>
      <c r="BP3" s="44" t="s">
        <v>51</v>
      </c>
      <c r="BQ3" s="42" t="s">
        <v>52</v>
      </c>
      <c r="BR3" s="44" t="s">
        <v>45</v>
      </c>
      <c r="BS3" s="38"/>
      <c r="BT3" s="40" t="s">
        <v>53</v>
      </c>
      <c r="BU3" s="40" t="s">
        <v>53</v>
      </c>
      <c r="BV3" s="40"/>
      <c r="BW3" s="43"/>
      <c r="BX3" s="43"/>
      <c r="BY3" s="43"/>
      <c r="BZ3" s="38"/>
      <c r="CA3" s="42" t="s">
        <v>42</v>
      </c>
      <c r="CB3" s="42" t="s">
        <v>43</v>
      </c>
      <c r="CC3" s="42" t="s">
        <v>44</v>
      </c>
      <c r="CD3" s="42" t="s">
        <v>52</v>
      </c>
      <c r="CE3" s="42" t="s">
        <v>45</v>
      </c>
      <c r="CF3" s="39"/>
      <c r="CG3" s="43"/>
      <c r="CH3" s="43"/>
      <c r="CI3" s="43"/>
      <c r="CJ3" s="37"/>
      <c r="CK3" s="45" t="s">
        <v>136</v>
      </c>
      <c r="CL3" s="45"/>
      <c r="CM3" s="45"/>
      <c r="CN3" s="39"/>
      <c r="CO3" s="46"/>
      <c r="CP3" s="46"/>
      <c r="CR3" s="2"/>
    </row>
    <row r="4" spans="1:96" s="5" customFormat="1" ht="12.75" customHeight="1">
      <c r="A4" s="2"/>
      <c r="B4" s="2"/>
      <c r="C4" s="3" t="s">
        <v>60</v>
      </c>
      <c r="D4" s="4">
        <v>60.0843</v>
      </c>
      <c r="E4" s="4">
        <v>79.8788</v>
      </c>
      <c r="F4" s="4">
        <v>101.9613</v>
      </c>
      <c r="G4" s="4">
        <v>159.6922</v>
      </c>
      <c r="H4" s="4">
        <v>151.989</v>
      </c>
      <c r="I4" s="4">
        <v>71.846</v>
      </c>
      <c r="J4" s="4">
        <v>70.937</v>
      </c>
      <c r="K4" s="4">
        <v>40.305</v>
      </c>
      <c r="L4" s="4">
        <v>56.0774</v>
      </c>
      <c r="M4" s="4">
        <v>103.62</v>
      </c>
      <c r="N4" s="4">
        <v>153.34</v>
      </c>
      <c r="O4" s="4">
        <v>61.97894</v>
      </c>
      <c r="P4" s="4">
        <v>94.195</v>
      </c>
      <c r="Q4" s="4"/>
      <c r="R4" s="37"/>
      <c r="S4" s="37"/>
      <c r="T4" s="37"/>
      <c r="U4" s="40" t="s">
        <v>11</v>
      </c>
      <c r="V4" s="40" t="s">
        <v>68</v>
      </c>
      <c r="W4" s="40" t="s">
        <v>12</v>
      </c>
      <c r="X4" s="40" t="s">
        <v>14</v>
      </c>
      <c r="Y4" s="40" t="s">
        <v>29</v>
      </c>
      <c r="Z4" s="40" t="s">
        <v>23</v>
      </c>
      <c r="AA4" s="47" t="s">
        <v>24</v>
      </c>
      <c r="AB4" s="47" t="s">
        <v>25</v>
      </c>
      <c r="AC4" s="40" t="s">
        <v>13</v>
      </c>
      <c r="AD4" s="40" t="s">
        <v>15</v>
      </c>
      <c r="AE4" s="40" t="s">
        <v>16</v>
      </c>
      <c r="AF4" s="40" t="s">
        <v>17</v>
      </c>
      <c r="AG4" s="40" t="s">
        <v>34</v>
      </c>
      <c r="AH4" s="38"/>
      <c r="AI4" s="40" t="s">
        <v>72</v>
      </c>
      <c r="AJ4" s="40" t="s">
        <v>27</v>
      </c>
      <c r="AK4" s="48" t="s">
        <v>71</v>
      </c>
      <c r="AL4" s="40" t="s">
        <v>26</v>
      </c>
      <c r="AM4" s="40" t="s">
        <v>18</v>
      </c>
      <c r="AN4" s="44" t="s">
        <v>121</v>
      </c>
      <c r="AO4" s="44" t="s">
        <v>122</v>
      </c>
      <c r="AP4" s="48" t="s">
        <v>38</v>
      </c>
      <c r="AQ4" s="37"/>
      <c r="AR4" s="40" t="s">
        <v>36</v>
      </c>
      <c r="AS4" s="40" t="s">
        <v>123</v>
      </c>
      <c r="AT4" s="40" t="s">
        <v>124</v>
      </c>
      <c r="AU4" s="42" t="s">
        <v>122</v>
      </c>
      <c r="AV4" s="42"/>
      <c r="AW4" s="38"/>
      <c r="AX4" s="38"/>
      <c r="AY4" s="48" t="s">
        <v>125</v>
      </c>
      <c r="AZ4" s="43" t="s">
        <v>35</v>
      </c>
      <c r="BA4" s="40" t="s">
        <v>127</v>
      </c>
      <c r="BB4" s="43" t="s">
        <v>126</v>
      </c>
      <c r="BC4" s="37"/>
      <c r="BD4" s="43" t="s">
        <v>39</v>
      </c>
      <c r="BE4" s="43" t="s">
        <v>129</v>
      </c>
      <c r="BF4" s="43" t="s">
        <v>130</v>
      </c>
      <c r="BG4" s="43" t="s">
        <v>78</v>
      </c>
      <c r="BH4" s="43" t="s">
        <v>131</v>
      </c>
      <c r="BI4" s="43" t="s">
        <v>30</v>
      </c>
      <c r="BJ4" s="43" t="s">
        <v>132</v>
      </c>
      <c r="BK4" s="39"/>
      <c r="BL4" s="41"/>
      <c r="BM4" s="41"/>
      <c r="BN4" s="49" t="s">
        <v>31</v>
      </c>
      <c r="BO4" s="49" t="s">
        <v>32</v>
      </c>
      <c r="BP4" s="49" t="s">
        <v>133</v>
      </c>
      <c r="BQ4" s="43" t="s">
        <v>134</v>
      </c>
      <c r="BR4" s="48" t="s">
        <v>41</v>
      </c>
      <c r="BS4" s="38"/>
      <c r="BT4" s="42" t="s">
        <v>55</v>
      </c>
      <c r="BU4" s="40" t="s">
        <v>54</v>
      </c>
      <c r="BV4" s="42"/>
      <c r="BW4" s="43" t="s">
        <v>1</v>
      </c>
      <c r="BX4" s="43" t="s">
        <v>0</v>
      </c>
      <c r="BY4" s="43" t="s">
        <v>40</v>
      </c>
      <c r="BZ4" s="38"/>
      <c r="CA4" s="40" t="s">
        <v>1</v>
      </c>
      <c r="CB4" s="40" t="s">
        <v>0</v>
      </c>
      <c r="CC4" s="43" t="s">
        <v>30</v>
      </c>
      <c r="CD4" s="43" t="s">
        <v>33</v>
      </c>
      <c r="CE4" s="40" t="s">
        <v>41</v>
      </c>
      <c r="CF4" s="39"/>
      <c r="CG4" s="43" t="s">
        <v>1</v>
      </c>
      <c r="CH4" s="43" t="s">
        <v>0</v>
      </c>
      <c r="CI4" s="43" t="s">
        <v>33</v>
      </c>
      <c r="CJ4" s="37"/>
      <c r="CK4" s="49" t="s">
        <v>1</v>
      </c>
      <c r="CL4" s="49" t="s">
        <v>0</v>
      </c>
      <c r="CM4" s="44" t="s">
        <v>41</v>
      </c>
      <c r="CN4" s="39"/>
      <c r="CO4" s="46"/>
      <c r="CP4" s="46"/>
      <c r="CR4" s="2"/>
    </row>
    <row r="5" spans="1:96" s="5" customFormat="1" ht="12.75" customHeight="1">
      <c r="A5" s="2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7"/>
      <c r="S5" s="37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50"/>
      <c r="AL5" s="38"/>
      <c r="AM5" s="38"/>
      <c r="AN5" s="51"/>
      <c r="AO5" s="51"/>
      <c r="AP5" s="50"/>
      <c r="AQ5" s="37"/>
      <c r="AR5" s="38"/>
      <c r="AS5" s="38"/>
      <c r="AT5" s="38"/>
      <c r="AU5" s="52"/>
      <c r="AV5" s="52"/>
      <c r="AW5" s="38"/>
      <c r="AX5" s="38"/>
      <c r="AY5" s="50"/>
      <c r="AZ5" s="39"/>
      <c r="BA5" s="38"/>
      <c r="BB5" s="39"/>
      <c r="BC5" s="37"/>
      <c r="BD5" s="39"/>
      <c r="BE5" s="39"/>
      <c r="BF5" s="39"/>
      <c r="BG5" s="39"/>
      <c r="BH5" s="39"/>
      <c r="BI5" s="39"/>
      <c r="BJ5" s="39"/>
      <c r="BK5" s="39"/>
      <c r="BL5" s="37"/>
      <c r="BM5" s="37"/>
      <c r="BN5" s="53"/>
      <c r="BO5" s="53"/>
      <c r="BP5" s="53"/>
      <c r="BQ5" s="39"/>
      <c r="BR5" s="50"/>
      <c r="BS5" s="38"/>
      <c r="BT5" s="38"/>
      <c r="BU5" s="38"/>
      <c r="BV5" s="38"/>
      <c r="BW5" s="39"/>
      <c r="BX5" s="39"/>
      <c r="BY5" s="39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7"/>
      <c r="CK5" s="46"/>
      <c r="CL5" s="46"/>
      <c r="CM5" s="46"/>
      <c r="CN5" s="39"/>
      <c r="CO5" s="46"/>
      <c r="CP5" s="46"/>
      <c r="CR5" s="2"/>
    </row>
    <row r="6" spans="1:96" s="5" customFormat="1" ht="12.75" customHeight="1">
      <c r="A6" s="2" t="s">
        <v>63</v>
      </c>
      <c r="B6" s="2" t="s">
        <v>1</v>
      </c>
      <c r="C6" s="4">
        <f>22.99+26.982+28.085+16*4</f>
        <v>142.057</v>
      </c>
      <c r="D6" s="4">
        <f>D4/C6*100</f>
        <v>42.29590938848491</v>
      </c>
      <c r="E6" s="4"/>
      <c r="F6" s="4">
        <f>(F4/C6)*100/2</f>
        <v>35.88746066719697</v>
      </c>
      <c r="G6" s="4"/>
      <c r="H6" s="4"/>
      <c r="I6" s="4"/>
      <c r="J6" s="4"/>
      <c r="K6" s="4"/>
      <c r="L6" s="4"/>
      <c r="M6" s="4"/>
      <c r="N6" s="4"/>
      <c r="O6" s="4">
        <f>(O4/C6)*100/2</f>
        <v>21.81481377193662</v>
      </c>
      <c r="P6" s="4"/>
      <c r="Q6" s="4">
        <f aca="true" t="shared" si="0" ref="Q6:Q12">SUM(D6:P6)</f>
        <v>99.9981838276185</v>
      </c>
      <c r="R6" s="37"/>
      <c r="S6" s="38">
        <f aca="true" t="shared" si="1" ref="S6:S12">32/(D6*2/60.0843+E6*2/79.8788+F6*3/101.9613+G6*3/159.6922+H6*3/151.989+I6/71.846+K6/40.305+J6/70.937+L6/56.0774+M6/103.62+N6/153.34+O6/61.97894+P6/94.195)</f>
        <v>11.364559999999999</v>
      </c>
      <c r="T6" s="37"/>
      <c r="U6" s="38">
        <f aca="true" t="shared" si="2" ref="U6:U12">D6*S6/60.0843</f>
        <v>8</v>
      </c>
      <c r="V6" s="38">
        <f aca="true" t="shared" si="3" ref="V6:V12">E6*S6/79.8788</f>
        <v>0</v>
      </c>
      <c r="W6" s="38">
        <f aca="true" t="shared" si="4" ref="W6:W12">F6*2*S6/101.9613</f>
        <v>8</v>
      </c>
      <c r="X6" s="38">
        <f aca="true" t="shared" si="5" ref="X6:X12">G6*2*S6/159.6922</f>
        <v>0</v>
      </c>
      <c r="Y6" s="38">
        <f aca="true" t="shared" si="6" ref="Y6:Y12">H6*2*S6/151.989</f>
        <v>0</v>
      </c>
      <c r="Z6" s="38">
        <f aca="true" t="shared" si="7" ref="Z6:Z12">I6*S6/71.846</f>
        <v>0</v>
      </c>
      <c r="AA6" s="38">
        <f aca="true" t="shared" si="8" ref="AA6:AA12">K6*S6/40.305</f>
        <v>0</v>
      </c>
      <c r="AB6" s="38">
        <f aca="true" t="shared" si="9" ref="AB6:AB12">J6*S6/70.937</f>
        <v>0</v>
      </c>
      <c r="AC6" s="38">
        <f>L6*S6/56.0774</f>
        <v>0</v>
      </c>
      <c r="AD6" s="38">
        <f>M6*S6/103.62</f>
        <v>0</v>
      </c>
      <c r="AE6" s="38">
        <f>N6*S6/153.34</f>
        <v>0</v>
      </c>
      <c r="AF6" s="38">
        <f>O6*2*S6/61.97894</f>
        <v>8</v>
      </c>
      <c r="AG6" s="38">
        <f>P6*2*S6/94.195</f>
        <v>0</v>
      </c>
      <c r="AH6" s="38"/>
      <c r="AI6" s="38">
        <f>(U6+V6-(Z6+AA6+AB6))/(W6+X6+Y6+2*(Z6+AA6+AB6))</f>
        <v>1</v>
      </c>
      <c r="AJ6" s="38">
        <f>SUM(U6:AG6)</f>
        <v>24</v>
      </c>
      <c r="AK6" s="50">
        <f>SUM(U6:AB6)</f>
        <v>16</v>
      </c>
      <c r="AL6" s="38">
        <f>SUM(AC6+AD6+AE6+AF6+AG6)</f>
        <v>8</v>
      </c>
      <c r="AM6" s="38">
        <f>AC6*2+AD6*2+AE6*2+AF6+AG6</f>
        <v>8</v>
      </c>
      <c r="AN6" s="50">
        <f>(W6+X6+Y6)+2*(Z6+AA6+AB6)-AM6</f>
        <v>0</v>
      </c>
      <c r="AO6" s="50">
        <f>AR6-AT6</f>
        <v>0</v>
      </c>
      <c r="AP6" s="50" t="e">
        <f>AN6/AO6</f>
        <v>#DIV/0!</v>
      </c>
      <c r="AQ6" s="37"/>
      <c r="AR6" s="38">
        <f aca="true" t="shared" si="10" ref="AR6:AR12">((U6+V6)*4+(W6+X6+Y6)*3+(Z6+AA6+AB6)*2)</f>
        <v>56</v>
      </c>
      <c r="AS6" s="38">
        <f aca="true" t="shared" si="11" ref="AS6:AS12">AR6/(U6+V6+W6+X6+Y6+Z6+AA6+AB6)</f>
        <v>3.5</v>
      </c>
      <c r="AT6" s="38">
        <f>16*AS6</f>
        <v>56</v>
      </c>
      <c r="AU6" s="52">
        <f>AR6-AT6</f>
        <v>0</v>
      </c>
      <c r="AV6" s="52"/>
      <c r="AW6" s="38" t="s">
        <v>63</v>
      </c>
      <c r="AX6" s="38"/>
      <c r="AY6" s="50">
        <f aca="true" t="shared" si="12" ref="AY6:AY12">(U6+V6)-AC6*2-AD6*2-AE6*2-AF6-AG6-(Z6+AA6+AB6)</f>
        <v>0</v>
      </c>
      <c r="AZ6" s="39">
        <f aca="true" t="shared" si="13" ref="AZ6:AZ12">AY6*100/16</f>
        <v>0</v>
      </c>
      <c r="BA6" s="38">
        <f aca="true" t="shared" si="14" ref="BA6:BA12">24-AF6*3-AG6*3-(AC6+AD6+AE6)*6-AY6</f>
        <v>0</v>
      </c>
      <c r="BB6" s="39">
        <f aca="true" t="shared" si="15" ref="BB6:BB12">AN6*100/21.3333</f>
        <v>0</v>
      </c>
      <c r="BC6" s="37"/>
      <c r="BD6" s="39">
        <f aca="true" t="shared" si="16" ref="BD6:BD12">AF6*3*100/24</f>
        <v>100</v>
      </c>
      <c r="BE6" s="39">
        <f aca="true" t="shared" si="17" ref="BE6:BE12">(AF6-X6-Y6)*3*100/24</f>
        <v>100</v>
      </c>
      <c r="BF6" s="39">
        <f aca="true" t="shared" si="18" ref="BF6:BF12">(X6+Y6)*3*100/24</f>
        <v>0</v>
      </c>
      <c r="BG6" s="39">
        <f aca="true" t="shared" si="19" ref="BG6:BG12">AG6*3*100/24</f>
        <v>0</v>
      </c>
      <c r="BH6" s="39">
        <f aca="true" t="shared" si="20" ref="BH6:BH12">(AG6-2*(Z6+AA6+AB6))*3*100/24</f>
        <v>0</v>
      </c>
      <c r="BI6" s="39">
        <f aca="true" t="shared" si="21" ref="BI6:BI12">(AC6+AD6+AE6)*6*100/24</f>
        <v>0</v>
      </c>
      <c r="BJ6" s="39">
        <f aca="true" t="shared" si="22" ref="BJ6:BJ12">(Z6+AA6+AB6)*6*100/24</f>
        <v>0</v>
      </c>
      <c r="BK6" s="39"/>
      <c r="BL6" s="37" t="str">
        <f aca="true" t="shared" si="23" ref="BL6:BL12">A6</f>
        <v>NaAlSiO4</v>
      </c>
      <c r="BM6" s="37"/>
      <c r="BN6" s="53">
        <f aca="true" t="shared" si="24" ref="BN6:BN12">(24-(AF6*3)-(AG6*3)-((AC6+AD6+AE6)*6))*100/24</f>
        <v>0</v>
      </c>
      <c r="BO6" s="53">
        <f aca="true" t="shared" si="25" ref="BO6:BO12">AY6*100/16</f>
        <v>0</v>
      </c>
      <c r="BP6" s="53">
        <f aca="true" t="shared" si="26" ref="BP6:BP12">(24-AJ6-AC6-AD6-AE6)*100/8</f>
        <v>0</v>
      </c>
      <c r="BQ6" s="39">
        <f aca="true" t="shared" si="27" ref="BQ6:BQ12">(8-AF6-AG6-(AC6+AD6+AE6)*2)*100/8</f>
        <v>0</v>
      </c>
      <c r="BR6" s="53">
        <f aca="true" t="shared" si="28" ref="BR6:BR12">((U6+V6)-(W6+X6+Y6)-((Z6+AA6+AB6)*3))*100/16</f>
        <v>0</v>
      </c>
      <c r="BS6" s="38"/>
      <c r="BT6" s="39">
        <f aca="true" t="shared" si="29" ref="BT6:BT12">(BN6-BO6)*24/100</f>
        <v>0</v>
      </c>
      <c r="BU6" s="39" t="e">
        <f aca="true" t="shared" si="30" ref="BU6:BU12">(BN6-BO6)/BN6</f>
        <v>#DIV/0!</v>
      </c>
      <c r="BV6" s="39"/>
      <c r="BW6" s="39">
        <f>BD6*100/(BD6+BG6+BN6)</f>
        <v>100</v>
      </c>
      <c r="BX6" s="39">
        <f>BG6*100/(BD6+BG6+BN6)</f>
        <v>0</v>
      </c>
      <c r="BY6" s="39">
        <f>BN6*100/(BD6+BG6+BN6)</f>
        <v>0</v>
      </c>
      <c r="BZ6" s="38"/>
      <c r="CA6" s="39">
        <f aca="true" t="shared" si="31" ref="CA6:CB12">AF6*100/8</f>
        <v>100</v>
      </c>
      <c r="CB6" s="39">
        <f t="shared" si="31"/>
        <v>0</v>
      </c>
      <c r="CC6" s="39">
        <f aca="true" t="shared" si="32" ref="CC6:CC12">2*(AC6+AD6+AE6)*100/8</f>
        <v>0</v>
      </c>
      <c r="CD6" s="39">
        <f aca="true" t="shared" si="33" ref="CD6:CD12">(8-AF6-AG6-2*(AC6+AD6+AE6))*100/8</f>
        <v>0</v>
      </c>
      <c r="CE6" s="39">
        <f aca="true" t="shared" si="34" ref="CE6:CE12">((U6+V6)-(W6+X6+Y6)-((Z6+AA6+AB6)*3))*100/16</f>
        <v>0</v>
      </c>
      <c r="CF6" s="39"/>
      <c r="CG6" s="39">
        <f aca="true" t="shared" si="35" ref="CG6:CG12">CA6*100/(CA6+CB6+CD6)</f>
        <v>100</v>
      </c>
      <c r="CH6" s="39">
        <f aca="true" t="shared" si="36" ref="CH6:CH12">CB6*100/(CA6+CB6+CD6)</f>
        <v>0</v>
      </c>
      <c r="CI6" s="39">
        <f aca="true" t="shared" si="37" ref="CI6:CI12">CD6*100/(CA6+CB6+CD6)</f>
        <v>0</v>
      </c>
      <c r="CJ6" s="37"/>
      <c r="CK6" s="53">
        <f aca="true" t="shared" si="38" ref="CK6:CK12">CA6*100/(CA6+CB6+CE6)</f>
        <v>100</v>
      </c>
      <c r="CL6" s="53">
        <f aca="true" t="shared" si="39" ref="CL6:CL12">CB6*100/(CA6+CB6+CE6)</f>
        <v>0</v>
      </c>
      <c r="CM6" s="53">
        <f aca="true" t="shared" si="40" ref="CM6:CM12">CE6*100/(CA6+CB6+CE6)</f>
        <v>0</v>
      </c>
      <c r="CN6" s="39"/>
      <c r="CO6" s="54">
        <f aca="true" t="shared" si="41" ref="CO6:CO12">CA6/(CA6+CB6)*100</f>
        <v>100</v>
      </c>
      <c r="CP6" s="54">
        <f>100-CO6</f>
        <v>0</v>
      </c>
      <c r="CR6" s="2" t="str">
        <f aca="true" t="shared" si="42" ref="CR6:CR12">A6</f>
        <v>NaAlSiO4</v>
      </c>
    </row>
    <row r="7" spans="1:96" s="5" customFormat="1" ht="12.75" customHeight="1">
      <c r="A7" s="2" t="s">
        <v>65</v>
      </c>
      <c r="B7" s="2" t="s">
        <v>119</v>
      </c>
      <c r="C7" s="4">
        <f>22.99*0.75+39.098*0.25+26.982+28.085+16*4</f>
        <v>146.084</v>
      </c>
      <c r="D7" s="4">
        <f>D4/C7*100</f>
        <v>41.129966320746966</v>
      </c>
      <c r="E7" s="4"/>
      <c r="F7" s="4">
        <f>(F4/C7)*100/2</f>
        <v>34.89817502258974</v>
      </c>
      <c r="G7" s="4"/>
      <c r="H7" s="4"/>
      <c r="I7" s="4"/>
      <c r="J7" s="4"/>
      <c r="K7" s="4"/>
      <c r="L7" s="4"/>
      <c r="M7" s="4"/>
      <c r="N7" s="4"/>
      <c r="O7" s="4">
        <f>(O4/C7)*100*3/8</f>
        <v>15.910094534651297</v>
      </c>
      <c r="P7" s="4">
        <f>(P4/C7)*100/8</f>
        <v>8.06000314887325</v>
      </c>
      <c r="Q7" s="4">
        <f t="shared" si="0"/>
        <v>99.99823902686124</v>
      </c>
      <c r="R7" s="37"/>
      <c r="S7" s="38">
        <f t="shared" si="1"/>
        <v>11.686720000000001</v>
      </c>
      <c r="T7" s="37"/>
      <c r="U7" s="38">
        <f t="shared" si="2"/>
        <v>8.000000000000002</v>
      </c>
      <c r="V7" s="38">
        <f t="shared" si="3"/>
        <v>0</v>
      </c>
      <c r="W7" s="38">
        <f t="shared" si="4"/>
        <v>8</v>
      </c>
      <c r="X7" s="38">
        <f t="shared" si="5"/>
        <v>0</v>
      </c>
      <c r="Y7" s="38">
        <f t="shared" si="6"/>
        <v>0</v>
      </c>
      <c r="Z7" s="38">
        <f t="shared" si="7"/>
        <v>0</v>
      </c>
      <c r="AA7" s="38">
        <f t="shared" si="8"/>
        <v>0</v>
      </c>
      <c r="AB7" s="38">
        <f t="shared" si="9"/>
        <v>0</v>
      </c>
      <c r="AC7" s="38">
        <f aca="true" t="shared" si="43" ref="AC7:AC12">L7*S7/56.0774</f>
        <v>0</v>
      </c>
      <c r="AD7" s="38">
        <f aca="true" t="shared" si="44" ref="AD7:AD12">M7*S7/103.62</f>
        <v>0</v>
      </c>
      <c r="AE7" s="38">
        <f aca="true" t="shared" si="45" ref="AE7:AE12">N7*S7/153.34</f>
        <v>0</v>
      </c>
      <c r="AF7" s="38">
        <f aca="true" t="shared" si="46" ref="AF7:AF12">O7*2*S7/61.97894</f>
        <v>6</v>
      </c>
      <c r="AG7" s="38">
        <f aca="true" t="shared" si="47" ref="AG7:AG12">P7*2*S7/94.195</f>
        <v>2</v>
      </c>
      <c r="AH7" s="38"/>
      <c r="AI7" s="38">
        <f aca="true" t="shared" si="48" ref="AI7:AI12">(U7+V7-(Z7+AA7+AB7))/(W7+X7+Y7+2*(Z7+AA7+AB7))</f>
        <v>1.0000000000000002</v>
      </c>
      <c r="AJ7" s="38">
        <f aca="true" t="shared" si="49" ref="AJ7:AJ12">SUM(U7:AG7)</f>
        <v>24</v>
      </c>
      <c r="AK7" s="50">
        <f aca="true" t="shared" si="50" ref="AK7:AK12">SUM(U7:AB7)</f>
        <v>16</v>
      </c>
      <c r="AL7" s="38">
        <f aca="true" t="shared" si="51" ref="AL7:AL12">SUM(AC7+AD7+AE7+AF7+AG7)</f>
        <v>8</v>
      </c>
      <c r="AM7" s="38">
        <f aca="true" t="shared" si="52" ref="AM7:AM12">AC7*2+AD7*2+AE7*2+AF7+AG7</f>
        <v>8</v>
      </c>
      <c r="AN7" s="50">
        <f aca="true" t="shared" si="53" ref="AN7:AN12">(W7+X7+Y7)+2*(Z7+AA7+AB7)-AM7</f>
        <v>0</v>
      </c>
      <c r="AO7" s="50">
        <f aca="true" t="shared" si="54" ref="AO7:AO12">AR7-AT7</f>
        <v>0</v>
      </c>
      <c r="AP7" s="50" t="e">
        <f aca="true" t="shared" si="55" ref="AP7:AP12">AN7/AO7</f>
        <v>#DIV/0!</v>
      </c>
      <c r="AQ7" s="37"/>
      <c r="AR7" s="38">
        <f t="shared" si="10"/>
        <v>56.00000000000001</v>
      </c>
      <c r="AS7" s="38">
        <f t="shared" si="11"/>
        <v>3.5000000000000004</v>
      </c>
      <c r="AT7" s="38">
        <f aca="true" t="shared" si="56" ref="AT7:AT12">16*AS7</f>
        <v>56.00000000000001</v>
      </c>
      <c r="AU7" s="52">
        <f aca="true" t="shared" si="57" ref="AU7:AU12">AR7-AT7</f>
        <v>0</v>
      </c>
      <c r="AV7" s="52"/>
      <c r="AW7" s="38" t="s">
        <v>65</v>
      </c>
      <c r="AX7" s="38"/>
      <c r="AY7" s="50">
        <f t="shared" si="12"/>
        <v>1.7763568394002505E-15</v>
      </c>
      <c r="AZ7" s="39">
        <f t="shared" si="13"/>
        <v>1.1102230246251565E-14</v>
      </c>
      <c r="BA7" s="38">
        <f t="shared" si="14"/>
        <v>-1.7763568394002505E-15</v>
      </c>
      <c r="BB7" s="39">
        <f t="shared" si="15"/>
        <v>0</v>
      </c>
      <c r="BC7" s="37"/>
      <c r="BD7" s="39">
        <f t="shared" si="16"/>
        <v>75</v>
      </c>
      <c r="BE7" s="39">
        <f t="shared" si="17"/>
        <v>75</v>
      </c>
      <c r="BF7" s="39">
        <f t="shared" si="18"/>
        <v>0</v>
      </c>
      <c r="BG7" s="39">
        <f t="shared" si="19"/>
        <v>25</v>
      </c>
      <c r="BH7" s="39">
        <f t="shared" si="20"/>
        <v>25</v>
      </c>
      <c r="BI7" s="39">
        <f t="shared" si="21"/>
        <v>0</v>
      </c>
      <c r="BJ7" s="39">
        <f t="shared" si="22"/>
        <v>0</v>
      </c>
      <c r="BK7" s="39"/>
      <c r="BL7" s="37" t="str">
        <f t="shared" si="23"/>
        <v>Na0.75K0.25AlSiO4</v>
      </c>
      <c r="BM7" s="37"/>
      <c r="BN7" s="53">
        <f t="shared" si="24"/>
        <v>0</v>
      </c>
      <c r="BO7" s="53">
        <f t="shared" si="25"/>
        <v>1.1102230246251565E-14</v>
      </c>
      <c r="BP7" s="53">
        <f t="shared" si="26"/>
        <v>0</v>
      </c>
      <c r="BQ7" s="39">
        <f t="shared" si="27"/>
        <v>0</v>
      </c>
      <c r="BR7" s="53">
        <f t="shared" si="28"/>
        <v>1.1102230246251565E-14</v>
      </c>
      <c r="BS7" s="38"/>
      <c r="BT7" s="39">
        <f t="shared" si="29"/>
        <v>-2.6645352591003757E-15</v>
      </c>
      <c r="BU7" s="39" t="e">
        <f t="shared" si="30"/>
        <v>#DIV/0!</v>
      </c>
      <c r="BV7" s="39"/>
      <c r="BW7" s="39">
        <f aca="true" t="shared" si="58" ref="BW7:BW12">BD7*100/(BD7+BG7+BN7)</f>
        <v>75</v>
      </c>
      <c r="BX7" s="39">
        <f aca="true" t="shared" si="59" ref="BX7:BX12">BG7*100/(BD7+BG7+BN7)</f>
        <v>25</v>
      </c>
      <c r="BY7" s="39">
        <f aca="true" t="shared" si="60" ref="BY7:BY12">BN7*100/(BD7+BG7+BN7)</f>
        <v>0</v>
      </c>
      <c r="BZ7" s="38"/>
      <c r="CA7" s="39">
        <f t="shared" si="31"/>
        <v>75</v>
      </c>
      <c r="CB7" s="39">
        <f t="shared" si="31"/>
        <v>25</v>
      </c>
      <c r="CC7" s="39">
        <f t="shared" si="32"/>
        <v>0</v>
      </c>
      <c r="CD7" s="39">
        <f t="shared" si="33"/>
        <v>0</v>
      </c>
      <c r="CE7" s="39">
        <f t="shared" si="34"/>
        <v>1.1102230246251565E-14</v>
      </c>
      <c r="CF7" s="39"/>
      <c r="CG7" s="39">
        <f t="shared" si="35"/>
        <v>75</v>
      </c>
      <c r="CH7" s="39">
        <f t="shared" si="36"/>
        <v>25</v>
      </c>
      <c r="CI7" s="39">
        <f t="shared" si="37"/>
        <v>0</v>
      </c>
      <c r="CJ7" s="37"/>
      <c r="CK7" s="53">
        <f t="shared" si="38"/>
        <v>74.99999999999999</v>
      </c>
      <c r="CL7" s="53">
        <f t="shared" si="39"/>
        <v>24.999999999999996</v>
      </c>
      <c r="CM7" s="53">
        <f t="shared" si="40"/>
        <v>1.1102230246251564E-14</v>
      </c>
      <c r="CN7" s="39"/>
      <c r="CO7" s="54">
        <f t="shared" si="41"/>
        <v>75</v>
      </c>
      <c r="CP7" s="54">
        <f aca="true" t="shared" si="61" ref="CP7:CP67">100-CO7</f>
        <v>25</v>
      </c>
      <c r="CR7" s="2" t="str">
        <f t="shared" si="42"/>
        <v>Na0.75K0.25AlSiO4</v>
      </c>
    </row>
    <row r="8" spans="1:96" s="5" customFormat="1" ht="12.75" customHeight="1">
      <c r="A8" s="2" t="s">
        <v>62</v>
      </c>
      <c r="B8" s="2" t="s">
        <v>0</v>
      </c>
      <c r="C8" s="4">
        <f>39.098+26.982+28.085+16*4</f>
        <v>158.165</v>
      </c>
      <c r="D8" s="4">
        <f>D4/C8*100</f>
        <v>37.98836657920526</v>
      </c>
      <c r="E8" s="4"/>
      <c r="F8" s="4">
        <f>F4/C8*100/2</f>
        <v>32.23257357822527</v>
      </c>
      <c r="G8" s="4"/>
      <c r="H8" s="4"/>
      <c r="I8" s="4"/>
      <c r="J8" s="4"/>
      <c r="K8" s="4"/>
      <c r="L8" s="4"/>
      <c r="M8" s="4"/>
      <c r="N8" s="4"/>
      <c r="O8" s="4"/>
      <c r="P8" s="4">
        <f>P4/C8*100/2</f>
        <v>29.77744760218759</v>
      </c>
      <c r="Q8" s="4">
        <f t="shared" si="0"/>
        <v>99.99838775961813</v>
      </c>
      <c r="R8" s="37"/>
      <c r="S8" s="38">
        <f t="shared" si="1"/>
        <v>12.653199999999998</v>
      </c>
      <c r="T8" s="37"/>
      <c r="U8" s="38">
        <f t="shared" si="2"/>
        <v>7.999999999999999</v>
      </c>
      <c r="V8" s="38">
        <f t="shared" si="3"/>
        <v>0</v>
      </c>
      <c r="W8" s="38">
        <f t="shared" si="4"/>
        <v>7.999999999999999</v>
      </c>
      <c r="X8" s="38">
        <f t="shared" si="5"/>
        <v>0</v>
      </c>
      <c r="Y8" s="38">
        <f t="shared" si="6"/>
        <v>0</v>
      </c>
      <c r="Z8" s="38">
        <f t="shared" si="7"/>
        <v>0</v>
      </c>
      <c r="AA8" s="38">
        <f t="shared" si="8"/>
        <v>0</v>
      </c>
      <c r="AB8" s="38">
        <f t="shared" si="9"/>
        <v>0</v>
      </c>
      <c r="AC8" s="38">
        <f t="shared" si="43"/>
        <v>0</v>
      </c>
      <c r="AD8" s="38">
        <f t="shared" si="44"/>
        <v>0</v>
      </c>
      <c r="AE8" s="38">
        <f t="shared" si="45"/>
        <v>0</v>
      </c>
      <c r="AF8" s="38">
        <f t="shared" si="46"/>
        <v>0</v>
      </c>
      <c r="AG8" s="38">
        <f t="shared" si="47"/>
        <v>8</v>
      </c>
      <c r="AH8" s="38"/>
      <c r="AI8" s="38">
        <f t="shared" si="48"/>
        <v>1</v>
      </c>
      <c r="AJ8" s="38">
        <f t="shared" si="49"/>
        <v>24</v>
      </c>
      <c r="AK8" s="50">
        <f t="shared" si="50"/>
        <v>15.999999999999998</v>
      </c>
      <c r="AL8" s="38">
        <f t="shared" si="51"/>
        <v>8</v>
      </c>
      <c r="AM8" s="38">
        <f t="shared" si="52"/>
        <v>8</v>
      </c>
      <c r="AN8" s="50">
        <f t="shared" si="53"/>
        <v>0</v>
      </c>
      <c r="AO8" s="50">
        <f t="shared" si="54"/>
        <v>0</v>
      </c>
      <c r="AP8" s="50" t="e">
        <f t="shared" si="55"/>
        <v>#DIV/0!</v>
      </c>
      <c r="AQ8" s="37"/>
      <c r="AR8" s="38">
        <f t="shared" si="10"/>
        <v>55.99999999999999</v>
      </c>
      <c r="AS8" s="38">
        <f t="shared" si="11"/>
        <v>3.5</v>
      </c>
      <c r="AT8" s="38">
        <f t="shared" si="56"/>
        <v>56</v>
      </c>
      <c r="AU8" s="52">
        <f t="shared" si="57"/>
        <v>0</v>
      </c>
      <c r="AV8" s="52"/>
      <c r="AW8" s="38" t="s">
        <v>62</v>
      </c>
      <c r="AX8" s="38"/>
      <c r="AY8" s="50">
        <f t="shared" si="12"/>
        <v>-8.881784197001252E-16</v>
      </c>
      <c r="AZ8" s="39">
        <f t="shared" si="13"/>
        <v>-5.551115123125783E-15</v>
      </c>
      <c r="BA8" s="38">
        <f t="shared" si="14"/>
        <v>8.881784197001252E-16</v>
      </c>
      <c r="BB8" s="39">
        <f t="shared" si="15"/>
        <v>0</v>
      </c>
      <c r="BC8" s="37"/>
      <c r="BD8" s="39">
        <f t="shared" si="16"/>
        <v>0</v>
      </c>
      <c r="BE8" s="39">
        <f t="shared" si="17"/>
        <v>0</v>
      </c>
      <c r="BF8" s="39">
        <f t="shared" si="18"/>
        <v>0</v>
      </c>
      <c r="BG8" s="39">
        <f t="shared" si="19"/>
        <v>100</v>
      </c>
      <c r="BH8" s="39">
        <f t="shared" si="20"/>
        <v>100</v>
      </c>
      <c r="BI8" s="39">
        <f t="shared" si="21"/>
        <v>0</v>
      </c>
      <c r="BJ8" s="39">
        <f t="shared" si="22"/>
        <v>0</v>
      </c>
      <c r="BK8" s="39"/>
      <c r="BL8" s="37" t="str">
        <f t="shared" si="23"/>
        <v>KAlSiO4</v>
      </c>
      <c r="BM8" s="37"/>
      <c r="BN8" s="53">
        <f t="shared" si="24"/>
        <v>0</v>
      </c>
      <c r="BO8" s="53">
        <f t="shared" si="25"/>
        <v>-5.551115123125783E-15</v>
      </c>
      <c r="BP8" s="53">
        <f t="shared" si="26"/>
        <v>0</v>
      </c>
      <c r="BQ8" s="39">
        <f t="shared" si="27"/>
        <v>0</v>
      </c>
      <c r="BR8" s="53">
        <f t="shared" si="28"/>
        <v>0</v>
      </c>
      <c r="BS8" s="38"/>
      <c r="BT8" s="39">
        <f t="shared" si="29"/>
        <v>1.3322676295501878E-15</v>
      </c>
      <c r="BU8" s="39" t="e">
        <f t="shared" si="30"/>
        <v>#DIV/0!</v>
      </c>
      <c r="BV8" s="39"/>
      <c r="BW8" s="39">
        <f t="shared" si="58"/>
        <v>0</v>
      </c>
      <c r="BX8" s="39">
        <f t="shared" si="59"/>
        <v>100</v>
      </c>
      <c r="BY8" s="39">
        <f t="shared" si="60"/>
        <v>0</v>
      </c>
      <c r="BZ8" s="38"/>
      <c r="CA8" s="39">
        <f t="shared" si="31"/>
        <v>0</v>
      </c>
      <c r="CB8" s="39">
        <f t="shared" si="31"/>
        <v>100</v>
      </c>
      <c r="CC8" s="39">
        <f t="shared" si="32"/>
        <v>0</v>
      </c>
      <c r="CD8" s="39">
        <f t="shared" si="33"/>
        <v>0</v>
      </c>
      <c r="CE8" s="39">
        <f t="shared" si="34"/>
        <v>0</v>
      </c>
      <c r="CF8" s="39"/>
      <c r="CG8" s="39">
        <f t="shared" si="35"/>
        <v>0</v>
      </c>
      <c r="CH8" s="39">
        <f t="shared" si="36"/>
        <v>100</v>
      </c>
      <c r="CI8" s="39">
        <f t="shared" si="37"/>
        <v>0</v>
      </c>
      <c r="CJ8" s="37"/>
      <c r="CK8" s="53">
        <f t="shared" si="38"/>
        <v>0</v>
      </c>
      <c r="CL8" s="53">
        <f t="shared" si="39"/>
        <v>100</v>
      </c>
      <c r="CM8" s="53">
        <f t="shared" si="40"/>
        <v>0</v>
      </c>
      <c r="CN8" s="39"/>
      <c r="CO8" s="54">
        <f t="shared" si="41"/>
        <v>0</v>
      </c>
      <c r="CP8" s="54">
        <f t="shared" si="61"/>
        <v>100</v>
      </c>
      <c r="CR8" s="2" t="str">
        <f t="shared" si="42"/>
        <v>KAlSiO4</v>
      </c>
    </row>
    <row r="9" spans="1:96" s="5" customFormat="1" ht="12.75" customHeight="1">
      <c r="A9" s="2" t="s">
        <v>64</v>
      </c>
      <c r="B9" s="2" t="s">
        <v>30</v>
      </c>
      <c r="C9" s="4">
        <f>40.078*0.5+26.982+28.085+16*4</f>
        <v>139.106</v>
      </c>
      <c r="D9" s="4">
        <f>D4/C9*100</f>
        <v>43.193176426609924</v>
      </c>
      <c r="E9" s="4"/>
      <c r="F9" s="4">
        <f>F4/C9*100/2</f>
        <v>36.648778629246756</v>
      </c>
      <c r="G9" s="4"/>
      <c r="H9" s="4"/>
      <c r="I9" s="4"/>
      <c r="J9" s="4"/>
      <c r="K9" s="4"/>
      <c r="L9" s="4">
        <f>L4/C9*100/2</f>
        <v>20.156355584949605</v>
      </c>
      <c r="M9" s="4"/>
      <c r="N9" s="4"/>
      <c r="O9" s="4"/>
      <c r="P9" s="4"/>
      <c r="Q9" s="4">
        <f t="shared" si="0"/>
        <v>99.9983106408063</v>
      </c>
      <c r="R9" s="37"/>
      <c r="S9" s="38">
        <f t="shared" si="1"/>
        <v>11.128480000000001</v>
      </c>
      <c r="T9" s="37"/>
      <c r="U9" s="38">
        <f t="shared" si="2"/>
        <v>8.000000000000002</v>
      </c>
      <c r="V9" s="38">
        <f t="shared" si="3"/>
        <v>0</v>
      </c>
      <c r="W9" s="38">
        <f t="shared" si="4"/>
        <v>8</v>
      </c>
      <c r="X9" s="38">
        <f t="shared" si="5"/>
        <v>0</v>
      </c>
      <c r="Y9" s="38">
        <f t="shared" si="6"/>
        <v>0</v>
      </c>
      <c r="Z9" s="38">
        <f t="shared" si="7"/>
        <v>0</v>
      </c>
      <c r="AA9" s="38">
        <f t="shared" si="8"/>
        <v>0</v>
      </c>
      <c r="AB9" s="38">
        <f t="shared" si="9"/>
        <v>0</v>
      </c>
      <c r="AC9" s="38">
        <f t="shared" si="43"/>
        <v>4.000000000000001</v>
      </c>
      <c r="AD9" s="38">
        <f t="shared" si="44"/>
        <v>0</v>
      </c>
      <c r="AE9" s="38">
        <f t="shared" si="45"/>
        <v>0</v>
      </c>
      <c r="AF9" s="38">
        <f t="shared" si="46"/>
        <v>0</v>
      </c>
      <c r="AG9" s="38">
        <f t="shared" si="47"/>
        <v>0</v>
      </c>
      <c r="AH9" s="38"/>
      <c r="AI9" s="38">
        <f t="shared" si="48"/>
        <v>1.0000000000000002</v>
      </c>
      <c r="AJ9" s="38">
        <f t="shared" si="49"/>
        <v>20</v>
      </c>
      <c r="AK9" s="50">
        <f t="shared" si="50"/>
        <v>16</v>
      </c>
      <c r="AL9" s="38">
        <f t="shared" si="51"/>
        <v>4.000000000000001</v>
      </c>
      <c r="AM9" s="38">
        <f t="shared" si="52"/>
        <v>8.000000000000002</v>
      </c>
      <c r="AN9" s="50">
        <f t="shared" si="53"/>
        <v>0</v>
      </c>
      <c r="AO9" s="50">
        <f t="shared" si="54"/>
        <v>0</v>
      </c>
      <c r="AP9" s="50" t="e">
        <f t="shared" si="55"/>
        <v>#DIV/0!</v>
      </c>
      <c r="AQ9" s="37"/>
      <c r="AR9" s="38">
        <f t="shared" si="10"/>
        <v>56.00000000000001</v>
      </c>
      <c r="AS9" s="38">
        <f t="shared" si="11"/>
        <v>3.5000000000000004</v>
      </c>
      <c r="AT9" s="38">
        <f t="shared" si="56"/>
        <v>56.00000000000001</v>
      </c>
      <c r="AU9" s="52">
        <f t="shared" si="57"/>
        <v>0</v>
      </c>
      <c r="AV9" s="52"/>
      <c r="AW9" s="38" t="s">
        <v>64</v>
      </c>
      <c r="AX9" s="38"/>
      <c r="AY9" s="50">
        <f t="shared" si="12"/>
        <v>0</v>
      </c>
      <c r="AZ9" s="39">
        <f t="shared" si="13"/>
        <v>0</v>
      </c>
      <c r="BA9" s="38">
        <f t="shared" si="14"/>
        <v>-7.105427357601002E-15</v>
      </c>
      <c r="BB9" s="39">
        <f t="shared" si="15"/>
        <v>0</v>
      </c>
      <c r="BC9" s="37"/>
      <c r="BD9" s="39">
        <f t="shared" si="16"/>
        <v>0</v>
      </c>
      <c r="BE9" s="39">
        <f t="shared" si="17"/>
        <v>0</v>
      </c>
      <c r="BF9" s="39">
        <f t="shared" si="18"/>
        <v>0</v>
      </c>
      <c r="BG9" s="39">
        <f t="shared" si="19"/>
        <v>0</v>
      </c>
      <c r="BH9" s="39">
        <f t="shared" si="20"/>
        <v>0</v>
      </c>
      <c r="BI9" s="39">
        <f t="shared" si="21"/>
        <v>100.00000000000004</v>
      </c>
      <c r="BJ9" s="39">
        <f t="shared" si="22"/>
        <v>0</v>
      </c>
      <c r="BK9" s="39"/>
      <c r="BL9" s="37" t="str">
        <f t="shared" si="23"/>
        <v>Ca0.5AlSiO4</v>
      </c>
      <c r="BM9" s="37"/>
      <c r="BN9" s="53">
        <f t="shared" si="24"/>
        <v>-2.960594732333751E-14</v>
      </c>
      <c r="BO9" s="53">
        <f t="shared" si="25"/>
        <v>0</v>
      </c>
      <c r="BP9" s="53">
        <f t="shared" si="26"/>
        <v>-1.1102230246251565E-14</v>
      </c>
      <c r="BQ9" s="39">
        <f t="shared" si="27"/>
        <v>-2.220446049250313E-14</v>
      </c>
      <c r="BR9" s="53">
        <f t="shared" si="28"/>
        <v>1.1102230246251565E-14</v>
      </c>
      <c r="BS9" s="38"/>
      <c r="BT9" s="39">
        <f t="shared" si="29"/>
        <v>-7.105427357601002E-15</v>
      </c>
      <c r="BU9" s="39">
        <f t="shared" si="30"/>
        <v>1</v>
      </c>
      <c r="BV9" s="39"/>
      <c r="BW9" s="39">
        <f t="shared" si="58"/>
        <v>0</v>
      </c>
      <c r="BX9" s="39">
        <f t="shared" si="59"/>
        <v>0</v>
      </c>
      <c r="BY9" s="39">
        <f t="shared" si="60"/>
        <v>100</v>
      </c>
      <c r="BZ9" s="38"/>
      <c r="CA9" s="39">
        <f t="shared" si="31"/>
        <v>0</v>
      </c>
      <c r="CB9" s="39">
        <f t="shared" si="31"/>
        <v>0</v>
      </c>
      <c r="CC9" s="39">
        <f t="shared" si="32"/>
        <v>100.00000000000003</v>
      </c>
      <c r="CD9" s="39">
        <f t="shared" si="33"/>
        <v>-2.220446049250313E-14</v>
      </c>
      <c r="CE9" s="39">
        <f t="shared" si="34"/>
        <v>1.1102230246251565E-14</v>
      </c>
      <c r="CF9" s="39"/>
      <c r="CG9" s="39">
        <f t="shared" si="35"/>
        <v>0</v>
      </c>
      <c r="CH9" s="39">
        <f t="shared" si="36"/>
        <v>0</v>
      </c>
      <c r="CI9" s="39">
        <f t="shared" si="37"/>
        <v>100</v>
      </c>
      <c r="CJ9" s="37"/>
      <c r="CK9" s="53">
        <f t="shared" si="38"/>
        <v>0</v>
      </c>
      <c r="CL9" s="53">
        <f t="shared" si="39"/>
        <v>0</v>
      </c>
      <c r="CM9" s="53">
        <f t="shared" si="40"/>
        <v>100</v>
      </c>
      <c r="CN9" s="39"/>
      <c r="CO9" s="53" t="e">
        <f t="shared" si="41"/>
        <v>#DIV/0!</v>
      </c>
      <c r="CP9" s="53" t="e">
        <f t="shared" si="61"/>
        <v>#DIV/0!</v>
      </c>
      <c r="CR9" s="2" t="str">
        <f t="shared" si="42"/>
        <v>Ca0.5AlSiO4</v>
      </c>
    </row>
    <row r="10" spans="1:96" s="5" customFormat="1" ht="12.75" customHeight="1">
      <c r="A10" s="2" t="s">
        <v>66</v>
      </c>
      <c r="B10" s="2" t="s">
        <v>40</v>
      </c>
      <c r="C10" s="4">
        <f>28.085*2+16*4</f>
        <v>120.17</v>
      </c>
      <c r="D10" s="4">
        <f>D4/C10*100*2</f>
        <v>99.998834983773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99.998834983773</v>
      </c>
      <c r="R10" s="37"/>
      <c r="S10" s="38">
        <f t="shared" si="1"/>
        <v>9.613599999999998</v>
      </c>
      <c r="T10" s="37"/>
      <c r="U10" s="38">
        <f t="shared" si="2"/>
        <v>15.999999999999998</v>
      </c>
      <c r="V10" s="38">
        <f t="shared" si="3"/>
        <v>0</v>
      </c>
      <c r="W10" s="38">
        <f t="shared" si="4"/>
        <v>0</v>
      </c>
      <c r="X10" s="38">
        <f t="shared" si="5"/>
        <v>0</v>
      </c>
      <c r="Y10" s="38">
        <f t="shared" si="6"/>
        <v>0</v>
      </c>
      <c r="Z10" s="38">
        <f t="shared" si="7"/>
        <v>0</v>
      </c>
      <c r="AA10" s="38">
        <f t="shared" si="8"/>
        <v>0</v>
      </c>
      <c r="AB10" s="38">
        <f t="shared" si="9"/>
        <v>0</v>
      </c>
      <c r="AC10" s="38">
        <f t="shared" si="43"/>
        <v>0</v>
      </c>
      <c r="AD10" s="38">
        <f t="shared" si="44"/>
        <v>0</v>
      </c>
      <c r="AE10" s="38">
        <f t="shared" si="45"/>
        <v>0</v>
      </c>
      <c r="AF10" s="38">
        <f t="shared" si="46"/>
        <v>0</v>
      </c>
      <c r="AG10" s="38">
        <f t="shared" si="47"/>
        <v>0</v>
      </c>
      <c r="AH10" s="38"/>
      <c r="AI10" s="38"/>
      <c r="AJ10" s="38">
        <f t="shared" si="49"/>
        <v>15.999999999999998</v>
      </c>
      <c r="AK10" s="50">
        <f t="shared" si="50"/>
        <v>15.999999999999998</v>
      </c>
      <c r="AL10" s="38">
        <f t="shared" si="51"/>
        <v>0</v>
      </c>
      <c r="AM10" s="38">
        <f t="shared" si="52"/>
        <v>0</v>
      </c>
      <c r="AN10" s="50">
        <f t="shared" si="53"/>
        <v>0</v>
      </c>
      <c r="AO10" s="50">
        <f t="shared" si="54"/>
        <v>0</v>
      </c>
      <c r="AP10" s="50" t="e">
        <f t="shared" si="55"/>
        <v>#DIV/0!</v>
      </c>
      <c r="AQ10" s="37"/>
      <c r="AR10" s="38">
        <f t="shared" si="10"/>
        <v>63.99999999999999</v>
      </c>
      <c r="AS10" s="38">
        <f t="shared" si="11"/>
        <v>4</v>
      </c>
      <c r="AT10" s="38">
        <f t="shared" si="56"/>
        <v>64</v>
      </c>
      <c r="AU10" s="52">
        <f t="shared" si="57"/>
        <v>0</v>
      </c>
      <c r="AV10" s="52"/>
      <c r="AW10" s="38" t="s">
        <v>66</v>
      </c>
      <c r="AX10" s="38"/>
      <c r="AY10" s="50">
        <f t="shared" si="12"/>
        <v>15.999999999999998</v>
      </c>
      <c r="AZ10" s="39">
        <f t="shared" si="13"/>
        <v>99.99999999999999</v>
      </c>
      <c r="BA10" s="38">
        <f t="shared" si="14"/>
        <v>8.000000000000002</v>
      </c>
      <c r="BB10" s="39">
        <f t="shared" si="15"/>
        <v>0</v>
      </c>
      <c r="BC10" s="37"/>
      <c r="BD10" s="39">
        <f t="shared" si="16"/>
        <v>0</v>
      </c>
      <c r="BE10" s="39">
        <f t="shared" si="17"/>
        <v>0</v>
      </c>
      <c r="BF10" s="39">
        <f t="shared" si="18"/>
        <v>0</v>
      </c>
      <c r="BG10" s="39">
        <f t="shared" si="19"/>
        <v>0</v>
      </c>
      <c r="BH10" s="39">
        <f t="shared" si="20"/>
        <v>0</v>
      </c>
      <c r="BI10" s="39">
        <f t="shared" si="21"/>
        <v>0</v>
      </c>
      <c r="BJ10" s="39">
        <f t="shared" si="22"/>
        <v>0</v>
      </c>
      <c r="BK10" s="39"/>
      <c r="BL10" s="37" t="str">
        <f t="shared" si="23"/>
        <v>Si2O4</v>
      </c>
      <c r="BM10" s="37"/>
      <c r="BN10" s="53">
        <f t="shared" si="24"/>
        <v>100</v>
      </c>
      <c r="BO10" s="53">
        <f t="shared" si="25"/>
        <v>99.99999999999999</v>
      </c>
      <c r="BP10" s="53">
        <f t="shared" si="26"/>
        <v>100.00000000000003</v>
      </c>
      <c r="BQ10" s="39">
        <f t="shared" si="27"/>
        <v>100</v>
      </c>
      <c r="BR10" s="53">
        <f t="shared" si="28"/>
        <v>99.99999999999999</v>
      </c>
      <c r="BS10" s="38"/>
      <c r="BT10" s="39">
        <f t="shared" si="29"/>
        <v>3.4106051316484808E-15</v>
      </c>
      <c r="BU10" s="39">
        <f t="shared" si="30"/>
        <v>1.4210854715202004E-16</v>
      </c>
      <c r="BV10" s="39"/>
      <c r="BW10" s="39">
        <f t="shared" si="58"/>
        <v>0</v>
      </c>
      <c r="BX10" s="39">
        <f t="shared" si="59"/>
        <v>0</v>
      </c>
      <c r="BY10" s="39">
        <f t="shared" si="60"/>
        <v>100</v>
      </c>
      <c r="BZ10" s="38"/>
      <c r="CA10" s="39">
        <f t="shared" si="31"/>
        <v>0</v>
      </c>
      <c r="CB10" s="39">
        <f t="shared" si="31"/>
        <v>0</v>
      </c>
      <c r="CC10" s="39">
        <f t="shared" si="32"/>
        <v>0</v>
      </c>
      <c r="CD10" s="39">
        <f t="shared" si="33"/>
        <v>100</v>
      </c>
      <c r="CE10" s="39">
        <f t="shared" si="34"/>
        <v>99.99999999999999</v>
      </c>
      <c r="CF10" s="39"/>
      <c r="CG10" s="39">
        <f t="shared" si="35"/>
        <v>0</v>
      </c>
      <c r="CH10" s="39">
        <f t="shared" si="36"/>
        <v>0</v>
      </c>
      <c r="CI10" s="39">
        <f t="shared" si="37"/>
        <v>100</v>
      </c>
      <c r="CJ10" s="37"/>
      <c r="CK10" s="53">
        <f t="shared" si="38"/>
        <v>0</v>
      </c>
      <c r="CL10" s="53">
        <f t="shared" si="39"/>
        <v>0</v>
      </c>
      <c r="CM10" s="53">
        <f t="shared" si="40"/>
        <v>100</v>
      </c>
      <c r="CN10" s="39"/>
      <c r="CO10" s="53" t="e">
        <f t="shared" si="41"/>
        <v>#DIV/0!</v>
      </c>
      <c r="CP10" s="53" t="e">
        <f t="shared" si="61"/>
        <v>#DIV/0!</v>
      </c>
      <c r="CR10" s="2" t="str">
        <f t="shared" si="42"/>
        <v>Si2O4</v>
      </c>
    </row>
    <row r="11" spans="1:96" s="5" customFormat="1" ht="12.75" customHeight="1">
      <c r="A11" s="2" t="s">
        <v>67</v>
      </c>
      <c r="B11" s="2" t="s">
        <v>61</v>
      </c>
      <c r="C11" s="4">
        <f>39.098+24.305*0.5+28.085*1.5+16*4</f>
        <v>157.378</v>
      </c>
      <c r="D11" s="4">
        <f>D4/C11*100*1.5</f>
        <v>57.26750244633939</v>
      </c>
      <c r="E11" s="4"/>
      <c r="F11" s="4"/>
      <c r="G11" s="4"/>
      <c r="H11" s="4"/>
      <c r="I11" s="4"/>
      <c r="J11" s="4"/>
      <c r="K11" s="4">
        <f>K4/C11*100/2</f>
        <v>12.80515701050973</v>
      </c>
      <c r="L11" s="4"/>
      <c r="M11" s="4"/>
      <c r="N11" s="4"/>
      <c r="O11" s="4"/>
      <c r="P11" s="4">
        <f>P4/C11*100/2</f>
        <v>29.926355653267926</v>
      </c>
      <c r="Q11" s="4">
        <f t="shared" si="0"/>
        <v>99.99901511011706</v>
      </c>
      <c r="R11" s="37"/>
      <c r="S11" s="38">
        <f t="shared" si="1"/>
        <v>12.590239999999998</v>
      </c>
      <c r="T11" s="37"/>
      <c r="U11" s="38">
        <f t="shared" si="2"/>
        <v>11.999999999999998</v>
      </c>
      <c r="V11" s="38">
        <f t="shared" si="3"/>
        <v>0</v>
      </c>
      <c r="W11" s="38">
        <f t="shared" si="4"/>
        <v>0</v>
      </c>
      <c r="X11" s="38">
        <f t="shared" si="5"/>
        <v>0</v>
      </c>
      <c r="Y11" s="38">
        <f t="shared" si="6"/>
        <v>0</v>
      </c>
      <c r="Z11" s="38">
        <f t="shared" si="7"/>
        <v>0</v>
      </c>
      <c r="AA11" s="38">
        <f t="shared" si="8"/>
        <v>4</v>
      </c>
      <c r="AB11" s="38">
        <f t="shared" si="9"/>
        <v>0</v>
      </c>
      <c r="AC11" s="38">
        <f t="shared" si="43"/>
        <v>0</v>
      </c>
      <c r="AD11" s="38">
        <f t="shared" si="44"/>
        <v>0</v>
      </c>
      <c r="AE11" s="38">
        <f t="shared" si="45"/>
        <v>0</v>
      </c>
      <c r="AF11" s="38">
        <f t="shared" si="46"/>
        <v>0</v>
      </c>
      <c r="AG11" s="38">
        <f t="shared" si="47"/>
        <v>7.999999999999999</v>
      </c>
      <c r="AH11" s="38"/>
      <c r="AI11" s="38">
        <f t="shared" si="48"/>
        <v>0.9999999999999998</v>
      </c>
      <c r="AJ11" s="38">
        <f t="shared" si="49"/>
        <v>23.999999999999996</v>
      </c>
      <c r="AK11" s="50">
        <f t="shared" si="50"/>
        <v>15.999999999999998</v>
      </c>
      <c r="AL11" s="38">
        <f t="shared" si="51"/>
        <v>7.999999999999999</v>
      </c>
      <c r="AM11" s="38">
        <f t="shared" si="52"/>
        <v>7.999999999999999</v>
      </c>
      <c r="AN11" s="50">
        <f t="shared" si="53"/>
        <v>0</v>
      </c>
      <c r="AO11" s="50">
        <f t="shared" si="54"/>
        <v>0</v>
      </c>
      <c r="AP11" s="50" t="e">
        <f t="shared" si="55"/>
        <v>#DIV/0!</v>
      </c>
      <c r="AQ11" s="37"/>
      <c r="AR11" s="38">
        <f t="shared" si="10"/>
        <v>55.99999999999999</v>
      </c>
      <c r="AS11" s="38">
        <f t="shared" si="11"/>
        <v>3.5</v>
      </c>
      <c r="AT11" s="38">
        <f t="shared" si="56"/>
        <v>56</v>
      </c>
      <c r="AU11" s="52">
        <f t="shared" si="57"/>
        <v>0</v>
      </c>
      <c r="AV11" s="52"/>
      <c r="AW11" s="38" t="s">
        <v>67</v>
      </c>
      <c r="AX11" s="38"/>
      <c r="AY11" s="50">
        <f t="shared" si="12"/>
        <v>0</v>
      </c>
      <c r="AZ11" s="39">
        <f t="shared" si="13"/>
        <v>0</v>
      </c>
      <c r="BA11" s="38">
        <f t="shared" si="14"/>
        <v>3.552713678800501E-15</v>
      </c>
      <c r="BB11" s="39">
        <f t="shared" si="15"/>
        <v>0</v>
      </c>
      <c r="BC11" s="37"/>
      <c r="BD11" s="39">
        <f t="shared" si="16"/>
        <v>0</v>
      </c>
      <c r="BE11" s="39">
        <f t="shared" si="17"/>
        <v>0</v>
      </c>
      <c r="BF11" s="39">
        <f t="shared" si="18"/>
        <v>0</v>
      </c>
      <c r="BG11" s="39">
        <f t="shared" si="19"/>
        <v>99.99999999999999</v>
      </c>
      <c r="BH11" s="39">
        <f t="shared" si="20"/>
        <v>-1.1102230246251565E-14</v>
      </c>
      <c r="BI11" s="39">
        <f t="shared" si="21"/>
        <v>0</v>
      </c>
      <c r="BJ11" s="39">
        <f t="shared" si="22"/>
        <v>100</v>
      </c>
      <c r="BK11" s="39"/>
      <c r="BL11" s="37" t="str">
        <f t="shared" si="23"/>
        <v>KMg0.5Si1.5O4</v>
      </c>
      <c r="BM11" s="37"/>
      <c r="BN11" s="53">
        <f t="shared" si="24"/>
        <v>1.4802973661668755E-14</v>
      </c>
      <c r="BO11" s="53">
        <f t="shared" si="25"/>
        <v>0</v>
      </c>
      <c r="BP11" s="53">
        <f t="shared" si="26"/>
        <v>4.440892098500626E-14</v>
      </c>
      <c r="BQ11" s="39">
        <f t="shared" si="27"/>
        <v>1.1102230246251565E-14</v>
      </c>
      <c r="BR11" s="53">
        <f t="shared" si="28"/>
        <v>-1.1102230246251565E-14</v>
      </c>
      <c r="BS11" s="38"/>
      <c r="BT11" s="39">
        <f t="shared" si="29"/>
        <v>3.552713678800501E-15</v>
      </c>
      <c r="BU11" s="39">
        <f t="shared" si="30"/>
        <v>1</v>
      </c>
      <c r="BV11" s="39"/>
      <c r="BW11" s="39">
        <f t="shared" si="58"/>
        <v>0</v>
      </c>
      <c r="BX11" s="39">
        <f t="shared" si="59"/>
        <v>99.99999999999999</v>
      </c>
      <c r="BY11" s="39">
        <f t="shared" si="60"/>
        <v>1.4802973661668755E-14</v>
      </c>
      <c r="BZ11" s="38"/>
      <c r="CA11" s="39">
        <f t="shared" si="31"/>
        <v>0</v>
      </c>
      <c r="CB11" s="39">
        <f t="shared" si="31"/>
        <v>99.99999999999999</v>
      </c>
      <c r="CC11" s="39">
        <f t="shared" si="32"/>
        <v>0</v>
      </c>
      <c r="CD11" s="39">
        <f t="shared" si="33"/>
        <v>1.1102230246251565E-14</v>
      </c>
      <c r="CE11" s="39">
        <f t="shared" si="34"/>
        <v>-1.1102230246251565E-14</v>
      </c>
      <c r="CF11" s="39"/>
      <c r="CG11" s="39">
        <f t="shared" si="35"/>
        <v>0</v>
      </c>
      <c r="CH11" s="39">
        <f t="shared" si="36"/>
        <v>99.99999999999999</v>
      </c>
      <c r="CI11" s="39">
        <f t="shared" si="37"/>
        <v>1.1102230246251565E-14</v>
      </c>
      <c r="CJ11" s="37"/>
      <c r="CK11" s="53">
        <f t="shared" si="38"/>
        <v>0</v>
      </c>
      <c r="CL11" s="53">
        <f t="shared" si="39"/>
        <v>100.00000000000001</v>
      </c>
      <c r="CM11" s="53">
        <f t="shared" si="40"/>
        <v>-1.1102230246251569E-14</v>
      </c>
      <c r="CN11" s="39"/>
      <c r="CO11" s="54">
        <f t="shared" si="41"/>
        <v>0</v>
      </c>
      <c r="CP11" s="54">
        <f t="shared" si="61"/>
        <v>100</v>
      </c>
      <c r="CR11" s="2" t="str">
        <f t="shared" si="42"/>
        <v>KMg0.5Si1.5O4</v>
      </c>
    </row>
    <row r="12" spans="1:96" s="5" customFormat="1" ht="12.75" customHeight="1">
      <c r="A12" s="2" t="s">
        <v>73</v>
      </c>
      <c r="B12" s="2" t="s">
        <v>74</v>
      </c>
      <c r="C12" s="4"/>
      <c r="D12" s="4">
        <v>48.93</v>
      </c>
      <c r="E12" s="4"/>
      <c r="F12" s="4">
        <v>26.5</v>
      </c>
      <c r="G12" s="4"/>
      <c r="H12" s="4"/>
      <c r="I12" s="4"/>
      <c r="J12" s="4"/>
      <c r="K12" s="4">
        <v>2.095</v>
      </c>
      <c r="L12" s="4">
        <v>1.943</v>
      </c>
      <c r="M12" s="4"/>
      <c r="N12" s="4"/>
      <c r="O12" s="4">
        <v>10.739</v>
      </c>
      <c r="P12" s="4">
        <v>9.793</v>
      </c>
      <c r="Q12" s="4">
        <f t="shared" si="0"/>
        <v>100</v>
      </c>
      <c r="R12" s="37"/>
      <c r="S12" s="38">
        <f t="shared" si="1"/>
        <v>11.54284489826148</v>
      </c>
      <c r="T12" s="37"/>
      <c r="U12" s="38">
        <f t="shared" si="2"/>
        <v>9.399983038363336</v>
      </c>
      <c r="V12" s="38">
        <f t="shared" si="3"/>
        <v>0</v>
      </c>
      <c r="W12" s="38">
        <f t="shared" si="4"/>
        <v>6.000029222929273</v>
      </c>
      <c r="X12" s="38">
        <f t="shared" si="5"/>
        <v>0</v>
      </c>
      <c r="Y12" s="38">
        <f t="shared" si="6"/>
        <v>0</v>
      </c>
      <c r="Z12" s="38">
        <f t="shared" si="7"/>
        <v>0</v>
      </c>
      <c r="AA12" s="38">
        <f t="shared" si="8"/>
        <v>0.5999816415297805</v>
      </c>
      <c r="AB12" s="38">
        <f t="shared" si="9"/>
        <v>0</v>
      </c>
      <c r="AC12" s="38">
        <f t="shared" si="43"/>
        <v>0.39994271555603605</v>
      </c>
      <c r="AD12" s="38">
        <f t="shared" si="44"/>
        <v>0</v>
      </c>
      <c r="AE12" s="38">
        <f t="shared" si="45"/>
        <v>0</v>
      </c>
      <c r="AF12" s="38">
        <f t="shared" si="46"/>
        <v>4.00002360035296</v>
      </c>
      <c r="AG12" s="38">
        <f t="shared" si="47"/>
        <v>2.400107863234241</v>
      </c>
      <c r="AH12" s="38"/>
      <c r="AI12" s="38">
        <f t="shared" si="48"/>
        <v>1.222223688359934</v>
      </c>
      <c r="AJ12" s="38">
        <f t="shared" si="49"/>
        <v>22.800068081965627</v>
      </c>
      <c r="AK12" s="50">
        <f t="shared" si="50"/>
        <v>15.99999390282239</v>
      </c>
      <c r="AL12" s="38">
        <f t="shared" si="51"/>
        <v>6.8000741791432375</v>
      </c>
      <c r="AM12" s="38">
        <f t="shared" si="52"/>
        <v>7.200016894699273</v>
      </c>
      <c r="AN12" s="50">
        <f t="shared" si="53"/>
        <v>-2.4388710438749683E-05</v>
      </c>
      <c r="AO12" s="50">
        <f t="shared" si="54"/>
        <v>-2.1644982325597084E-05</v>
      </c>
      <c r="AP12" s="50">
        <f t="shared" si="55"/>
        <v>1.1267604690953201</v>
      </c>
      <c r="AQ12" s="37"/>
      <c r="AR12" s="38">
        <f t="shared" si="10"/>
        <v>56.799983105300726</v>
      </c>
      <c r="AS12" s="38">
        <f t="shared" si="11"/>
        <v>3.5500002968926907</v>
      </c>
      <c r="AT12" s="38">
        <f t="shared" si="56"/>
        <v>56.80000475028305</v>
      </c>
      <c r="AU12" s="52">
        <f t="shared" si="57"/>
        <v>-2.1644982325597084E-05</v>
      </c>
      <c r="AV12" s="52"/>
      <c r="AW12" s="38" t="s">
        <v>73</v>
      </c>
      <c r="AX12" s="38"/>
      <c r="AY12" s="50">
        <f t="shared" si="12"/>
        <v>1.5999845021342827</v>
      </c>
      <c r="AZ12" s="39">
        <f t="shared" si="13"/>
        <v>9.999903138339267</v>
      </c>
      <c r="BA12" s="38">
        <f t="shared" si="14"/>
        <v>0.799964813767899</v>
      </c>
      <c r="BB12" s="39">
        <f t="shared" si="15"/>
        <v>-0.00011432225881016852</v>
      </c>
      <c r="BC12" s="37"/>
      <c r="BD12" s="39">
        <f t="shared" si="16"/>
        <v>50.00029500441199</v>
      </c>
      <c r="BE12" s="39">
        <f t="shared" si="17"/>
        <v>50.00029500441199</v>
      </c>
      <c r="BF12" s="39">
        <f t="shared" si="18"/>
        <v>0</v>
      </c>
      <c r="BG12" s="39">
        <f t="shared" si="19"/>
        <v>30.001348290428012</v>
      </c>
      <c r="BH12" s="39">
        <f t="shared" si="20"/>
        <v>15.001807252183502</v>
      </c>
      <c r="BI12" s="39">
        <f t="shared" si="21"/>
        <v>9.998567888900903</v>
      </c>
      <c r="BJ12" s="39">
        <f t="shared" si="22"/>
        <v>14.999541038244514</v>
      </c>
      <c r="BK12" s="39"/>
      <c r="BL12" s="37" t="str">
        <f t="shared" si="23"/>
        <v>Na4K2.4Ca0.4Al6Mg0.6Si9.4</v>
      </c>
      <c r="BM12" s="37"/>
      <c r="BN12" s="53">
        <f t="shared" si="24"/>
        <v>9.99978881625909</v>
      </c>
      <c r="BO12" s="53">
        <f t="shared" si="25"/>
        <v>9.999903138339267</v>
      </c>
      <c r="BP12" s="53">
        <f t="shared" si="26"/>
        <v>9.999865030979215</v>
      </c>
      <c r="BQ12" s="39">
        <f t="shared" si="27"/>
        <v>9.999788816259086</v>
      </c>
      <c r="BR12" s="53">
        <f t="shared" si="28"/>
        <v>10.000055567779512</v>
      </c>
      <c r="BS12" s="38"/>
      <c r="BT12" s="39">
        <f t="shared" si="29"/>
        <v>-2.7437299242620837E-05</v>
      </c>
      <c r="BU12" s="39">
        <f t="shared" si="30"/>
        <v>-1.1432449452502998E-05</v>
      </c>
      <c r="BV12" s="39"/>
      <c r="BW12" s="39">
        <f t="shared" si="58"/>
        <v>55.55499932788947</v>
      </c>
      <c r="BX12" s="39">
        <f t="shared" si="59"/>
        <v>33.33430100689277</v>
      </c>
      <c r="BY12" s="39">
        <f t="shared" si="60"/>
        <v>11.110699665217776</v>
      </c>
      <c r="BZ12" s="38"/>
      <c r="CA12" s="39">
        <f t="shared" si="31"/>
        <v>50.000295004411996</v>
      </c>
      <c r="CB12" s="39">
        <f t="shared" si="31"/>
        <v>30.001348290428016</v>
      </c>
      <c r="CC12" s="39">
        <f t="shared" si="32"/>
        <v>9.9985678889009</v>
      </c>
      <c r="CD12" s="39">
        <f t="shared" si="33"/>
        <v>9.999788816259086</v>
      </c>
      <c r="CE12" s="39">
        <f t="shared" si="34"/>
        <v>10.000055567779512</v>
      </c>
      <c r="CF12" s="39"/>
      <c r="CG12" s="39">
        <f t="shared" si="35"/>
        <v>55.55499932788946</v>
      </c>
      <c r="CH12" s="39">
        <f t="shared" si="36"/>
        <v>33.33430100689277</v>
      </c>
      <c r="CI12" s="39">
        <f t="shared" si="37"/>
        <v>11.110699665217771</v>
      </c>
      <c r="CJ12" s="37"/>
      <c r="CK12" s="53">
        <f t="shared" si="38"/>
        <v>55.554834671213804</v>
      </c>
      <c r="CL12" s="53">
        <f t="shared" si="39"/>
        <v>33.334202209030195</v>
      </c>
      <c r="CM12" s="53">
        <f t="shared" si="40"/>
        <v>11.110963119756</v>
      </c>
      <c r="CN12" s="39"/>
      <c r="CO12" s="54">
        <f t="shared" si="41"/>
        <v>62.499084950217444</v>
      </c>
      <c r="CP12" s="54">
        <f t="shared" si="61"/>
        <v>37.500915049782556</v>
      </c>
      <c r="CR12" s="2" t="str">
        <f t="shared" si="42"/>
        <v>Na4K2.4Ca0.4Al6Mg0.6Si9.4</v>
      </c>
    </row>
    <row r="13" spans="1:96" s="5" customFormat="1" ht="12.75" customHeight="1">
      <c r="A13" s="2"/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7"/>
      <c r="S13" s="38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52"/>
      <c r="AO13" s="52"/>
      <c r="AP13" s="38"/>
      <c r="AQ13" s="37"/>
      <c r="AR13" s="38"/>
      <c r="AS13" s="38"/>
      <c r="AT13" s="38"/>
      <c r="AU13" s="52"/>
      <c r="AV13" s="52"/>
      <c r="AW13" s="38"/>
      <c r="AX13" s="38"/>
      <c r="AY13" s="38"/>
      <c r="AZ13" s="39"/>
      <c r="BA13" s="38"/>
      <c r="BB13" s="39"/>
      <c r="BC13" s="37"/>
      <c r="BD13" s="39"/>
      <c r="BE13" s="39"/>
      <c r="BF13" s="39"/>
      <c r="BG13" s="39"/>
      <c r="BH13" s="39"/>
      <c r="BI13" s="39"/>
      <c r="BJ13" s="39"/>
      <c r="BK13" s="39"/>
      <c r="BL13" s="37"/>
      <c r="BM13" s="37"/>
      <c r="BN13" s="39"/>
      <c r="BO13" s="39"/>
      <c r="BP13" s="39"/>
      <c r="BQ13" s="39"/>
      <c r="BR13" s="39"/>
      <c r="BS13" s="38"/>
      <c r="BT13" s="39"/>
      <c r="BU13" s="39"/>
      <c r="BV13" s="39"/>
      <c r="BW13" s="39"/>
      <c r="BX13" s="39"/>
      <c r="BY13" s="39"/>
      <c r="BZ13" s="38"/>
      <c r="CA13" s="39"/>
      <c r="CB13" s="39"/>
      <c r="CC13" s="39"/>
      <c r="CD13" s="39"/>
      <c r="CE13" s="39"/>
      <c r="CF13" s="39"/>
      <c r="CG13" s="39"/>
      <c r="CH13" s="39"/>
      <c r="CI13" s="39"/>
      <c r="CJ13" s="37"/>
      <c r="CK13" s="39"/>
      <c r="CL13" s="39"/>
      <c r="CM13" s="39"/>
      <c r="CN13" s="39"/>
      <c r="CO13" s="55"/>
      <c r="CP13" s="55"/>
      <c r="CR13" s="2"/>
    </row>
    <row r="14" spans="1:96" s="5" customFormat="1" ht="12.75" customHeight="1">
      <c r="A14" s="30" t="s">
        <v>104</v>
      </c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7"/>
      <c r="S14" s="38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52"/>
      <c r="AO14" s="52"/>
      <c r="AP14" s="38"/>
      <c r="AQ14" s="37"/>
      <c r="AR14" s="38"/>
      <c r="AS14" s="38"/>
      <c r="AT14" s="38"/>
      <c r="AU14" s="52"/>
      <c r="AV14" s="52"/>
      <c r="AW14" s="38"/>
      <c r="AX14" s="38"/>
      <c r="AY14" s="38"/>
      <c r="AZ14" s="39"/>
      <c r="BA14" s="38"/>
      <c r="BB14" s="39"/>
      <c r="BC14" s="37"/>
      <c r="BD14" s="39"/>
      <c r="BE14" s="39"/>
      <c r="BF14" s="39"/>
      <c r="BG14" s="39"/>
      <c r="BH14" s="39"/>
      <c r="BI14" s="39"/>
      <c r="BJ14" s="39"/>
      <c r="BK14" s="39"/>
      <c r="BL14" s="37"/>
      <c r="BM14" s="37"/>
      <c r="BN14" s="39"/>
      <c r="BO14" s="39"/>
      <c r="BP14" s="39"/>
      <c r="BQ14" s="39"/>
      <c r="BR14" s="39"/>
      <c r="BS14" s="38"/>
      <c r="BT14" s="39"/>
      <c r="BU14" s="39"/>
      <c r="BV14" s="39"/>
      <c r="BW14" s="39"/>
      <c r="BX14" s="39"/>
      <c r="BY14" s="39"/>
      <c r="BZ14" s="38"/>
      <c r="CA14" s="39"/>
      <c r="CB14" s="39"/>
      <c r="CC14" s="39"/>
      <c r="CD14" s="39"/>
      <c r="CE14" s="39"/>
      <c r="CF14" s="39"/>
      <c r="CG14" s="39"/>
      <c r="CH14" s="39"/>
      <c r="CI14" s="39"/>
      <c r="CJ14" s="37"/>
      <c r="CK14" s="39"/>
      <c r="CL14" s="39"/>
      <c r="CM14" s="39"/>
      <c r="CN14" s="39"/>
      <c r="CO14" s="55"/>
      <c r="CP14" s="55"/>
      <c r="CR14" s="2"/>
    </row>
    <row r="15" spans="1:96" s="5" customFormat="1" ht="12.75" customHeight="1">
      <c r="A15" s="12" t="s">
        <v>87</v>
      </c>
      <c r="B15" s="12" t="s">
        <v>107</v>
      </c>
      <c r="C15" s="13"/>
      <c r="D15" s="11">
        <v>41</v>
      </c>
      <c r="E15" s="11"/>
      <c r="F15" s="11">
        <v>32.5</v>
      </c>
      <c r="G15" s="11">
        <v>1.73</v>
      </c>
      <c r="H15" s="11"/>
      <c r="I15" s="11"/>
      <c r="J15" s="11"/>
      <c r="K15" s="11">
        <v>0.12</v>
      </c>
      <c r="L15" s="11">
        <v>0.46</v>
      </c>
      <c r="M15" s="11"/>
      <c r="N15" s="11"/>
      <c r="O15" s="11">
        <v>14.9</v>
      </c>
      <c r="P15" s="11">
        <v>8.49</v>
      </c>
      <c r="Q15" s="11">
        <f>SUM(D15:P15)</f>
        <v>99.2</v>
      </c>
      <c r="R15" s="56"/>
      <c r="S15" s="57">
        <f>32/(D15*2/60.0843+E15*2/79.8788+F15*3/101.9613+G15*3/159.6922+H15*3/151.989+I15/71.846+K15/40.305+J15/70.937+L15/56.0774+M15/103.62+N15/153.34+O15/61.97894+P15/94.195)</f>
        <v>11.872910706486172</v>
      </c>
      <c r="T15" s="56"/>
      <c r="U15" s="57">
        <f>D15*S15/60.0843</f>
        <v>8.101772658846539</v>
      </c>
      <c r="V15" s="57">
        <f>E15*S15/79.8788</f>
        <v>0</v>
      </c>
      <c r="W15" s="57">
        <f>F15*2*S15/101.9613</f>
        <v>7.568942294003717</v>
      </c>
      <c r="X15" s="57">
        <f>G15*2*S15/159.6922</f>
        <v>0.257246572120881</v>
      </c>
      <c r="Y15" s="57">
        <f>H15*2*S15/151.989</f>
        <v>0</v>
      </c>
      <c r="Z15" s="57">
        <f>I15*S15/71.846</f>
        <v>0</v>
      </c>
      <c r="AA15" s="57">
        <f>K15*S15/40.305</f>
        <v>0.03534919451130977</v>
      </c>
      <c r="AB15" s="57">
        <f>J15*S15/70.937</f>
        <v>0</v>
      </c>
      <c r="AC15" s="57">
        <f>L15*S15/56.0774</f>
        <v>0.09739286994374988</v>
      </c>
      <c r="AD15" s="57">
        <f>M15*S15/103.62</f>
        <v>0</v>
      </c>
      <c r="AE15" s="57">
        <f>N15*S15/153.34</f>
        <v>0</v>
      </c>
      <c r="AF15" s="57">
        <f>O15*2*S15/61.97894</f>
        <v>5.708596162717335</v>
      </c>
      <c r="AG15" s="57">
        <f>P15*2*S15/94.195</f>
        <v>2.1402624746126144</v>
      </c>
      <c r="AH15" s="57"/>
      <c r="AI15" s="57">
        <f>(U15+V15-(Z15+AA15+AB15))/(W15+X15+Y15+2*(Z15+AA15+AB15))</f>
        <v>1.0214687387207544</v>
      </c>
      <c r="AJ15" s="57">
        <f>SUM(U15:AG15)</f>
        <v>23.909562226756147</v>
      </c>
      <c r="AK15" s="57">
        <f>SUM(U15:AB15)</f>
        <v>15.963310719482447</v>
      </c>
      <c r="AL15" s="57">
        <f>SUM(AC15+AD15+AE15+AF15+AG15)</f>
        <v>7.946251507273699</v>
      </c>
      <c r="AM15" s="57">
        <f>AC15*2+AD15*2+AE15*2+AF15+AG15</f>
        <v>8.043644377217449</v>
      </c>
      <c r="AN15" s="57">
        <f>(W15+X15+Y15)+2*(Z15+AA15+AB15)-AM15</f>
        <v>-0.14675712207023128</v>
      </c>
      <c r="AO15" s="57">
        <f aca="true" t="shared" si="62" ref="AO15:AO41">AR15-AT15</f>
        <v>-0.12860730861290648</v>
      </c>
      <c r="AP15" s="57">
        <f>AN15/AO15</f>
        <v>1.1411258322180873</v>
      </c>
      <c r="AQ15" s="56"/>
      <c r="AR15" s="57">
        <f>((U15+V15)*4+(W15+X15+Y15)*3+(Z15+AA15+AB15)*2)</f>
        <v>55.95635562278257</v>
      </c>
      <c r="AS15" s="57">
        <f>AR15/(U15+V15+W15+X15+Y15+Z15+AA15+AB15)</f>
        <v>3.505310183212217</v>
      </c>
      <c r="AT15" s="57">
        <f>16*AS15</f>
        <v>56.084962931395474</v>
      </c>
      <c r="AU15" s="59">
        <f>AR15-AT15</f>
        <v>-0.12860730861290648</v>
      </c>
      <c r="AV15" s="59"/>
      <c r="AW15" s="57" t="s">
        <v>87</v>
      </c>
      <c r="AX15" s="57"/>
      <c r="AY15" s="57">
        <f>(U15+V15)-AC15*2-AD15*2-AE15*2-AF15-AG15-(Z15+AA15+AB15)</f>
        <v>0.022779087117779567</v>
      </c>
      <c r="AZ15" s="58">
        <f>AY15*100/16</f>
        <v>0.1423692944861223</v>
      </c>
      <c r="BA15" s="57">
        <f aca="true" t="shared" si="63" ref="BA15:BA41">24-AF15*3-AG15*3-(AC15+AD15+AE15)*6-AY15</f>
        <v>-0.15371221877012678</v>
      </c>
      <c r="BB15" s="58">
        <f aca="true" t="shared" si="64" ref="BB15:BB41">AN15*100/21.3333</f>
        <v>-0.6879250845871537</v>
      </c>
      <c r="BC15" s="37"/>
      <c r="BD15" s="58">
        <f aca="true" t="shared" si="65" ref="BD15:BD41">AF15*3*100/24</f>
        <v>71.35745203396668</v>
      </c>
      <c r="BE15" s="58">
        <f aca="true" t="shared" si="66" ref="BE15:BE41">(AF15-X15-Y15)*3*100/24</f>
        <v>68.14186988245568</v>
      </c>
      <c r="BF15" s="58">
        <f aca="true" t="shared" si="67" ref="BF15:BF41">(X15+Y15)*3*100/24</f>
        <v>3.2155821515110126</v>
      </c>
      <c r="BG15" s="58">
        <f aca="true" t="shared" si="68" ref="BG15:BG41">AG15*3*100/24</f>
        <v>26.753280932657685</v>
      </c>
      <c r="BH15" s="58">
        <f aca="true" t="shared" si="69" ref="BH15:BH41">(AG15-2*(Z15+AA15+AB15))*3*100/24</f>
        <v>25.869551069874934</v>
      </c>
      <c r="BI15" s="58">
        <f aca="true" t="shared" si="70" ref="BI15:BI41">(AC15+AD15+AE15)*6*100/24</f>
        <v>2.434821748593747</v>
      </c>
      <c r="BJ15" s="58">
        <f aca="true" t="shared" si="71" ref="BJ15:BJ41">(Z15+AA15+AB15)*6*100/24</f>
        <v>0.8837298627827442</v>
      </c>
      <c r="BK15" s="58"/>
      <c r="BL15" s="56" t="str">
        <f aca="true" t="shared" si="72" ref="BL15:BL41">A15</f>
        <v>Dawson (1998)</v>
      </c>
      <c r="BM15" s="56"/>
      <c r="BN15" s="58">
        <f aca="true" t="shared" si="73" ref="BN15:BN41">(24-(AF15*3)-(AG15*3)-((AC15+AD15+AE15)*6))*100/24</f>
        <v>-0.5455547152181134</v>
      </c>
      <c r="BO15" s="58">
        <f aca="true" t="shared" si="74" ref="BO15:BO41">AY15*100/16</f>
        <v>0.1423692944861223</v>
      </c>
      <c r="BP15" s="58">
        <f aca="true" t="shared" si="75" ref="BP15:BP41">(24-AJ15-AC15-AD15-AE15)*100/8</f>
        <v>-0.08693870874871591</v>
      </c>
      <c r="BQ15" s="58">
        <f aca="true" t="shared" si="76" ref="BQ15:BQ41">(8-AF15-AG15-(AC15+AD15+AE15)*2)*100/8</f>
        <v>-0.5455547152181113</v>
      </c>
      <c r="BR15" s="58">
        <f>((U15+V15)-(W15+X15+Y15)-((Z15+AA15+AB15)*3))*100/16</f>
        <v>1.059601307425071</v>
      </c>
      <c r="BS15" s="57"/>
      <c r="BT15" s="58">
        <f>(BN15-BO15)*24/100</f>
        <v>-0.16510176232901658</v>
      </c>
      <c r="BU15" s="58">
        <f>(BN15-BO15)/BN15</f>
        <v>1.2609624488887476</v>
      </c>
      <c r="BV15" s="58"/>
      <c r="BW15" s="58">
        <f aca="true" t="shared" si="77" ref="BW15:BW41">BD15*100/(BD15+BG15+BN15)</f>
        <v>73.13823775332278</v>
      </c>
      <c r="BX15" s="58">
        <f aca="true" t="shared" si="78" ref="BX15:BX41">BG15*100/(BD15+BG15+BN15)</f>
        <v>27.420931742388404</v>
      </c>
      <c r="BY15" s="58">
        <f aca="true" t="shared" si="79" ref="BY15:BY41">BN15*100/(BD15+BG15+BN15)</f>
        <v>-0.5591694957111915</v>
      </c>
      <c r="BZ15" s="57"/>
      <c r="CA15" s="58">
        <f aca="true" t="shared" si="80" ref="CA15:CA41">AF15*100/8</f>
        <v>71.35745203396668</v>
      </c>
      <c r="CB15" s="58">
        <f aca="true" t="shared" si="81" ref="CB15:CB41">AG15*100/8</f>
        <v>26.75328093265768</v>
      </c>
      <c r="CC15" s="58">
        <f aca="true" t="shared" si="82" ref="CC15:CC41">2*(AC15+AD15+AE15)*100/8</f>
        <v>2.434821748593747</v>
      </c>
      <c r="CD15" s="58">
        <f aca="true" t="shared" si="83" ref="CD15:CD41">(8-AF15-AG15-2*(AC15+AD15+AE15))*100/8</f>
        <v>-0.5455547152181113</v>
      </c>
      <c r="CE15" s="58">
        <f>((U15+V15)-(W15+X15+Y15)-((Z15+AA15+AB15)*3))*100/16</f>
        <v>1.059601307425071</v>
      </c>
      <c r="CF15" s="58"/>
      <c r="CG15" s="58">
        <f>CA15*100/(CA15+CB15+CD15)</f>
        <v>73.13823775332278</v>
      </c>
      <c r="CH15" s="58">
        <f>CB15*100/(CA15+CB15+CD15)</f>
        <v>27.4209317423884</v>
      </c>
      <c r="CI15" s="58">
        <f>CD15*100/(CA15+CB15+CD15)</f>
        <v>-0.5591694957111893</v>
      </c>
      <c r="CJ15" s="56"/>
      <c r="CK15" s="58">
        <f>CA15*100/(CA15+CB15+CE15)</f>
        <v>71.95443330540357</v>
      </c>
      <c r="CL15" s="58">
        <f>CB15*100/(CA15+CB15+CE15)</f>
        <v>26.97710069094563</v>
      </c>
      <c r="CM15" s="58">
        <f>CE15*100/(CA15+CB15+CE15)</f>
        <v>1.0684660036507951</v>
      </c>
      <c r="CN15" s="58"/>
      <c r="CO15" s="60">
        <f>CA15/(CA15+CB15)*100</f>
        <v>72.73154513914527</v>
      </c>
      <c r="CP15" s="60">
        <f t="shared" si="61"/>
        <v>27.26845486085473</v>
      </c>
      <c r="CQ15" s="31"/>
      <c r="CR15" s="2" t="str">
        <f aca="true" t="shared" si="84" ref="CR15:CR41">A15</f>
        <v>Dawson (1998)</v>
      </c>
    </row>
    <row r="16" spans="1:96" s="5" customFormat="1" ht="12.75" customHeight="1">
      <c r="A16" s="18" t="s">
        <v>111</v>
      </c>
      <c r="B16" s="18"/>
      <c r="C16" s="19"/>
      <c r="D16" s="20">
        <v>41</v>
      </c>
      <c r="E16" s="20"/>
      <c r="F16" s="20">
        <v>32.5</v>
      </c>
      <c r="G16" s="20"/>
      <c r="H16" s="20"/>
      <c r="I16" s="20">
        <v>1.5567353549896519</v>
      </c>
      <c r="J16" s="20"/>
      <c r="K16" s="20">
        <v>0.12</v>
      </c>
      <c r="L16" s="20">
        <v>0.46</v>
      </c>
      <c r="M16" s="20"/>
      <c r="N16" s="20"/>
      <c r="O16" s="20">
        <v>14.9</v>
      </c>
      <c r="P16" s="20">
        <v>8.49</v>
      </c>
      <c r="Q16" s="20">
        <f>SUM(D16:P16)</f>
        <v>99.02673535498965</v>
      </c>
      <c r="R16" s="61"/>
      <c r="S16" s="62">
        <f>32/(D16*2/60.0843+E16*2/79.8788+F16*3/101.9613+G16*3/159.6922+H16*3/151.989+I16/71.846+K16/40.305+J16/70.937+L16/56.0774+M16/103.62+N16/153.34+O16/61.97894+P16/94.195)</f>
        <v>11.920821814657389</v>
      </c>
      <c r="T16" s="61"/>
      <c r="U16" s="62">
        <f>D16*S16/60.0843</f>
        <v>8.13446598197787</v>
      </c>
      <c r="V16" s="62">
        <f>E16*S16/79.8788</f>
        <v>0</v>
      </c>
      <c r="W16" s="62">
        <f>F16*2*S16/101.9613</f>
        <v>7.599485470984877</v>
      </c>
      <c r="X16" s="62">
        <f>G16*2*S16/159.6922</f>
        <v>0</v>
      </c>
      <c r="Y16" s="62">
        <f>H16*2*S16/151.989</f>
        <v>0</v>
      </c>
      <c r="Z16" s="62">
        <f>I16*S16/71.846</f>
        <v>0.2582964226179475</v>
      </c>
      <c r="AA16" s="62">
        <f>K16*S16/40.305</f>
        <v>0.03549184016273134</v>
      </c>
      <c r="AB16" s="62">
        <f>J16*S16/70.937</f>
        <v>0</v>
      </c>
      <c r="AC16" s="62">
        <f>L16*S16/56.0774</f>
        <v>0.09778588227596856</v>
      </c>
      <c r="AD16" s="62">
        <f>M16*S16/103.62</f>
        <v>0</v>
      </c>
      <c r="AE16" s="62">
        <f>N16*S16/153.34</f>
        <v>0</v>
      </c>
      <c r="AF16" s="62">
        <f>O16*2*S16/61.97894</f>
        <v>5.7316322298637274</v>
      </c>
      <c r="AG16" s="62">
        <f>P16*2*S16/94.195</f>
        <v>2.1488991391568817</v>
      </c>
      <c r="AH16" s="62"/>
      <c r="AI16" s="62">
        <f>(U16+V16-(Z16+AA16+AB16))/(W16+X16+Y16+2*(Z16+AA16+AB16))</f>
        <v>0.9576912600032625</v>
      </c>
      <c r="AJ16" s="62">
        <f>SUM(U16:AG16)</f>
        <v>24.006056967040003</v>
      </c>
      <c r="AK16" s="62">
        <f>SUM(U16:AB16)</f>
        <v>16.027739715743426</v>
      </c>
      <c r="AL16" s="62">
        <f>SUM(AC16+AD16+AE16+AF16+AG16)</f>
        <v>7.978317251296578</v>
      </c>
      <c r="AM16" s="62">
        <f>AC16*2+AD16*2+AE16*2+AF16+AG16</f>
        <v>8.076103133572547</v>
      </c>
      <c r="AN16" s="62">
        <f>(W16+X16+Y16)+2*(Z16+AA16+AB16)-AM16</f>
        <v>0.11095886297368907</v>
      </c>
      <c r="AO16" s="62">
        <f t="shared" si="62"/>
        <v>0.09678925599319399</v>
      </c>
      <c r="AP16" s="62">
        <f>AN16/AO16</f>
        <v>1.146396486212183</v>
      </c>
      <c r="AQ16" s="61"/>
      <c r="AR16" s="62">
        <f>((U16+V16)*4+(W16+X16+Y16)*3+(Z16+AA16+AB16)*2)</f>
        <v>55.92389686642747</v>
      </c>
      <c r="AS16" s="62">
        <f>AR16/(U16+V16+W16+X16+Y16+Z16+AA16+AB16)</f>
        <v>3.489194225652142</v>
      </c>
      <c r="AT16" s="62">
        <f>16*AS16</f>
        <v>55.827107610434275</v>
      </c>
      <c r="AU16" s="64">
        <f>AR16-AT16</f>
        <v>0.09678925599319399</v>
      </c>
      <c r="AV16" s="64"/>
      <c r="AW16" s="62" t="s">
        <v>111</v>
      </c>
      <c r="AX16" s="62"/>
      <c r="AY16" s="62">
        <f>(U16+V16)-AC16*2-AD16*2-AE16*2-AF16-AG16-(Z16+AA16+AB16)</f>
        <v>-0.23542541437535525</v>
      </c>
      <c r="AZ16" s="63">
        <f>AY16*100/16</f>
        <v>-1.4714088398459704</v>
      </c>
      <c r="BA16" s="62">
        <f t="shared" si="63"/>
        <v>0.0071160136577165245</v>
      </c>
      <c r="BB16" s="63">
        <f t="shared" si="64"/>
        <v>0.520120482877422</v>
      </c>
      <c r="BC16" s="37"/>
      <c r="BD16" s="63">
        <f t="shared" si="65"/>
        <v>71.64540287329659</v>
      </c>
      <c r="BE16" s="63">
        <f t="shared" si="66"/>
        <v>71.64540287329659</v>
      </c>
      <c r="BF16" s="63">
        <f t="shared" si="67"/>
        <v>0</v>
      </c>
      <c r="BG16" s="63">
        <f t="shared" si="68"/>
        <v>26.861239239461025</v>
      </c>
      <c r="BH16" s="63">
        <f t="shared" si="69"/>
        <v>19.516532669944052</v>
      </c>
      <c r="BI16" s="63">
        <f t="shared" si="70"/>
        <v>2.4446470568992136</v>
      </c>
      <c r="BJ16" s="63">
        <f t="shared" si="71"/>
        <v>7.34470656951697</v>
      </c>
      <c r="BK16" s="63"/>
      <c r="BL16" s="61" t="str">
        <f t="shared" si="72"/>
        <v>All Fe2+</v>
      </c>
      <c r="BM16" s="61"/>
      <c r="BN16" s="63">
        <f t="shared" si="73"/>
        <v>-0.9512891696568281</v>
      </c>
      <c r="BO16" s="63">
        <f t="shared" si="74"/>
        <v>-1.4714088398459704</v>
      </c>
      <c r="BP16" s="63">
        <f t="shared" si="75"/>
        <v>-1.298035616449642</v>
      </c>
      <c r="BQ16" s="63">
        <f t="shared" si="76"/>
        <v>-0.9512891696568281</v>
      </c>
      <c r="BR16" s="63">
        <f>((U16+V16)-(W16+X16+Y16)-((Z16+AA16+AB16)*3))*100/16</f>
        <v>-2.1649017334315226</v>
      </c>
      <c r="BS16" s="62"/>
      <c r="BT16" s="63">
        <f>(BN16-BO16)*24/100</f>
        <v>0.12482872084539416</v>
      </c>
      <c r="BU16" s="63">
        <f>(BN16-BO16)/BN16</f>
        <v>-0.5467524353050003</v>
      </c>
      <c r="BV16" s="63"/>
      <c r="BW16" s="63">
        <f t="shared" si="77"/>
        <v>73.44077050808663</v>
      </c>
      <c r="BX16" s="63">
        <f t="shared" si="78"/>
        <v>27.534357089690257</v>
      </c>
      <c r="BY16" s="63">
        <f t="shared" si="79"/>
        <v>-0.9751275977768928</v>
      </c>
      <c r="BZ16" s="62"/>
      <c r="CA16" s="63">
        <f t="shared" si="80"/>
        <v>71.64540287329659</v>
      </c>
      <c r="CB16" s="63">
        <f t="shared" si="81"/>
        <v>26.86123923946102</v>
      </c>
      <c r="CC16" s="63">
        <f t="shared" si="82"/>
        <v>2.444647056899214</v>
      </c>
      <c r="CD16" s="63">
        <f t="shared" si="83"/>
        <v>-0.9512891696568281</v>
      </c>
      <c r="CE16" s="63">
        <f>((U16+V16)-(W16+X16+Y16)-((Z16+AA16+AB16)*3))*100/16</f>
        <v>-2.1649017334315226</v>
      </c>
      <c r="CF16" s="63"/>
      <c r="CG16" s="63">
        <f>CA16*100/(CA16+CB16+CD16)</f>
        <v>73.44077050808663</v>
      </c>
      <c r="CH16" s="63">
        <f>CB16*100/(CA16+CB16+CD16)</f>
        <v>27.534357089690253</v>
      </c>
      <c r="CI16" s="63">
        <f>CD16*100/(CA16+CB16+CD16)</f>
        <v>-0.9751275977768928</v>
      </c>
      <c r="CJ16" s="61"/>
      <c r="CK16" s="63">
        <f>CA16*100/(CA16+CB16+CE16)</f>
        <v>74.36590058598415</v>
      </c>
      <c r="CL16" s="63">
        <f>CB16*100/(CA16+CB16+CE16)</f>
        <v>27.881206145643965</v>
      </c>
      <c r="CM16" s="63">
        <f>CE16*100/(CA16+CB16+CE16)</f>
        <v>-2.247106731628119</v>
      </c>
      <c r="CN16" s="63"/>
      <c r="CO16" s="65">
        <f aca="true" t="shared" si="85" ref="CO16:CO21">CA16/(CA16+CB16)*100</f>
        <v>72.73154513914527</v>
      </c>
      <c r="CP16" s="65">
        <f t="shared" si="61"/>
        <v>27.26845486085473</v>
      </c>
      <c r="CQ16" s="31"/>
      <c r="CR16" s="2" t="str">
        <f t="shared" si="84"/>
        <v>All Fe2+</v>
      </c>
    </row>
    <row r="17" spans="1:96" s="5" customFormat="1" ht="12.75" customHeight="1">
      <c r="A17" s="14" t="s">
        <v>112</v>
      </c>
      <c r="B17" s="14"/>
      <c r="C17" s="15"/>
      <c r="D17" s="16">
        <v>41</v>
      </c>
      <c r="E17" s="16"/>
      <c r="F17" s="16">
        <v>32.5</v>
      </c>
      <c r="G17" s="16">
        <v>1.73</v>
      </c>
      <c r="H17" s="16"/>
      <c r="I17" s="16"/>
      <c r="J17" s="16"/>
      <c r="K17" s="16">
        <v>0.12</v>
      </c>
      <c r="L17" s="16">
        <v>0.46</v>
      </c>
      <c r="M17" s="16"/>
      <c r="N17" s="16"/>
      <c r="O17" s="16">
        <v>14.9</v>
      </c>
      <c r="P17" s="16">
        <v>8.49</v>
      </c>
      <c r="Q17" s="16">
        <f>SUM(D17:P17)</f>
        <v>99.2</v>
      </c>
      <c r="R17" s="46"/>
      <c r="S17" s="50">
        <f>32/(D17*2/60.0843+E17*2/79.8788+F17*3/101.9613+G17*3/159.6922+H17*3/151.989+I17/71.846+K17/40.305+J17/70.937+L17/56.0774+M17/103.62+N17/153.34+O17/61.97894+P17/94.195)</f>
        <v>11.872910706486172</v>
      </c>
      <c r="T17" s="46"/>
      <c r="U17" s="50">
        <f>D17*S17/60.0843</f>
        <v>8.101772658846539</v>
      </c>
      <c r="V17" s="50">
        <f>E17*S17/79.8788</f>
        <v>0</v>
      </c>
      <c r="W17" s="50">
        <f>F17*2*S17/101.9613</f>
        <v>7.568942294003717</v>
      </c>
      <c r="X17" s="50">
        <f>G17*2*S17/159.6922</f>
        <v>0.257246572120881</v>
      </c>
      <c r="Y17" s="50">
        <f>H17*2*S17/151.989</f>
        <v>0</v>
      </c>
      <c r="Z17" s="50">
        <f>I17*S17/71.846</f>
        <v>0</v>
      </c>
      <c r="AA17" s="50">
        <f>K17*S17/40.305</f>
        <v>0.03534919451130977</v>
      </c>
      <c r="AB17" s="50">
        <f>J17*S17/70.937</f>
        <v>0</v>
      </c>
      <c r="AC17" s="50">
        <f>L17*S17/56.0774</f>
        <v>0.09739286994374988</v>
      </c>
      <c r="AD17" s="50">
        <f>M17*S17/103.62</f>
        <v>0</v>
      </c>
      <c r="AE17" s="50">
        <f>N17*S17/153.34</f>
        <v>0</v>
      </c>
      <c r="AF17" s="50">
        <f>O17*2*S17/61.97894</f>
        <v>5.708596162717335</v>
      </c>
      <c r="AG17" s="50">
        <f>P17*2*S17/94.195</f>
        <v>2.1402624746126144</v>
      </c>
      <c r="AH17" s="50"/>
      <c r="AI17" s="50">
        <f>(U17+V17)/(W17+X17+Y17)</f>
        <v>1.0352130260892114</v>
      </c>
      <c r="AJ17" s="50">
        <f>SUM(U17:AG17)</f>
        <v>23.909562226756147</v>
      </c>
      <c r="AK17" s="50">
        <f>SUM(U17:Y17)</f>
        <v>15.927961524971137</v>
      </c>
      <c r="AL17" s="50">
        <f>SUM(AC17+AD17+AE17+AF17+AG17)</f>
        <v>7.946251507273699</v>
      </c>
      <c r="AM17" s="50">
        <f>AC17*2+AD17*2+AE17*2+AF17+AG17</f>
        <v>8.043644377217449</v>
      </c>
      <c r="AN17" s="50">
        <f>(W17+X17+Y17)-AM17</f>
        <v>-0.21745551109285088</v>
      </c>
      <c r="AO17" s="50">
        <f t="shared" si="62"/>
        <v>-0.25275786338347217</v>
      </c>
      <c r="AP17" s="50">
        <f>AN17/AO17</f>
        <v>0.8603313391794967</v>
      </c>
      <c r="AQ17" s="46"/>
      <c r="AR17" s="50">
        <f>((U17+V17)*4+(W17+X17+Y17)*3)</f>
        <v>55.88565723375995</v>
      </c>
      <c r="AS17" s="50">
        <f>AR17/(U17+V17+W17+X17+Y17)</f>
        <v>3.508650943571464</v>
      </c>
      <c r="AT17" s="50">
        <f>16*AS17</f>
        <v>56.13841509714342</v>
      </c>
      <c r="AU17" s="51">
        <f>AR17-AT17</f>
        <v>-0.25275786338347217</v>
      </c>
      <c r="AV17" s="51"/>
      <c r="AW17" s="50" t="s">
        <v>112</v>
      </c>
      <c r="AX17" s="50"/>
      <c r="AY17" s="50">
        <f>(U17+V17)-AC17*2-AD17*2-AE17*2-AF17-AG17</f>
        <v>0.05812828162908934</v>
      </c>
      <c r="AZ17" s="53">
        <f>AY17*100/16</f>
        <v>0.3633017601818084</v>
      </c>
      <c r="BA17" s="50">
        <f t="shared" si="63"/>
        <v>-0.18906141328143655</v>
      </c>
      <c r="BB17" s="53">
        <f t="shared" si="64"/>
        <v>-1.0193243009419586</v>
      </c>
      <c r="BC17" s="37"/>
      <c r="BD17" s="53">
        <f t="shared" si="65"/>
        <v>71.35745203396668</v>
      </c>
      <c r="BE17" s="53">
        <f t="shared" si="66"/>
        <v>68.14186988245568</v>
      </c>
      <c r="BF17" s="53">
        <f t="shared" si="67"/>
        <v>3.2155821515110126</v>
      </c>
      <c r="BG17" s="53">
        <f t="shared" si="68"/>
        <v>26.753280932657685</v>
      </c>
      <c r="BH17" s="53">
        <f t="shared" si="69"/>
        <v>25.869551069874934</v>
      </c>
      <c r="BI17" s="53">
        <f t="shared" si="70"/>
        <v>2.434821748593747</v>
      </c>
      <c r="BJ17" s="53">
        <f t="shared" si="71"/>
        <v>0.8837298627827442</v>
      </c>
      <c r="BK17" s="53"/>
      <c r="BL17" s="46" t="str">
        <f t="shared" si="72"/>
        <v>Old</v>
      </c>
      <c r="BM17" s="46"/>
      <c r="BN17" s="53">
        <f t="shared" si="73"/>
        <v>-0.5455547152181134</v>
      </c>
      <c r="BO17" s="53">
        <f t="shared" si="74"/>
        <v>0.3633017601818084</v>
      </c>
      <c r="BP17" s="53">
        <f t="shared" si="75"/>
        <v>-0.08693870874871591</v>
      </c>
      <c r="BQ17" s="53">
        <f t="shared" si="76"/>
        <v>-0.5455547152181113</v>
      </c>
      <c r="BR17" s="53">
        <f>((U17+V17)-(W17+X17+Y17))*100/16</f>
        <v>1.7223987045121292</v>
      </c>
      <c r="BS17" s="50"/>
      <c r="BT17" s="53">
        <f>(BN17-BO17)*24/100</f>
        <v>-0.21812555409598122</v>
      </c>
      <c r="BU17" s="53">
        <f>(BN17-BO17)/BN17</f>
        <v>1.6659309324025546</v>
      </c>
      <c r="BV17" s="53"/>
      <c r="BW17" s="53">
        <f t="shared" si="77"/>
        <v>73.13823775332278</v>
      </c>
      <c r="BX17" s="53">
        <f t="shared" si="78"/>
        <v>27.420931742388404</v>
      </c>
      <c r="BY17" s="53">
        <f t="shared" si="79"/>
        <v>-0.5591694957111915</v>
      </c>
      <c r="BZ17" s="50"/>
      <c r="CA17" s="53">
        <f t="shared" si="80"/>
        <v>71.35745203396668</v>
      </c>
      <c r="CB17" s="53">
        <f t="shared" si="81"/>
        <v>26.75328093265768</v>
      </c>
      <c r="CC17" s="53">
        <f t="shared" si="82"/>
        <v>2.434821748593747</v>
      </c>
      <c r="CD17" s="53">
        <f t="shared" si="83"/>
        <v>-0.5455547152181113</v>
      </c>
      <c r="CE17" s="53">
        <f>((U17+V17)-(W17+X17+Y17))*100/16</f>
        <v>1.7223987045121292</v>
      </c>
      <c r="CF17" s="53"/>
      <c r="CG17" s="53">
        <f>CA17*100/(CA17+CB17+CD17)</f>
        <v>73.13823775332278</v>
      </c>
      <c r="CH17" s="53">
        <f>CB17*100/(CA17+CB17+CD17)</f>
        <v>27.4209317423884</v>
      </c>
      <c r="CI17" s="53">
        <f>CD17*100/(CA17+CB17+CD17)</f>
        <v>-0.5591694957111893</v>
      </c>
      <c r="CJ17" s="46"/>
      <c r="CK17" s="53">
        <f>CA17*100/(CA17+CB17+CE17)</f>
        <v>71.47672404891348</v>
      </c>
      <c r="CL17" s="53">
        <f>CB17*100/(CA17+CB17+CE17)</f>
        <v>26.79799830459743</v>
      </c>
      <c r="CM17" s="53">
        <f>CE17*100/(CA17+CB17+CE17)</f>
        <v>1.7252776464890809</v>
      </c>
      <c r="CN17" s="53"/>
      <c r="CO17" s="54">
        <f t="shared" si="85"/>
        <v>72.73154513914527</v>
      </c>
      <c r="CP17" s="54">
        <f t="shared" si="61"/>
        <v>27.26845486085473</v>
      </c>
      <c r="CQ17" s="31"/>
      <c r="CR17" s="2" t="str">
        <f t="shared" si="84"/>
        <v>Old</v>
      </c>
    </row>
    <row r="18" spans="1:96" s="5" customFormat="1" ht="12.75" customHeight="1">
      <c r="A18" s="12" t="s">
        <v>89</v>
      </c>
      <c r="B18" s="12" t="s">
        <v>105</v>
      </c>
      <c r="C18" s="13"/>
      <c r="D18" s="11">
        <v>40.21</v>
      </c>
      <c r="E18" s="11">
        <v>0.06</v>
      </c>
      <c r="F18" s="11">
        <v>32.62</v>
      </c>
      <c r="G18" s="11">
        <v>1.6003373976950062</v>
      </c>
      <c r="H18" s="11"/>
      <c r="I18" s="84"/>
      <c r="J18" s="11"/>
      <c r="K18" s="11">
        <v>0.16</v>
      </c>
      <c r="L18" s="11">
        <v>0.06</v>
      </c>
      <c r="M18" s="11"/>
      <c r="N18" s="11"/>
      <c r="O18" s="11">
        <v>15</v>
      </c>
      <c r="P18" s="11">
        <v>9.64</v>
      </c>
      <c r="Q18" s="11">
        <f>SUM(D18:P18)</f>
        <v>99.350337397695</v>
      </c>
      <c r="R18" s="56"/>
      <c r="S18" s="57">
        <f>32/(D18*2/60.0843+E18*2/79.8788+F18*3/101.9613+G18*3/159.6922+H18*3/151.989+I18/71.846+K18/40.305+J18/70.937+L18/56.0774+M18/103.62+N18/153.34+O18/61.97894+P18/94.195)</f>
        <v>11.94389316849404</v>
      </c>
      <c r="T18" s="56"/>
      <c r="U18" s="57">
        <f>D18*S18/60.0843</f>
        <v>7.993168669771394</v>
      </c>
      <c r="V18" s="57">
        <f>E18*S18/79.8788</f>
        <v>0.00897151171662121</v>
      </c>
      <c r="W18" s="57">
        <f>F18*2*S18/101.9613</f>
        <v>7.642307329472565</v>
      </c>
      <c r="X18" s="57">
        <f>G18*2*S18/159.6922</f>
        <v>0.23938876052324295</v>
      </c>
      <c r="Y18" s="57">
        <f>H18*2*S18/151.989</f>
        <v>0</v>
      </c>
      <c r="Z18" s="57">
        <f>I18*S18/71.846</f>
        <v>0</v>
      </c>
      <c r="AA18" s="57">
        <f>K18*S18/40.305</f>
        <v>0.04741404061429218</v>
      </c>
      <c r="AB18" s="57">
        <f>J18*S18/70.937</f>
        <v>0</v>
      </c>
      <c r="AC18" s="57">
        <f>L18*S18/56.0774</f>
        <v>0.012779365486089626</v>
      </c>
      <c r="AD18" s="57">
        <f>M18*S18/103.62</f>
        <v>0</v>
      </c>
      <c r="AE18" s="57">
        <f>N18*S18/153.34</f>
        <v>0</v>
      </c>
      <c r="AF18" s="57">
        <f>O18*2*S18/61.97894</f>
        <v>5.781266911870729</v>
      </c>
      <c r="AG18" s="57">
        <f>P18*2*S18/94.195</f>
        <v>2.4446972799890134</v>
      </c>
      <c r="AH18" s="57"/>
      <c r="AI18" s="57">
        <f>(U18+V18-(Z18+AA18+AB18))/(W18+X18+Y18+2*(Z18+AA18+AB18))</f>
        <v>0.9972672269421176</v>
      </c>
      <c r="AJ18" s="57">
        <f>SUM(U18:AG18)</f>
        <v>24.16999386944395</v>
      </c>
      <c r="AK18" s="57">
        <f>SUM(U18:AB18)</f>
        <v>15.931250312098115</v>
      </c>
      <c r="AL18" s="57">
        <f>SUM(AC18+AD18+AE18+AF18+AG18)</f>
        <v>8.238743557345831</v>
      </c>
      <c r="AM18" s="57">
        <f>AC18*2+AD18*2+AE18*2+AF18+AG18</f>
        <v>8.25152292283192</v>
      </c>
      <c r="AN18" s="57">
        <f>(W18+X18+Y18)+2*(Z18+AA18+AB18)-AM18</f>
        <v>-0.2749987516075283</v>
      </c>
      <c r="AO18" s="57">
        <f t="shared" si="62"/>
        <v>-0.24057687406682504</v>
      </c>
      <c r="AP18" s="57">
        <f>AN18/AO18</f>
        <v>1.1430805752806559</v>
      </c>
      <c r="AQ18" s="56"/>
      <c r="AR18" s="57">
        <f>((U18+V18)*4+(W18+X18+Y18)*3+(Z18+AA18+AB18)*2)</f>
        <v>55.74847707716807</v>
      </c>
      <c r="AS18" s="57">
        <f>AR18/(U18+V18+W18+X18+Y18+Z18+AA18+AB18)</f>
        <v>3.499315871952181</v>
      </c>
      <c r="AT18" s="57">
        <f>16*AS18</f>
        <v>55.989053951234894</v>
      </c>
      <c r="AU18" s="59">
        <f>AR18-AT18</f>
        <v>-0.24057687406682504</v>
      </c>
      <c r="AV18" s="59"/>
      <c r="AW18" s="57" t="s">
        <v>89</v>
      </c>
      <c r="AX18" s="57"/>
      <c r="AY18" s="57">
        <f>(U18+V18)-AC18*2-AD18*2-AE18*2-AF18-AG18-(Z18+AA18+AB18)</f>
        <v>-0.29679678195819864</v>
      </c>
      <c r="AZ18" s="58">
        <f>AY18*100/16</f>
        <v>-1.8549798872387415</v>
      </c>
      <c r="BA18" s="57">
        <f t="shared" si="63"/>
        <v>-0.4577719865375642</v>
      </c>
      <c r="BB18" s="58">
        <f t="shared" si="64"/>
        <v>-1.2890586623144487</v>
      </c>
      <c r="BC18" s="37"/>
      <c r="BD18" s="58">
        <f t="shared" si="65"/>
        <v>72.26583639838411</v>
      </c>
      <c r="BE18" s="58">
        <f t="shared" si="66"/>
        <v>69.27347689184357</v>
      </c>
      <c r="BF18" s="58">
        <f t="shared" si="67"/>
        <v>2.9923595065405366</v>
      </c>
      <c r="BG18" s="58">
        <f t="shared" si="68"/>
        <v>30.55871599986267</v>
      </c>
      <c r="BH18" s="58">
        <f t="shared" si="69"/>
        <v>29.37336498450536</v>
      </c>
      <c r="BI18" s="58">
        <f t="shared" si="70"/>
        <v>0.3194841371522406</v>
      </c>
      <c r="BJ18" s="58">
        <f t="shared" si="71"/>
        <v>1.1853510153573046</v>
      </c>
      <c r="BK18" s="58"/>
      <c r="BL18" s="56" t="str">
        <f t="shared" si="72"/>
        <v>Junqueira-Brod (1998)</v>
      </c>
      <c r="BM18" s="56"/>
      <c r="BN18" s="58">
        <f t="shared" si="73"/>
        <v>-3.1440365353990116</v>
      </c>
      <c r="BO18" s="58">
        <f t="shared" si="74"/>
        <v>-1.8549798872387415</v>
      </c>
      <c r="BP18" s="58">
        <f t="shared" si="75"/>
        <v>-2.28466543662549</v>
      </c>
      <c r="BQ18" s="58">
        <f t="shared" si="76"/>
        <v>-3.1440365353990174</v>
      </c>
      <c r="BR18" s="58">
        <f>((U18+V18)-(W18+X18+Y18)-((Z18+AA18+AB18)*3))*100/16</f>
        <v>-0.13623768969168656</v>
      </c>
      <c r="BS18" s="57"/>
      <c r="BT18" s="58">
        <f>(BN18-BO18)*24/100</f>
        <v>-0.30937359555846483</v>
      </c>
      <c r="BU18" s="58">
        <f>(BN18-BO18)/BN18</f>
        <v>0.4100005307338692</v>
      </c>
      <c r="BV18" s="58"/>
      <c r="BW18" s="58">
        <f t="shared" si="77"/>
        <v>72.49745426459869</v>
      </c>
      <c r="BX18" s="58">
        <f t="shared" si="78"/>
        <v>30.656659162868863</v>
      </c>
      <c r="BY18" s="58">
        <f t="shared" si="79"/>
        <v>-3.154113427467559</v>
      </c>
      <c r="BZ18" s="57"/>
      <c r="CA18" s="58">
        <f t="shared" si="80"/>
        <v>72.26583639838411</v>
      </c>
      <c r="CB18" s="58">
        <f t="shared" si="81"/>
        <v>30.558715999862667</v>
      </c>
      <c r="CC18" s="58">
        <f t="shared" si="82"/>
        <v>0.31948413715224067</v>
      </c>
      <c r="CD18" s="58">
        <f t="shared" si="83"/>
        <v>-3.1440365353990174</v>
      </c>
      <c r="CE18" s="58">
        <f>((U18+V18)-(W18+X18+Y18)-((Z18+AA18+AB18)*3))*100/16</f>
        <v>-0.13623768969168656</v>
      </c>
      <c r="CF18" s="58"/>
      <c r="CG18" s="58">
        <f>CA18*100/(CA18+CB18+CD18)</f>
        <v>72.4974542645987</v>
      </c>
      <c r="CH18" s="58">
        <f>CB18*100/(CA18+CB18+CD18)</f>
        <v>30.656659162868863</v>
      </c>
      <c r="CI18" s="58">
        <f>CD18*100/(CA18+CB18+CD18)</f>
        <v>-3.154113427467565</v>
      </c>
      <c r="CJ18" s="56"/>
      <c r="CK18" s="58">
        <f>CA18*100/(CA18+CB18+CE18)</f>
        <v>70.37396280529623</v>
      </c>
      <c r="CL18" s="58">
        <f>CB18*100/(CA18+CB18+CE18)</f>
        <v>29.758708268407077</v>
      </c>
      <c r="CM18" s="58">
        <f>CE18*100/(CA18+CB18+CE18)</f>
        <v>-0.13267107370332218</v>
      </c>
      <c r="CN18" s="58"/>
      <c r="CO18" s="60">
        <f t="shared" si="85"/>
        <v>70.28072061864505</v>
      </c>
      <c r="CP18" s="60">
        <f t="shared" si="61"/>
        <v>29.71927938135495</v>
      </c>
      <c r="CQ18" s="31"/>
      <c r="CR18" s="2" t="str">
        <f t="shared" si="84"/>
        <v>Junqueira-Brod (1998)</v>
      </c>
    </row>
    <row r="19" spans="1:96" s="5" customFormat="1" ht="12.75" customHeight="1">
      <c r="A19" s="18" t="s">
        <v>111</v>
      </c>
      <c r="B19" s="18"/>
      <c r="C19" s="19"/>
      <c r="D19" s="20">
        <v>40.21</v>
      </c>
      <c r="E19" s="20">
        <v>0.06</v>
      </c>
      <c r="F19" s="20">
        <v>32.62</v>
      </c>
      <c r="G19" s="20"/>
      <c r="H19" s="20"/>
      <c r="I19" s="20">
        <v>1.44</v>
      </c>
      <c r="J19" s="20"/>
      <c r="K19" s="20">
        <v>0.16</v>
      </c>
      <c r="L19" s="20">
        <v>0.06</v>
      </c>
      <c r="M19" s="20"/>
      <c r="N19" s="20"/>
      <c r="O19" s="20">
        <v>15</v>
      </c>
      <c r="P19" s="20">
        <v>9.64</v>
      </c>
      <c r="Q19" s="20">
        <f aca="true" t="shared" si="86" ref="Q19:Q66">SUM(D19:P19)</f>
        <v>99.19</v>
      </c>
      <c r="R19" s="61"/>
      <c r="S19" s="62">
        <f aca="true" t="shared" si="87" ref="S19:S67">32/(D19*2/60.0843+E19*2/79.8788+F19*3/101.9613+G19*3/159.6922+H19*3/151.989+I19/71.846+K19/40.305+J19/70.937+L19/56.0774+M19/103.62+N19/153.34+O19/61.97894+P19/94.195)</f>
        <v>11.9887360048769</v>
      </c>
      <c r="T19" s="61"/>
      <c r="U19" s="62">
        <f aca="true" t="shared" si="88" ref="U19:U67">D19*S19/60.0843</f>
        <v>8.023178679889758</v>
      </c>
      <c r="V19" s="62">
        <f aca="true" t="shared" si="89" ref="V19:V67">E19*S19/79.8788</f>
        <v>0.00900519487389162</v>
      </c>
      <c r="W19" s="62">
        <f aca="true" t="shared" si="90" ref="W19:W67">F19*2*S19/101.9613</f>
        <v>7.671000045685656</v>
      </c>
      <c r="X19" s="62">
        <f aca="true" t="shared" si="91" ref="X19:X67">G19*2*S19/159.6922</f>
        <v>0</v>
      </c>
      <c r="Y19" s="62">
        <f aca="true" t="shared" si="92" ref="Y19:Y67">H19*2*S19/151.989</f>
        <v>0</v>
      </c>
      <c r="Z19" s="62">
        <f aca="true" t="shared" si="93" ref="Z19:Z67">I19*S19/71.846</f>
        <v>0.24028867086577868</v>
      </c>
      <c r="AA19" s="62">
        <f aca="true" t="shared" si="94" ref="AA19:AA67">K19*S19/40.305</f>
        <v>0.04759205460315852</v>
      </c>
      <c r="AB19" s="62">
        <f aca="true" t="shared" si="95" ref="AB19:AB67">J19*S19/70.937</f>
        <v>0</v>
      </c>
      <c r="AC19" s="62">
        <f aca="true" t="shared" si="96" ref="AC19:AC67">L19*S19/56.0774</f>
        <v>0.012827345067578275</v>
      </c>
      <c r="AD19" s="62">
        <f aca="true" t="shared" si="97" ref="AD19:AD67">M19*S19/103.62</f>
        <v>0</v>
      </c>
      <c r="AE19" s="62">
        <f aca="true" t="shared" si="98" ref="AE19:AE67">N19*S19/153.34</f>
        <v>0</v>
      </c>
      <c r="AF19" s="62">
        <f aca="true" t="shared" si="99" ref="AF19:AF67">O19*2*S19/61.97894</f>
        <v>5.80297243138245</v>
      </c>
      <c r="AG19" s="62">
        <f aca="true" t="shared" si="100" ref="AG19:AG67">P19*2*S19/94.195</f>
        <v>2.4538757914329494</v>
      </c>
      <c r="AH19" s="62"/>
      <c r="AI19" s="62">
        <f aca="true" t="shared" si="101" ref="AI19:AI66">(U19+V19-(Z19+AA19+AB19))/(W19+X19+Y19+2*(Z19+AA19+AB19))</f>
        <v>0.9390720408811944</v>
      </c>
      <c r="AJ19" s="62">
        <f aca="true" t="shared" si="102" ref="AJ19:AJ67">SUM(U19:AG19)</f>
        <v>24.26074021380122</v>
      </c>
      <c r="AK19" s="62">
        <f aca="true" t="shared" si="103" ref="AK19:AK66">SUM(U19:AB19)</f>
        <v>15.991064645918243</v>
      </c>
      <c r="AL19" s="62">
        <f aca="true" t="shared" si="104" ref="AL19:AL67">SUM(AC19+AD19+AE19+AF19+AG19)</f>
        <v>8.269675567882977</v>
      </c>
      <c r="AM19" s="62">
        <f aca="true" t="shared" si="105" ref="AM19:AM67">AC19*2+AD19*2+AE19*2+AF19+AG19</f>
        <v>8.282502912950555</v>
      </c>
      <c r="AN19" s="62">
        <f aca="true" t="shared" si="106" ref="AN19:AN66">(W19+X19+Y19)+2*(Z19+AA19+AB19)-AM19</f>
        <v>-0.03574141632702421</v>
      </c>
      <c r="AO19" s="62">
        <f t="shared" si="62"/>
        <v>-0.031133359538330296</v>
      </c>
      <c r="AP19" s="62">
        <f aca="true" t="shared" si="107" ref="AP19:AP67">AN19/AO19</f>
        <v>1.148010264777903</v>
      </c>
      <c r="AQ19" s="61"/>
      <c r="AR19" s="62">
        <f>((U19+V19)*4+(W19+X19+Y19)*3+(Z19+AA19+AB19)*2)</f>
        <v>55.717497087049445</v>
      </c>
      <c r="AS19" s="62">
        <f>AR19/(U19+V19+W19+X19+Y19+Z19+AA19+AB19)</f>
        <v>3.484289402911736</v>
      </c>
      <c r="AT19" s="62">
        <f aca="true" t="shared" si="108" ref="AT19:AT67">16*AS19</f>
        <v>55.748630446587775</v>
      </c>
      <c r="AU19" s="64">
        <f aca="true" t="shared" si="109" ref="AU19:AU67">AR19-AT19</f>
        <v>-0.031133359538330296</v>
      </c>
      <c r="AV19" s="64"/>
      <c r="AW19" s="62" t="s">
        <v>111</v>
      </c>
      <c r="AX19" s="62"/>
      <c r="AY19" s="62">
        <f>(U19+V19)-AC19*2-AD19*2-AE19*2-AF19-AG19-(Z19+AA19+AB19)</f>
        <v>-0.5381997636558443</v>
      </c>
      <c r="AZ19" s="63">
        <f aca="true" t="shared" si="110" ref="AZ19:AZ67">AY19*100/16</f>
        <v>-3.363748522849027</v>
      </c>
      <c r="BA19" s="62">
        <f t="shared" si="63"/>
        <v>-0.30930897519582434</v>
      </c>
      <c r="BB19" s="63">
        <f t="shared" si="64"/>
        <v>-0.16753815081128662</v>
      </c>
      <c r="BC19" s="37"/>
      <c r="BD19" s="63">
        <f t="shared" si="65"/>
        <v>72.53715539228062</v>
      </c>
      <c r="BE19" s="63">
        <f t="shared" si="66"/>
        <v>72.53715539228062</v>
      </c>
      <c r="BF19" s="63">
        <f t="shared" si="67"/>
        <v>0</v>
      </c>
      <c r="BG19" s="63">
        <f t="shared" si="68"/>
        <v>30.673447392911868</v>
      </c>
      <c r="BH19" s="63">
        <f t="shared" si="69"/>
        <v>23.47642925618844</v>
      </c>
      <c r="BI19" s="63">
        <f t="shared" si="70"/>
        <v>0.3206836266894569</v>
      </c>
      <c r="BJ19" s="63">
        <f t="shared" si="71"/>
        <v>7.197018136723429</v>
      </c>
      <c r="BK19" s="63"/>
      <c r="BL19" s="61" t="str">
        <f t="shared" si="72"/>
        <v>All Fe2+</v>
      </c>
      <c r="BM19" s="61"/>
      <c r="BN19" s="63">
        <f t="shared" si="73"/>
        <v>-3.5312864118819527</v>
      </c>
      <c r="BO19" s="63">
        <f t="shared" si="74"/>
        <v>-3.363748522849027</v>
      </c>
      <c r="BP19" s="63">
        <f t="shared" si="75"/>
        <v>-3.4195944858599843</v>
      </c>
      <c r="BQ19" s="63">
        <f t="shared" si="76"/>
        <v>-3.5312864118819522</v>
      </c>
      <c r="BR19" s="63">
        <f>((U19+V19)-(W19+X19+Y19)-((Z19+AA19+AB19)*3))*100/16</f>
        <v>-3.140364670805113</v>
      </c>
      <c r="BS19" s="62"/>
      <c r="BT19" s="63">
        <f aca="true" t="shared" si="111" ref="BT19:BT67">(BN19-BO19)*24/100</f>
        <v>-0.04020909336790218</v>
      </c>
      <c r="BU19" s="63">
        <f aca="true" t="shared" si="112" ref="BU19:BU67">(BN19-BO19)/BN19</f>
        <v>0.047443868746867984</v>
      </c>
      <c r="BV19" s="63"/>
      <c r="BW19" s="63">
        <f t="shared" si="77"/>
        <v>72.7705185302642</v>
      </c>
      <c r="BX19" s="63">
        <f t="shared" si="78"/>
        <v>30.77212857082232</v>
      </c>
      <c r="BY19" s="63">
        <f t="shared" si="79"/>
        <v>-3.542647101086526</v>
      </c>
      <c r="BZ19" s="62"/>
      <c r="CA19" s="63">
        <f t="shared" si="80"/>
        <v>72.53715539228062</v>
      </c>
      <c r="CB19" s="63">
        <f t="shared" si="81"/>
        <v>30.673447392911868</v>
      </c>
      <c r="CC19" s="63">
        <f t="shared" si="82"/>
        <v>0.3206836266894569</v>
      </c>
      <c r="CD19" s="63">
        <f t="shared" si="83"/>
        <v>-3.5312864118819522</v>
      </c>
      <c r="CE19" s="63">
        <f>((U19+V19)-(W19+X19+Y19)-((Z19+AA19+AB19)*3))*100/16</f>
        <v>-3.140364670805113</v>
      </c>
      <c r="CF19" s="63"/>
      <c r="CG19" s="63">
        <f aca="true" t="shared" si="113" ref="CG19:CG67">CA19*100/(CA19+CB19+CD19)</f>
        <v>72.7705185302642</v>
      </c>
      <c r="CH19" s="63">
        <f aca="true" t="shared" si="114" ref="CH19:CH67">CB19*100/(CA19+CB19+CD19)</f>
        <v>30.77212857082232</v>
      </c>
      <c r="CI19" s="63">
        <f aca="true" t="shared" si="115" ref="CI19:CI67">CD19*100/(CA19+CB19+CD19)</f>
        <v>-3.5426471010865255</v>
      </c>
      <c r="CJ19" s="61"/>
      <c r="CK19" s="63">
        <f aca="true" t="shared" si="116" ref="CK19:CK67">CA19*100/(CA19+CB19+CE19)</f>
        <v>72.48624242241286</v>
      </c>
      <c r="CL19" s="63">
        <f aca="true" t="shared" si="117" ref="CL19:CL67">CB19*100/(CA19+CB19+CE19)</f>
        <v>30.6519180636404</v>
      </c>
      <c r="CM19" s="63">
        <f aca="true" t="shared" si="118" ref="CM19:CM67">CE19*100/(CA19+CB19+CE19)</f>
        <v>-3.1381604860532595</v>
      </c>
      <c r="CN19" s="63"/>
      <c r="CO19" s="65">
        <f t="shared" si="85"/>
        <v>70.28072061864505</v>
      </c>
      <c r="CP19" s="65">
        <f t="shared" si="61"/>
        <v>29.71927938135495</v>
      </c>
      <c r="CQ19" s="31"/>
      <c r="CR19" s="2" t="str">
        <f t="shared" si="84"/>
        <v>All Fe2+</v>
      </c>
    </row>
    <row r="20" spans="1:96" s="5" customFormat="1" ht="12.75" customHeight="1">
      <c r="A20" s="14" t="s">
        <v>112</v>
      </c>
      <c r="B20" s="14"/>
      <c r="C20" s="15"/>
      <c r="D20" s="16">
        <v>40.21</v>
      </c>
      <c r="E20" s="16">
        <v>0.06</v>
      </c>
      <c r="F20" s="16">
        <v>32.62</v>
      </c>
      <c r="G20" s="16">
        <v>1.6003373976950062</v>
      </c>
      <c r="H20" s="16"/>
      <c r="I20" s="16"/>
      <c r="J20" s="16"/>
      <c r="K20" s="16">
        <v>0.16</v>
      </c>
      <c r="L20" s="16">
        <v>0.06</v>
      </c>
      <c r="M20" s="16"/>
      <c r="N20" s="16"/>
      <c r="O20" s="16">
        <v>15</v>
      </c>
      <c r="P20" s="16">
        <v>9.64</v>
      </c>
      <c r="Q20" s="16">
        <f t="shared" si="86"/>
        <v>99.350337397695</v>
      </c>
      <c r="R20" s="46"/>
      <c r="S20" s="50">
        <f t="shared" si="87"/>
        <v>11.94389316849404</v>
      </c>
      <c r="T20" s="46"/>
      <c r="U20" s="50">
        <f t="shared" si="88"/>
        <v>7.993168669771394</v>
      </c>
      <c r="V20" s="50">
        <f t="shared" si="89"/>
        <v>0.00897151171662121</v>
      </c>
      <c r="W20" s="50">
        <f t="shared" si="90"/>
        <v>7.642307329472565</v>
      </c>
      <c r="X20" s="50">
        <f t="shared" si="91"/>
        <v>0.23938876052324295</v>
      </c>
      <c r="Y20" s="50">
        <f t="shared" si="92"/>
        <v>0</v>
      </c>
      <c r="Z20" s="50">
        <f t="shared" si="93"/>
        <v>0</v>
      </c>
      <c r="AA20" s="50">
        <f t="shared" si="94"/>
        <v>0.04741404061429218</v>
      </c>
      <c r="AB20" s="50">
        <f t="shared" si="95"/>
        <v>0</v>
      </c>
      <c r="AC20" s="50">
        <f t="shared" si="96"/>
        <v>0.012779365486089626</v>
      </c>
      <c r="AD20" s="50">
        <f t="shared" si="97"/>
        <v>0</v>
      </c>
      <c r="AE20" s="50">
        <f t="shared" si="98"/>
        <v>0</v>
      </c>
      <c r="AF20" s="50">
        <f t="shared" si="99"/>
        <v>5.781266911870729</v>
      </c>
      <c r="AG20" s="50">
        <f t="shared" si="100"/>
        <v>2.4446972799890134</v>
      </c>
      <c r="AH20" s="50"/>
      <c r="AI20" s="50">
        <f>(U20+V20)/(W20+X20+Y20)</f>
        <v>1.0152814939978574</v>
      </c>
      <c r="AJ20" s="50">
        <f t="shared" si="102"/>
        <v>24.16999386944395</v>
      </c>
      <c r="AK20" s="50">
        <f>SUM(U20:Y20)</f>
        <v>15.883836271483823</v>
      </c>
      <c r="AL20" s="50">
        <f t="shared" si="104"/>
        <v>8.238743557345831</v>
      </c>
      <c r="AM20" s="50">
        <f t="shared" si="105"/>
        <v>8.25152292283192</v>
      </c>
      <c r="AN20" s="50">
        <f>(W20+X20+Y20)-AM20</f>
        <v>-0.36982683283611273</v>
      </c>
      <c r="AO20" s="50">
        <f t="shared" si="62"/>
        <v>-0.4070134734708546</v>
      </c>
      <c r="AP20" s="50">
        <f t="shared" si="107"/>
        <v>0.9086353571599769</v>
      </c>
      <c r="AQ20" s="46"/>
      <c r="AR20" s="50">
        <f>((U20+V20)*4+(W20+X20+Y20)*3)</f>
        <v>55.653648995939484</v>
      </c>
      <c r="AS20" s="50">
        <f>AR20/(U20+V20+W20+X20+Y20)</f>
        <v>3.503791404338146</v>
      </c>
      <c r="AT20" s="50">
        <f t="shared" si="108"/>
        <v>56.06066246941034</v>
      </c>
      <c r="AU20" s="51">
        <f t="shared" si="109"/>
        <v>-0.4070134734708546</v>
      </c>
      <c r="AV20" s="51"/>
      <c r="AW20" s="50" t="s">
        <v>112</v>
      </c>
      <c r="AX20" s="50"/>
      <c r="AY20" s="50">
        <f>(U20+V20)-AC20*2-AD20*2-AE20*2-AF20-AG20</f>
        <v>-0.24938274134390648</v>
      </c>
      <c r="AZ20" s="53">
        <f t="shared" si="110"/>
        <v>-1.5586421333994154</v>
      </c>
      <c r="BA20" s="50">
        <f t="shared" si="63"/>
        <v>-0.5051860271518563</v>
      </c>
      <c r="BB20" s="53">
        <f t="shared" si="64"/>
        <v>-1.733565987616134</v>
      </c>
      <c r="BC20" s="37"/>
      <c r="BD20" s="53">
        <f t="shared" si="65"/>
        <v>72.26583639838411</v>
      </c>
      <c r="BE20" s="53">
        <f t="shared" si="66"/>
        <v>69.27347689184357</v>
      </c>
      <c r="BF20" s="53">
        <f t="shared" si="67"/>
        <v>2.9923595065405366</v>
      </c>
      <c r="BG20" s="53">
        <f t="shared" si="68"/>
        <v>30.55871599986267</v>
      </c>
      <c r="BH20" s="53">
        <f t="shared" si="69"/>
        <v>29.37336498450536</v>
      </c>
      <c r="BI20" s="53">
        <f t="shared" si="70"/>
        <v>0.3194841371522406</v>
      </c>
      <c r="BJ20" s="53">
        <f t="shared" si="71"/>
        <v>1.1853510153573046</v>
      </c>
      <c r="BK20" s="53"/>
      <c r="BL20" s="46" t="str">
        <f t="shared" si="72"/>
        <v>Old</v>
      </c>
      <c r="BM20" s="46"/>
      <c r="BN20" s="53">
        <f t="shared" si="73"/>
        <v>-3.1440365353990116</v>
      </c>
      <c r="BO20" s="53">
        <f t="shared" si="74"/>
        <v>-1.5586421333994154</v>
      </c>
      <c r="BP20" s="53">
        <f t="shared" si="75"/>
        <v>-2.28466543662549</v>
      </c>
      <c r="BQ20" s="53">
        <f t="shared" si="76"/>
        <v>-3.1440365353990174</v>
      </c>
      <c r="BR20" s="53">
        <f>((U20+V20)-(W20+X20+Y20))*100/16</f>
        <v>0.7527755718262918</v>
      </c>
      <c r="BS20" s="50"/>
      <c r="BT20" s="53">
        <f t="shared" si="111"/>
        <v>-0.3804946564799031</v>
      </c>
      <c r="BU20" s="53">
        <f t="shared" si="112"/>
        <v>0.5042544462029901</v>
      </c>
      <c r="BV20" s="53"/>
      <c r="BW20" s="53">
        <f t="shared" si="77"/>
        <v>72.49745426459869</v>
      </c>
      <c r="BX20" s="53">
        <f t="shared" si="78"/>
        <v>30.656659162868863</v>
      </c>
      <c r="BY20" s="53">
        <f t="shared" si="79"/>
        <v>-3.154113427467559</v>
      </c>
      <c r="BZ20" s="50"/>
      <c r="CA20" s="53">
        <f t="shared" si="80"/>
        <v>72.26583639838411</v>
      </c>
      <c r="CB20" s="53">
        <f t="shared" si="81"/>
        <v>30.558715999862667</v>
      </c>
      <c r="CC20" s="53">
        <f t="shared" si="82"/>
        <v>0.31948413715224067</v>
      </c>
      <c r="CD20" s="53">
        <f t="shared" si="83"/>
        <v>-3.1440365353990174</v>
      </c>
      <c r="CE20" s="53">
        <f>((U20+V20)-(W20+X20+Y20))*100/16</f>
        <v>0.7527755718262918</v>
      </c>
      <c r="CF20" s="53"/>
      <c r="CG20" s="53">
        <f t="shared" si="113"/>
        <v>72.4974542645987</v>
      </c>
      <c r="CH20" s="53">
        <f t="shared" si="114"/>
        <v>30.656659162868863</v>
      </c>
      <c r="CI20" s="53">
        <f t="shared" si="115"/>
        <v>-3.154113427467565</v>
      </c>
      <c r="CJ20" s="46"/>
      <c r="CK20" s="53">
        <f t="shared" si="116"/>
        <v>69.76993692988886</v>
      </c>
      <c r="CL20" s="53">
        <f t="shared" si="117"/>
        <v>29.50328667359723</v>
      </c>
      <c r="CM20" s="53">
        <f t="shared" si="118"/>
        <v>0.7267763965139106</v>
      </c>
      <c r="CN20" s="53"/>
      <c r="CO20" s="54">
        <f t="shared" si="85"/>
        <v>70.28072061864505</v>
      </c>
      <c r="CP20" s="54">
        <f t="shared" si="61"/>
        <v>29.71927938135495</v>
      </c>
      <c r="CQ20" s="31"/>
      <c r="CR20" s="2" t="str">
        <f t="shared" si="84"/>
        <v>Old</v>
      </c>
    </row>
    <row r="21" spans="1:96" s="5" customFormat="1" ht="12.75" customHeight="1">
      <c r="A21" s="12" t="s">
        <v>83</v>
      </c>
      <c r="B21" s="12" t="s">
        <v>92</v>
      </c>
      <c r="C21" s="13"/>
      <c r="D21" s="11">
        <v>39.62</v>
      </c>
      <c r="E21" s="11">
        <v>0.03</v>
      </c>
      <c r="F21" s="11">
        <v>32.57</v>
      </c>
      <c r="G21" s="11">
        <v>1.466975947887089</v>
      </c>
      <c r="H21" s="11"/>
      <c r="I21" s="84"/>
      <c r="J21" s="11"/>
      <c r="K21" s="11">
        <v>0.21</v>
      </c>
      <c r="L21" s="11">
        <v>0.13</v>
      </c>
      <c r="M21" s="11">
        <v>0.02</v>
      </c>
      <c r="N21" s="11">
        <v>0.11</v>
      </c>
      <c r="O21" s="11">
        <v>14.29</v>
      </c>
      <c r="P21" s="11">
        <v>9.55</v>
      </c>
      <c r="Q21" s="11">
        <f t="shared" si="86"/>
        <v>97.99697594788707</v>
      </c>
      <c r="R21" s="56"/>
      <c r="S21" s="57">
        <f t="shared" si="87"/>
        <v>12.094572286516676</v>
      </c>
      <c r="T21" s="56"/>
      <c r="U21" s="57">
        <f t="shared" si="88"/>
        <v>7.975244015354938</v>
      </c>
      <c r="V21" s="57">
        <f t="shared" si="89"/>
        <v>0.0045423462620307305</v>
      </c>
      <c r="W21" s="57">
        <f t="shared" si="90"/>
        <v>7.726857530687587</v>
      </c>
      <c r="X21" s="57">
        <f t="shared" si="91"/>
        <v>0.22220805580111888</v>
      </c>
      <c r="Y21" s="57">
        <f t="shared" si="92"/>
        <v>0</v>
      </c>
      <c r="Z21" s="57">
        <f t="shared" si="93"/>
        <v>0</v>
      </c>
      <c r="AA21" s="57">
        <f t="shared" si="94"/>
        <v>0.06301600744742593</v>
      </c>
      <c r="AB21" s="57">
        <f t="shared" si="95"/>
        <v>0</v>
      </c>
      <c r="AC21" s="57">
        <f t="shared" si="96"/>
        <v>0.028037933235976847</v>
      </c>
      <c r="AD21" s="57">
        <f t="shared" si="97"/>
        <v>0.0023344088566911165</v>
      </c>
      <c r="AE21" s="57">
        <f t="shared" si="98"/>
        <v>0.008676163763641805</v>
      </c>
      <c r="AF21" s="57">
        <f t="shared" si="99"/>
        <v>5.577102092237244</v>
      </c>
      <c r="AG21" s="57">
        <f t="shared" si="100"/>
        <v>2.452426675221281</v>
      </c>
      <c r="AH21" s="57"/>
      <c r="AI21" s="57">
        <f t="shared" si="101"/>
        <v>0.9803931475469859</v>
      </c>
      <c r="AJ21" s="57">
        <f t="shared" si="102"/>
        <v>24.060445228867934</v>
      </c>
      <c r="AK21" s="57">
        <f t="shared" si="103"/>
        <v>15.991867955553099</v>
      </c>
      <c r="AL21" s="57">
        <f t="shared" si="104"/>
        <v>8.068577273314835</v>
      </c>
      <c r="AM21" s="57">
        <f t="shared" si="105"/>
        <v>8.107625779171144</v>
      </c>
      <c r="AN21" s="57">
        <f t="shared" si="106"/>
        <v>-0.03252817778758654</v>
      </c>
      <c r="AO21" s="57">
        <f t="shared" si="62"/>
        <v>-0.02842189997252831</v>
      </c>
      <c r="AP21" s="57">
        <f t="shared" si="107"/>
        <v>1.1444758379639373</v>
      </c>
      <c r="AQ21" s="56"/>
      <c r="AR21" s="57">
        <f>((U21+V21)*4+(W21+X21+Y21)*3+(Z21+AA21+AB21)*2)</f>
        <v>55.89237422082884</v>
      </c>
      <c r="AS21" s="57">
        <f>AR21/(U21+V21+W21+X21+Y21+Z21+AA21+AB21)</f>
        <v>3.4950497575500856</v>
      </c>
      <c r="AT21" s="57">
        <f t="shared" si="108"/>
        <v>55.92079612080137</v>
      </c>
      <c r="AU21" s="59">
        <f t="shared" si="109"/>
        <v>-0.02842189997252831</v>
      </c>
      <c r="AV21" s="59"/>
      <c r="AW21" s="57" t="s">
        <v>83</v>
      </c>
      <c r="AX21" s="57"/>
      <c r="AY21" s="57">
        <f>(U21+V21)-AC21*2-AD21*2-AE21*2-AF21-AG21-(Z21+AA21+AB21)</f>
        <v>-0.1908554250016014</v>
      </c>
      <c r="AZ21" s="58">
        <f t="shared" si="110"/>
        <v>-1.1928464062600088</v>
      </c>
      <c r="BA21" s="57">
        <f t="shared" si="63"/>
        <v>-0.13202191251183187</v>
      </c>
      <c r="BB21" s="58">
        <f t="shared" si="64"/>
        <v>-0.1524760716231738</v>
      </c>
      <c r="BC21" s="37"/>
      <c r="BD21" s="58">
        <f t="shared" si="65"/>
        <v>69.71377615296554</v>
      </c>
      <c r="BE21" s="58">
        <f t="shared" si="66"/>
        <v>66.93617545545156</v>
      </c>
      <c r="BF21" s="58">
        <f t="shared" si="67"/>
        <v>2.7776006975139858</v>
      </c>
      <c r="BG21" s="58">
        <f t="shared" si="68"/>
        <v>30.655333440266016</v>
      </c>
      <c r="BH21" s="58">
        <f t="shared" si="69"/>
        <v>29.07993325408037</v>
      </c>
      <c r="BI21" s="58">
        <f t="shared" si="70"/>
        <v>0.9762126464077442</v>
      </c>
      <c r="BJ21" s="58">
        <f t="shared" si="71"/>
        <v>1.5754001861856484</v>
      </c>
      <c r="BK21" s="58"/>
      <c r="BL21" s="56" t="str">
        <f t="shared" si="72"/>
        <v>Platz et al. (2004)</v>
      </c>
      <c r="BM21" s="56"/>
      <c r="BN21" s="58">
        <f t="shared" si="73"/>
        <v>-1.3453222396393052</v>
      </c>
      <c r="BO21" s="58">
        <f t="shared" si="74"/>
        <v>-1.1928464062600088</v>
      </c>
      <c r="BP21" s="58">
        <f t="shared" si="75"/>
        <v>-1.2436716840530473</v>
      </c>
      <c r="BQ21" s="58">
        <f t="shared" si="76"/>
        <v>-1.3453222396393034</v>
      </c>
      <c r="BR21" s="58">
        <f>((U21+V21)-(W21+X21+Y21)-((Z21+AA21+AB21)*3))*100/16</f>
        <v>-0.9895452950875954</v>
      </c>
      <c r="BS21" s="57"/>
      <c r="BT21" s="58">
        <f t="shared" si="111"/>
        <v>-0.03659420001103113</v>
      </c>
      <c r="BU21" s="58">
        <f t="shared" si="112"/>
        <v>0.11333777803314746</v>
      </c>
      <c r="BV21" s="58"/>
      <c r="BW21" s="58">
        <f t="shared" si="77"/>
        <v>70.40104000873337</v>
      </c>
      <c r="BX21" s="58">
        <f t="shared" si="78"/>
        <v>30.95754490868193</v>
      </c>
      <c r="BY21" s="58">
        <f t="shared" si="79"/>
        <v>-1.3585849174153015</v>
      </c>
      <c r="BZ21" s="57"/>
      <c r="CA21" s="58">
        <f t="shared" si="80"/>
        <v>69.71377615296555</v>
      </c>
      <c r="CB21" s="58">
        <f t="shared" si="81"/>
        <v>30.655333440266013</v>
      </c>
      <c r="CC21" s="58">
        <f t="shared" si="82"/>
        <v>0.9762126464077443</v>
      </c>
      <c r="CD21" s="58">
        <f t="shared" si="83"/>
        <v>-1.3453222396393034</v>
      </c>
      <c r="CE21" s="58">
        <f>((U21+V21)-(W21+X21+Y21)-((Z21+AA21+AB21)*3))*100/16</f>
        <v>-0.9895452950875954</v>
      </c>
      <c r="CF21" s="58"/>
      <c r="CG21" s="58">
        <f t="shared" si="113"/>
        <v>70.40104000873337</v>
      </c>
      <c r="CH21" s="58">
        <f t="shared" si="114"/>
        <v>30.957544908681918</v>
      </c>
      <c r="CI21" s="58">
        <f t="shared" si="115"/>
        <v>-1.3585849174152995</v>
      </c>
      <c r="CJ21" s="56"/>
      <c r="CK21" s="58">
        <f t="shared" si="116"/>
        <v>70.14900562838102</v>
      </c>
      <c r="CL21" s="58">
        <f t="shared" si="117"/>
        <v>30.846717488414804</v>
      </c>
      <c r="CM21" s="58">
        <f t="shared" si="118"/>
        <v>-0.9957231167958303</v>
      </c>
      <c r="CN21" s="58"/>
      <c r="CO21" s="60">
        <f t="shared" si="85"/>
        <v>69.45740221816885</v>
      </c>
      <c r="CP21" s="60">
        <f t="shared" si="61"/>
        <v>30.542597781831148</v>
      </c>
      <c r="CQ21" s="31"/>
      <c r="CR21" s="2" t="str">
        <f t="shared" si="84"/>
        <v>Platz et al. (2004)</v>
      </c>
    </row>
    <row r="22" spans="1:96" s="5" customFormat="1" ht="12.75" customHeight="1">
      <c r="A22" s="18" t="s">
        <v>111</v>
      </c>
      <c r="B22" s="18"/>
      <c r="C22" s="19"/>
      <c r="D22" s="20">
        <v>39.62</v>
      </c>
      <c r="E22" s="20">
        <v>0.03</v>
      </c>
      <c r="F22" s="20">
        <v>32.57</v>
      </c>
      <c r="G22" s="20"/>
      <c r="H22" s="20"/>
      <c r="I22" s="20">
        <v>1.32</v>
      </c>
      <c r="J22" s="20"/>
      <c r="K22" s="20">
        <v>0.21</v>
      </c>
      <c r="L22" s="20">
        <v>0.13</v>
      </c>
      <c r="M22" s="20">
        <v>0.02</v>
      </c>
      <c r="N22" s="20">
        <v>0.11</v>
      </c>
      <c r="O22" s="20">
        <v>14.29</v>
      </c>
      <c r="P22" s="20">
        <v>9.55</v>
      </c>
      <c r="Q22" s="20">
        <f t="shared" si="86"/>
        <v>97.84999999999998</v>
      </c>
      <c r="R22" s="61"/>
      <c r="S22" s="62">
        <f t="shared" si="87"/>
        <v>12.136710557904955</v>
      </c>
      <c r="T22" s="61"/>
      <c r="U22" s="62">
        <f t="shared" si="88"/>
        <v>8.003030280858633</v>
      </c>
      <c r="V22" s="62">
        <f t="shared" si="89"/>
        <v>0.004558172089930603</v>
      </c>
      <c r="W22" s="62">
        <f t="shared" si="90"/>
        <v>7.753778401628154</v>
      </c>
      <c r="X22" s="62">
        <f t="shared" si="91"/>
        <v>0</v>
      </c>
      <c r="Y22" s="62">
        <f t="shared" si="92"/>
        <v>0</v>
      </c>
      <c r="Z22" s="62">
        <f t="shared" si="93"/>
        <v>0.22298329672402836</v>
      </c>
      <c r="AA22" s="62">
        <f t="shared" si="94"/>
        <v>0.06323555928941918</v>
      </c>
      <c r="AB22" s="62">
        <f t="shared" si="95"/>
        <v>0</v>
      </c>
      <c r="AC22" s="62">
        <f t="shared" si="96"/>
        <v>0.028135619207160893</v>
      </c>
      <c r="AD22" s="62">
        <f t="shared" si="97"/>
        <v>0.002342542087995552</v>
      </c>
      <c r="AE22" s="62">
        <f t="shared" si="98"/>
        <v>0.00870639207884143</v>
      </c>
      <c r="AF22" s="62">
        <f t="shared" si="99"/>
        <v>5.59653307631469</v>
      </c>
      <c r="AG22" s="62">
        <f t="shared" si="100"/>
        <v>2.460971088231697</v>
      </c>
      <c r="AH22" s="62"/>
      <c r="AI22" s="62">
        <f t="shared" si="101"/>
        <v>0.9273563755175678</v>
      </c>
      <c r="AJ22" s="62">
        <f t="shared" si="102"/>
        <v>24.14427442851055</v>
      </c>
      <c r="AK22" s="62">
        <f t="shared" si="103"/>
        <v>16.047585710590166</v>
      </c>
      <c r="AL22" s="62">
        <f t="shared" si="104"/>
        <v>8.096688717920385</v>
      </c>
      <c r="AM22" s="62">
        <f t="shared" si="105"/>
        <v>8.135873271294383</v>
      </c>
      <c r="AN22" s="62">
        <f t="shared" si="106"/>
        <v>0.19034284236066767</v>
      </c>
      <c r="AO22" s="62">
        <f t="shared" si="62"/>
        <v>0.16565321505840558</v>
      </c>
      <c r="AP22" s="62">
        <f t="shared" si="107"/>
        <v>1.1490440574519312</v>
      </c>
      <c r="AQ22" s="61"/>
      <c r="AR22" s="62">
        <f>((U22+V22)*4+(W22+X22+Y22)*3+(Z22+AA22+AB22)*2)</f>
        <v>55.864126728705614</v>
      </c>
      <c r="AS22" s="62">
        <f>AR22/(U22+V22+W22+X22+Y22+Z22+AA22+AB22)</f>
        <v>3.4811545946029505</v>
      </c>
      <c r="AT22" s="62">
        <f t="shared" si="108"/>
        <v>55.69847351364721</v>
      </c>
      <c r="AU22" s="64">
        <f t="shared" si="109"/>
        <v>0.16565321505840558</v>
      </c>
      <c r="AV22" s="64"/>
      <c r="AW22" s="62" t="s">
        <v>111</v>
      </c>
      <c r="AX22" s="62"/>
      <c r="AY22" s="62">
        <f>(U22+V22)-AC22*2-AD22*2-AE22*2-AF22-AG22-(Z22+AA22+AB22)</f>
        <v>-0.4145036743592656</v>
      </c>
      <c r="AZ22" s="63">
        <f t="shared" si="110"/>
        <v>-2.59064796474541</v>
      </c>
      <c r="BA22" s="62">
        <f t="shared" si="63"/>
        <v>0.006883860476117498</v>
      </c>
      <c r="BB22" s="63">
        <f t="shared" si="64"/>
        <v>0.8922334676804229</v>
      </c>
      <c r="BC22" s="37"/>
      <c r="BD22" s="63">
        <f t="shared" si="65"/>
        <v>69.95666345393363</v>
      </c>
      <c r="BE22" s="63">
        <f t="shared" si="66"/>
        <v>69.95666345393363</v>
      </c>
      <c r="BF22" s="63">
        <f t="shared" si="67"/>
        <v>0</v>
      </c>
      <c r="BG22" s="63">
        <f t="shared" si="68"/>
        <v>30.762138602896215</v>
      </c>
      <c r="BH22" s="63">
        <f t="shared" si="69"/>
        <v>23.606667202560022</v>
      </c>
      <c r="BI22" s="63">
        <f t="shared" si="70"/>
        <v>0.9796138343499469</v>
      </c>
      <c r="BJ22" s="63">
        <f t="shared" si="71"/>
        <v>7.155471400336189</v>
      </c>
      <c r="BK22" s="63"/>
      <c r="BL22" s="61" t="str">
        <f t="shared" si="72"/>
        <v>All Fe2+</v>
      </c>
      <c r="BM22" s="61"/>
      <c r="BN22" s="63">
        <f t="shared" si="73"/>
        <v>-1.6984158911797838</v>
      </c>
      <c r="BO22" s="63">
        <f t="shared" si="74"/>
        <v>-2.59064796474541</v>
      </c>
      <c r="BP22" s="63">
        <f t="shared" si="75"/>
        <v>-2.293237273556837</v>
      </c>
      <c r="BQ22" s="63">
        <f t="shared" si="76"/>
        <v>-1.6984158911797782</v>
      </c>
      <c r="BR22" s="63">
        <f>((U22+V22)-(W22+X22+Y22)-((Z22+AA22+AB22)*3))*100/16</f>
        <v>-3.7802907294995802</v>
      </c>
      <c r="BS22" s="62"/>
      <c r="BT22" s="63">
        <f t="shared" si="111"/>
        <v>0.21413569765575027</v>
      </c>
      <c r="BU22" s="63">
        <f t="shared" si="112"/>
        <v>-0.5253319155803754</v>
      </c>
      <c r="BV22" s="63"/>
      <c r="BW22" s="63">
        <f t="shared" si="77"/>
        <v>70.64874836672918</v>
      </c>
      <c r="BX22" s="63">
        <f t="shared" si="78"/>
        <v>31.066470041264623</v>
      </c>
      <c r="BY22" s="63">
        <f t="shared" si="79"/>
        <v>-1.7152184079938078</v>
      </c>
      <c r="BZ22" s="62"/>
      <c r="CA22" s="63">
        <f t="shared" si="80"/>
        <v>69.95666345393361</v>
      </c>
      <c r="CB22" s="63">
        <f t="shared" si="81"/>
        <v>30.76213860289621</v>
      </c>
      <c r="CC22" s="63">
        <f t="shared" si="82"/>
        <v>0.9796138343499468</v>
      </c>
      <c r="CD22" s="63">
        <f t="shared" si="83"/>
        <v>-1.6984158911797782</v>
      </c>
      <c r="CE22" s="63">
        <f>((U22+V22)-(W22+X22+Y22)-((Z22+AA22+AB22)*3))*100/16</f>
        <v>-3.7802907294995802</v>
      </c>
      <c r="CF22" s="63"/>
      <c r="CG22" s="63">
        <f t="shared" si="113"/>
        <v>70.64874836672918</v>
      </c>
      <c r="CH22" s="63">
        <f t="shared" si="114"/>
        <v>31.066470041264623</v>
      </c>
      <c r="CI22" s="63">
        <f t="shared" si="115"/>
        <v>-1.7152184079938027</v>
      </c>
      <c r="CJ22" s="61"/>
      <c r="CK22" s="63">
        <f t="shared" si="116"/>
        <v>72.16601791801033</v>
      </c>
      <c r="CL22" s="63">
        <f t="shared" si="117"/>
        <v>31.733661041092677</v>
      </c>
      <c r="CM22" s="63">
        <f t="shared" si="118"/>
        <v>-3.8996789591030048</v>
      </c>
      <c r="CN22" s="63"/>
      <c r="CO22" s="65">
        <f aca="true" t="shared" si="119" ref="CO22:CO37">CA22/(CA22+CB22)*100</f>
        <v>69.45740221816885</v>
      </c>
      <c r="CP22" s="65">
        <f t="shared" si="61"/>
        <v>30.542597781831148</v>
      </c>
      <c r="CQ22" s="31"/>
      <c r="CR22" s="2" t="str">
        <f t="shared" si="84"/>
        <v>All Fe2+</v>
      </c>
    </row>
    <row r="23" spans="1:96" s="5" customFormat="1" ht="12.75" customHeight="1">
      <c r="A23" s="14" t="s">
        <v>112</v>
      </c>
      <c r="B23" s="14"/>
      <c r="C23" s="15"/>
      <c r="D23" s="16">
        <v>39.62</v>
      </c>
      <c r="E23" s="16">
        <v>0.03</v>
      </c>
      <c r="F23" s="16">
        <v>32.57</v>
      </c>
      <c r="G23" s="16">
        <v>1.466975947887089</v>
      </c>
      <c r="H23" s="16"/>
      <c r="I23" s="16"/>
      <c r="J23" s="16"/>
      <c r="K23" s="16">
        <v>0.21</v>
      </c>
      <c r="L23" s="16">
        <v>0.13</v>
      </c>
      <c r="M23" s="16">
        <v>0.02</v>
      </c>
      <c r="N23" s="16">
        <v>0.11</v>
      </c>
      <c r="O23" s="16">
        <v>14.29</v>
      </c>
      <c r="P23" s="16">
        <v>9.55</v>
      </c>
      <c r="Q23" s="16">
        <f t="shared" si="86"/>
        <v>97.99697594788707</v>
      </c>
      <c r="R23" s="46"/>
      <c r="S23" s="50">
        <f t="shared" si="87"/>
        <v>12.094572286516676</v>
      </c>
      <c r="T23" s="46"/>
      <c r="U23" s="50">
        <f t="shared" si="88"/>
        <v>7.975244015354938</v>
      </c>
      <c r="V23" s="50">
        <f t="shared" si="89"/>
        <v>0.0045423462620307305</v>
      </c>
      <c r="W23" s="50">
        <f t="shared" si="90"/>
        <v>7.726857530687587</v>
      </c>
      <c r="X23" s="50">
        <f t="shared" si="91"/>
        <v>0.22220805580111888</v>
      </c>
      <c r="Y23" s="50">
        <f t="shared" si="92"/>
        <v>0</v>
      </c>
      <c r="Z23" s="50">
        <f t="shared" si="93"/>
        <v>0</v>
      </c>
      <c r="AA23" s="50">
        <f t="shared" si="94"/>
        <v>0.06301600744742593</v>
      </c>
      <c r="AB23" s="50">
        <f t="shared" si="95"/>
        <v>0</v>
      </c>
      <c r="AC23" s="50">
        <f t="shared" si="96"/>
        <v>0.028037933235976847</v>
      </c>
      <c r="AD23" s="50">
        <f t="shared" si="97"/>
        <v>0.0023344088566911165</v>
      </c>
      <c r="AE23" s="50">
        <f t="shared" si="98"/>
        <v>0.008676163763641805</v>
      </c>
      <c r="AF23" s="50">
        <f t="shared" si="99"/>
        <v>5.577102092237244</v>
      </c>
      <c r="AG23" s="50">
        <f t="shared" si="100"/>
        <v>2.452426675221281</v>
      </c>
      <c r="AH23" s="50"/>
      <c r="AI23" s="50">
        <f>(U23+V23)/(W23+X23+Y23)</f>
        <v>1.0038647026866252</v>
      </c>
      <c r="AJ23" s="50">
        <f t="shared" si="102"/>
        <v>24.060445228867934</v>
      </c>
      <c r="AK23" s="50">
        <f>SUM(U23:Y23)</f>
        <v>15.928851948105674</v>
      </c>
      <c r="AL23" s="50">
        <f t="shared" si="104"/>
        <v>8.068577273314835</v>
      </c>
      <c r="AM23" s="50">
        <f t="shared" si="105"/>
        <v>8.107625779171144</v>
      </c>
      <c r="AN23" s="50">
        <f>(W23+X23+Y23)-AM23</f>
        <v>-0.15856019268243848</v>
      </c>
      <c r="AO23" s="50">
        <f t="shared" si="62"/>
        <v>-0.24908679057038796</v>
      </c>
      <c r="AP23" s="50">
        <f t="shared" si="107"/>
        <v>0.6365660431825746</v>
      </c>
      <c r="AQ23" s="46"/>
      <c r="AR23" s="50">
        <f>((U23+V23)*4+(W23+X23+Y23)*3)</f>
        <v>55.76634220593399</v>
      </c>
      <c r="AS23" s="50">
        <f>AR23/(U23+V23+W23+X23+Y23)</f>
        <v>3.5009643122815235</v>
      </c>
      <c r="AT23" s="50">
        <f t="shared" si="108"/>
        <v>56.015428996504376</v>
      </c>
      <c r="AU23" s="51">
        <f t="shared" si="109"/>
        <v>-0.24908679057038796</v>
      </c>
      <c r="AV23" s="51"/>
      <c r="AW23" s="50" t="s">
        <v>112</v>
      </c>
      <c r="AX23" s="50"/>
      <c r="AY23" s="50">
        <f>(U23+V23)-AC23*2-AD23*2-AE23*2-AF23-AG23</f>
        <v>-0.1278394175541755</v>
      </c>
      <c r="AZ23" s="53">
        <f t="shared" si="110"/>
        <v>-0.7989963597135968</v>
      </c>
      <c r="BA23" s="50">
        <f t="shared" si="63"/>
        <v>-0.1950379199592578</v>
      </c>
      <c r="BB23" s="53">
        <f t="shared" si="64"/>
        <v>-0.7432520645302811</v>
      </c>
      <c r="BC23" s="37"/>
      <c r="BD23" s="53">
        <f t="shared" si="65"/>
        <v>69.71377615296554</v>
      </c>
      <c r="BE23" s="53">
        <f t="shared" si="66"/>
        <v>66.93617545545156</v>
      </c>
      <c r="BF23" s="53">
        <f t="shared" si="67"/>
        <v>2.7776006975139858</v>
      </c>
      <c r="BG23" s="53">
        <f t="shared" si="68"/>
        <v>30.655333440266016</v>
      </c>
      <c r="BH23" s="53">
        <f t="shared" si="69"/>
        <v>29.07993325408037</v>
      </c>
      <c r="BI23" s="53">
        <f t="shared" si="70"/>
        <v>0.9762126464077442</v>
      </c>
      <c r="BJ23" s="53">
        <f t="shared" si="71"/>
        <v>1.5754001861856484</v>
      </c>
      <c r="BK23" s="53"/>
      <c r="BL23" s="46" t="str">
        <f t="shared" si="72"/>
        <v>Old</v>
      </c>
      <c r="BM23" s="46"/>
      <c r="BN23" s="53">
        <f t="shared" si="73"/>
        <v>-1.3453222396393052</v>
      </c>
      <c r="BO23" s="53">
        <f t="shared" si="74"/>
        <v>-0.7989963597135968</v>
      </c>
      <c r="BP23" s="53">
        <f t="shared" si="75"/>
        <v>-1.2436716840530473</v>
      </c>
      <c r="BQ23" s="53">
        <f t="shared" si="76"/>
        <v>-1.3453222396393034</v>
      </c>
      <c r="BR23" s="53">
        <f>((U23+V23)-(W23+X23+Y23))*100/16</f>
        <v>0.1920048445516409</v>
      </c>
      <c r="BS23" s="50"/>
      <c r="BT23" s="53">
        <f t="shared" si="111"/>
        <v>-0.13111821118217</v>
      </c>
      <c r="BU23" s="53">
        <f t="shared" si="112"/>
        <v>0.40609295217789904</v>
      </c>
      <c r="BV23" s="53"/>
      <c r="BW23" s="53">
        <f t="shared" si="77"/>
        <v>70.40104000873337</v>
      </c>
      <c r="BX23" s="53">
        <f t="shared" si="78"/>
        <v>30.95754490868193</v>
      </c>
      <c r="BY23" s="53">
        <f t="shared" si="79"/>
        <v>-1.3585849174153015</v>
      </c>
      <c r="BZ23" s="50"/>
      <c r="CA23" s="53">
        <f t="shared" si="80"/>
        <v>69.71377615296555</v>
      </c>
      <c r="CB23" s="53">
        <f t="shared" si="81"/>
        <v>30.655333440266013</v>
      </c>
      <c r="CC23" s="53">
        <f t="shared" si="82"/>
        <v>0.9762126464077443</v>
      </c>
      <c r="CD23" s="53">
        <f t="shared" si="83"/>
        <v>-1.3453222396393034</v>
      </c>
      <c r="CE23" s="53">
        <f>((U23+V23)-(W23+X23+Y23))*100/16</f>
        <v>0.1920048445516409</v>
      </c>
      <c r="CF23" s="53"/>
      <c r="CG23" s="53">
        <f t="shared" si="113"/>
        <v>70.40104000873337</v>
      </c>
      <c r="CH23" s="53">
        <f t="shared" si="114"/>
        <v>30.957544908681918</v>
      </c>
      <c r="CI23" s="53">
        <f t="shared" si="115"/>
        <v>-1.3585849174152995</v>
      </c>
      <c r="CJ23" s="46"/>
      <c r="CK23" s="53">
        <f t="shared" si="116"/>
        <v>69.32478477662178</v>
      </c>
      <c r="CL23" s="53">
        <f t="shared" si="117"/>
        <v>30.4842817342009</v>
      </c>
      <c r="CM23" s="53">
        <f t="shared" si="118"/>
        <v>0.1909334891773038</v>
      </c>
      <c r="CN23" s="53"/>
      <c r="CO23" s="54">
        <f t="shared" si="119"/>
        <v>69.45740221816885</v>
      </c>
      <c r="CP23" s="54">
        <f t="shared" si="61"/>
        <v>30.542597781831148</v>
      </c>
      <c r="CQ23" s="31"/>
      <c r="CR23" s="2" t="str">
        <f t="shared" si="84"/>
        <v>Old</v>
      </c>
    </row>
    <row r="24" spans="1:96" s="5" customFormat="1" ht="12.75" customHeight="1">
      <c r="A24" s="12" t="s">
        <v>90</v>
      </c>
      <c r="B24" s="12" t="s">
        <v>106</v>
      </c>
      <c r="C24" s="13"/>
      <c r="D24" s="11">
        <v>43.87</v>
      </c>
      <c r="E24" s="11"/>
      <c r="F24" s="11">
        <v>27.55</v>
      </c>
      <c r="G24" s="11">
        <v>5.034394730248874</v>
      </c>
      <c r="H24" s="11"/>
      <c r="I24" s="84"/>
      <c r="J24" s="11">
        <v>0.08</v>
      </c>
      <c r="K24" s="11">
        <v>1.16</v>
      </c>
      <c r="L24" s="11">
        <v>0.48</v>
      </c>
      <c r="M24" s="11"/>
      <c r="N24" s="11">
        <v>0.13</v>
      </c>
      <c r="O24" s="11">
        <v>12.12</v>
      </c>
      <c r="P24" s="11">
        <v>10.96</v>
      </c>
      <c r="Q24" s="11">
        <f t="shared" si="86"/>
        <v>101.38439473024889</v>
      </c>
      <c r="R24" s="56"/>
      <c r="S24" s="57">
        <f t="shared" si="87"/>
        <v>11.779081066367773</v>
      </c>
      <c r="T24" s="56"/>
      <c r="U24" s="57">
        <f t="shared" si="88"/>
        <v>8.600387894700516</v>
      </c>
      <c r="V24" s="57">
        <f t="shared" si="89"/>
        <v>0</v>
      </c>
      <c r="W24" s="57">
        <f t="shared" si="90"/>
        <v>6.365428518044242</v>
      </c>
      <c r="X24" s="57">
        <f t="shared" si="91"/>
        <v>0.7426855368978096</v>
      </c>
      <c r="Y24" s="57">
        <f t="shared" si="92"/>
        <v>0</v>
      </c>
      <c r="Z24" s="57">
        <f t="shared" si="93"/>
        <v>0</v>
      </c>
      <c r="AA24" s="57">
        <f t="shared" si="94"/>
        <v>0.3390084117848063</v>
      </c>
      <c r="AB24" s="57">
        <f t="shared" si="95"/>
        <v>0.013283991221921167</v>
      </c>
      <c r="AC24" s="57">
        <f t="shared" si="96"/>
        <v>0.10082419855158284</v>
      </c>
      <c r="AD24" s="57">
        <f t="shared" si="97"/>
        <v>0</v>
      </c>
      <c r="AE24" s="57">
        <f t="shared" si="98"/>
        <v>0.009986178026788904</v>
      </c>
      <c r="AF24" s="57">
        <f t="shared" si="99"/>
        <v>4.606805554415013</v>
      </c>
      <c r="AG24" s="57">
        <f t="shared" si="100"/>
        <v>2.7410951427865773</v>
      </c>
      <c r="AH24" s="57"/>
      <c r="AI24" s="57">
        <f t="shared" si="101"/>
        <v>1.0557293501883462</v>
      </c>
      <c r="AJ24" s="57">
        <f t="shared" si="102"/>
        <v>23.519505426429255</v>
      </c>
      <c r="AK24" s="57">
        <f t="shared" si="103"/>
        <v>16.060794352649296</v>
      </c>
      <c r="AL24" s="57">
        <f t="shared" si="104"/>
        <v>7.458711073779963</v>
      </c>
      <c r="AM24" s="57">
        <f t="shared" si="105"/>
        <v>7.569521450358334</v>
      </c>
      <c r="AN24" s="57">
        <f t="shared" si="106"/>
        <v>0.24317741059717246</v>
      </c>
      <c r="AO24" s="57">
        <f t="shared" si="62"/>
        <v>0.2136042799495499</v>
      </c>
      <c r="AP24" s="57">
        <f t="shared" si="107"/>
        <v>1.1384482120611408</v>
      </c>
      <c r="AQ24" s="56"/>
      <c r="AR24" s="57">
        <f>((U24+V24)*4+(W24+X24+Y24)*3+(Z24+AA24+AB24)*2)</f>
        <v>56.43047854964168</v>
      </c>
      <c r="AS24" s="57">
        <f>AR24/(U24+V24+W24+X24+Y24+Z24+AA24+AB24)</f>
        <v>3.513554641855758</v>
      </c>
      <c r="AT24" s="57">
        <f t="shared" si="108"/>
        <v>56.21687426969213</v>
      </c>
      <c r="AU24" s="59">
        <f t="shared" si="109"/>
        <v>0.2136042799495499</v>
      </c>
      <c r="AV24" s="59"/>
      <c r="AW24" s="57" t="s">
        <v>90</v>
      </c>
      <c r="AX24" s="57"/>
      <c r="AY24" s="57">
        <f>(U24+V24)-AC24*2-AD24*2-AE24*2-AF24-AG24-(Z24+AA24+AB24)</f>
        <v>0.6785740413354562</v>
      </c>
      <c r="AZ24" s="58">
        <f t="shared" si="110"/>
        <v>4.241087758346601</v>
      </c>
      <c r="BA24" s="57">
        <f t="shared" si="63"/>
        <v>0.6128616075895419</v>
      </c>
      <c r="BB24" s="58">
        <f t="shared" si="64"/>
        <v>1.139895893261579</v>
      </c>
      <c r="BC24" s="37"/>
      <c r="BD24" s="58">
        <f t="shared" si="65"/>
        <v>57.585069430187666</v>
      </c>
      <c r="BE24" s="58">
        <f t="shared" si="66"/>
        <v>48.30150021896504</v>
      </c>
      <c r="BF24" s="58">
        <f t="shared" si="67"/>
        <v>9.28356921122262</v>
      </c>
      <c r="BG24" s="58">
        <f t="shared" si="68"/>
        <v>34.26368928483222</v>
      </c>
      <c r="BH24" s="58">
        <f t="shared" si="69"/>
        <v>25.456379209664032</v>
      </c>
      <c r="BI24" s="58">
        <f t="shared" si="70"/>
        <v>2.7702594144592934</v>
      </c>
      <c r="BJ24" s="58">
        <f t="shared" si="71"/>
        <v>8.807310075168186</v>
      </c>
      <c r="BK24" s="58"/>
      <c r="BL24" s="56" t="str">
        <f t="shared" si="72"/>
        <v>Prelević et al. (2005)</v>
      </c>
      <c r="BM24" s="56"/>
      <c r="BN24" s="58">
        <f t="shared" si="73"/>
        <v>5.3809818705208246</v>
      </c>
      <c r="BO24" s="58">
        <f t="shared" si="74"/>
        <v>4.241087758346601</v>
      </c>
      <c r="BP24" s="58">
        <f t="shared" si="75"/>
        <v>4.621052462404664</v>
      </c>
      <c r="BQ24" s="58">
        <f t="shared" si="76"/>
        <v>5.380981870520827</v>
      </c>
      <c r="BR24" s="58">
        <f>((U24+V24)-(W24+X24+Y24)-((Z24+AA24+AB24)*3))*100/16</f>
        <v>2.7212289421142635</v>
      </c>
      <c r="BS24" s="57"/>
      <c r="BT24" s="58">
        <f t="shared" si="111"/>
        <v>0.2735745869218137</v>
      </c>
      <c r="BU24" s="58">
        <f t="shared" si="112"/>
        <v>0.2118375678645231</v>
      </c>
      <c r="BV24" s="58"/>
      <c r="BW24" s="58">
        <f t="shared" si="77"/>
        <v>59.22577709597561</v>
      </c>
      <c r="BX24" s="58">
        <f t="shared" si="78"/>
        <v>35.23992667108654</v>
      </c>
      <c r="BY24" s="58">
        <f t="shared" si="79"/>
        <v>5.534296232937852</v>
      </c>
      <c r="BZ24" s="57"/>
      <c r="CA24" s="58">
        <f t="shared" si="80"/>
        <v>57.585069430187666</v>
      </c>
      <c r="CB24" s="58">
        <f t="shared" si="81"/>
        <v>34.26368928483222</v>
      </c>
      <c r="CC24" s="58">
        <f t="shared" si="82"/>
        <v>2.7702594144592934</v>
      </c>
      <c r="CD24" s="58">
        <f t="shared" si="83"/>
        <v>5.380981870520827</v>
      </c>
      <c r="CE24" s="58">
        <f>((U24+V24)-(W24+X24+Y24)-((Z24+AA24+AB24)*3))*100/16</f>
        <v>2.7212289421142635</v>
      </c>
      <c r="CF24" s="58"/>
      <c r="CG24" s="58">
        <f t="shared" si="113"/>
        <v>59.22577709597561</v>
      </c>
      <c r="CH24" s="58">
        <f t="shared" si="114"/>
        <v>35.23992667108654</v>
      </c>
      <c r="CI24" s="58">
        <f t="shared" si="115"/>
        <v>5.534296232937854</v>
      </c>
      <c r="CJ24" s="56"/>
      <c r="CK24" s="58">
        <f t="shared" si="116"/>
        <v>60.89148455740924</v>
      </c>
      <c r="CL24" s="58">
        <f t="shared" si="117"/>
        <v>36.23103918449908</v>
      </c>
      <c r="CM24" s="58">
        <f t="shared" si="118"/>
        <v>2.8774762580916757</v>
      </c>
      <c r="CN24" s="58"/>
      <c r="CO24" s="60">
        <f t="shared" si="119"/>
        <v>62.69553365316288</v>
      </c>
      <c r="CP24" s="60">
        <f t="shared" si="61"/>
        <v>37.30446634683712</v>
      </c>
      <c r="CQ24" s="31"/>
      <c r="CR24" s="2" t="str">
        <f t="shared" si="84"/>
        <v>Prelević et al. (2005)</v>
      </c>
    </row>
    <row r="25" spans="1:96" s="5" customFormat="1" ht="12.75" customHeight="1">
      <c r="A25" s="18" t="s">
        <v>111</v>
      </c>
      <c r="B25" s="18"/>
      <c r="C25" s="19"/>
      <c r="D25" s="20">
        <v>43.87</v>
      </c>
      <c r="E25" s="20"/>
      <c r="F25" s="20">
        <v>27.55</v>
      </c>
      <c r="G25" s="20"/>
      <c r="H25" s="20"/>
      <c r="I25" s="20">
        <v>4.53</v>
      </c>
      <c r="J25" s="20">
        <v>0.08</v>
      </c>
      <c r="K25" s="20">
        <v>1.16</v>
      </c>
      <c r="L25" s="20">
        <v>0.48</v>
      </c>
      <c r="M25" s="20"/>
      <c r="N25" s="20">
        <v>0.13</v>
      </c>
      <c r="O25" s="20">
        <v>12.12</v>
      </c>
      <c r="P25" s="20">
        <v>10.96</v>
      </c>
      <c r="Q25" s="20">
        <f t="shared" si="86"/>
        <v>100.88</v>
      </c>
      <c r="R25" s="61"/>
      <c r="S25" s="62">
        <f t="shared" si="87"/>
        <v>11.917374472768149</v>
      </c>
      <c r="T25" s="61"/>
      <c r="U25" s="62">
        <f t="shared" si="88"/>
        <v>8.70136155568657</v>
      </c>
      <c r="V25" s="62">
        <f t="shared" si="89"/>
        <v>0</v>
      </c>
      <c r="W25" s="62">
        <f t="shared" si="90"/>
        <v>6.440162428779597</v>
      </c>
      <c r="X25" s="62">
        <f t="shared" si="91"/>
        <v>0</v>
      </c>
      <c r="Y25" s="62">
        <f t="shared" si="92"/>
        <v>0</v>
      </c>
      <c r="Z25" s="62">
        <f t="shared" si="93"/>
        <v>0.7514086568721948</v>
      </c>
      <c r="AA25" s="62">
        <f t="shared" si="94"/>
        <v>0.34298857184992065</v>
      </c>
      <c r="AB25" s="62">
        <f t="shared" si="95"/>
        <v>0.013439953167196978</v>
      </c>
      <c r="AC25" s="62">
        <f t="shared" si="96"/>
        <v>0.10200793451423766</v>
      </c>
      <c r="AD25" s="62">
        <f t="shared" si="97"/>
        <v>0</v>
      </c>
      <c r="AE25" s="62">
        <f t="shared" si="98"/>
        <v>0.010103421686838785</v>
      </c>
      <c r="AF25" s="62">
        <f t="shared" si="99"/>
        <v>4.6608921872477955</v>
      </c>
      <c r="AG25" s="62">
        <f t="shared" si="100"/>
        <v>2.7732772274863615</v>
      </c>
      <c r="AH25" s="62"/>
      <c r="AI25" s="62">
        <f t="shared" si="101"/>
        <v>0.8772721292903446</v>
      </c>
      <c r="AJ25" s="62">
        <f t="shared" si="102"/>
        <v>23.795641937290714</v>
      </c>
      <c r="AK25" s="62">
        <f t="shared" si="103"/>
        <v>16.24936116635548</v>
      </c>
      <c r="AL25" s="62">
        <f t="shared" si="104"/>
        <v>7.546280770935233</v>
      </c>
      <c r="AM25" s="62">
        <f t="shared" si="105"/>
        <v>7.65839212713631</v>
      </c>
      <c r="AN25" s="62">
        <f t="shared" si="106"/>
        <v>0.9974446654219129</v>
      </c>
      <c r="AO25" s="62">
        <f t="shared" si="62"/>
        <v>0.86461300907078</v>
      </c>
      <c r="AP25" s="62">
        <f t="shared" si="107"/>
        <v>1.1536313413718933</v>
      </c>
      <c r="AQ25" s="61"/>
      <c r="AR25" s="62">
        <f>((U25+V25)*4+(W25+X25+Y25)*3+(Z25+AA25+AB25)*2)</f>
        <v>56.3416078728637</v>
      </c>
      <c r="AS25" s="62">
        <f>AR25/(U25+V25+W25+X25+Y25+Z25+AA25+AB25)</f>
        <v>3.4673121789870573</v>
      </c>
      <c r="AT25" s="62">
        <f t="shared" si="108"/>
        <v>55.47699486379292</v>
      </c>
      <c r="AU25" s="64">
        <f t="shared" si="109"/>
        <v>0.86461300907078</v>
      </c>
      <c r="AV25" s="64"/>
      <c r="AW25" s="62" t="s">
        <v>111</v>
      </c>
      <c r="AX25" s="62"/>
      <c r="AY25" s="62">
        <f>(U25+V25)-AC25*2-AD25*2-AE25*2-AF25-AG25-(Z25+AA25+AB25)</f>
        <v>-0.06486775333905292</v>
      </c>
      <c r="AZ25" s="63">
        <f t="shared" si="110"/>
        <v>-0.4054234583690808</v>
      </c>
      <c r="BA25" s="62">
        <f t="shared" si="63"/>
        <v>1.089691371930123</v>
      </c>
      <c r="BB25" s="63">
        <f t="shared" si="64"/>
        <v>4.675529174679552</v>
      </c>
      <c r="BC25" s="37"/>
      <c r="BD25" s="63">
        <f t="shared" si="65"/>
        <v>58.26115234059744</v>
      </c>
      <c r="BE25" s="63">
        <f t="shared" si="66"/>
        <v>58.26115234059744</v>
      </c>
      <c r="BF25" s="63">
        <f t="shared" si="67"/>
        <v>0</v>
      </c>
      <c r="BG25" s="63">
        <f t="shared" si="68"/>
        <v>34.66596534357952</v>
      </c>
      <c r="BH25" s="63">
        <f t="shared" si="69"/>
        <v>6.970035796346707</v>
      </c>
      <c r="BI25" s="63">
        <f t="shared" si="70"/>
        <v>2.8027839050269114</v>
      </c>
      <c r="BJ25" s="63">
        <f t="shared" si="71"/>
        <v>27.69592954723281</v>
      </c>
      <c r="BK25" s="63"/>
      <c r="BL25" s="61" t="str">
        <f t="shared" si="72"/>
        <v>All Fe2+</v>
      </c>
      <c r="BM25" s="61"/>
      <c r="BN25" s="63">
        <f t="shared" si="73"/>
        <v>4.270098410796126</v>
      </c>
      <c r="BO25" s="63">
        <f t="shared" si="74"/>
        <v>-0.4054234583690808</v>
      </c>
      <c r="BP25" s="63">
        <f t="shared" si="75"/>
        <v>1.153083831352617</v>
      </c>
      <c r="BQ25" s="63">
        <f t="shared" si="76"/>
        <v>4.270098410796126</v>
      </c>
      <c r="BR25" s="63">
        <f>((U25+V25)-(W25+X25+Y25)-((Z25+AA25+AB25)*3))*100/16</f>
        <v>-6.63945261725602</v>
      </c>
      <c r="BS25" s="62"/>
      <c r="BT25" s="63">
        <f t="shared" si="111"/>
        <v>1.1221252485996498</v>
      </c>
      <c r="BU25" s="63">
        <f t="shared" si="112"/>
        <v>1.094944757559696</v>
      </c>
      <c r="BV25" s="63"/>
      <c r="BW25" s="63">
        <f t="shared" si="77"/>
        <v>59.94117391558772</v>
      </c>
      <c r="BX25" s="63">
        <f t="shared" si="78"/>
        <v>35.6655948969843</v>
      </c>
      <c r="BY25" s="63">
        <f t="shared" si="79"/>
        <v>4.39323118742798</v>
      </c>
      <c r="BZ25" s="62"/>
      <c r="CA25" s="63">
        <f t="shared" si="80"/>
        <v>58.26115234059744</v>
      </c>
      <c r="CB25" s="63">
        <f t="shared" si="81"/>
        <v>34.66596534357952</v>
      </c>
      <c r="CC25" s="63">
        <f t="shared" si="82"/>
        <v>2.802783905026911</v>
      </c>
      <c r="CD25" s="63">
        <f t="shared" si="83"/>
        <v>4.270098410796126</v>
      </c>
      <c r="CE25" s="63">
        <f>((U25+V25)-(W25+X25+Y25)-((Z25+AA25+AB25)*3))*100/16</f>
        <v>-6.63945261725602</v>
      </c>
      <c r="CF25" s="63"/>
      <c r="CG25" s="63">
        <f t="shared" si="113"/>
        <v>59.94117391558772</v>
      </c>
      <c r="CH25" s="63">
        <f t="shared" si="114"/>
        <v>35.6655948969843</v>
      </c>
      <c r="CI25" s="63">
        <f t="shared" si="115"/>
        <v>4.39323118742798</v>
      </c>
      <c r="CJ25" s="61"/>
      <c r="CK25" s="63">
        <f t="shared" si="116"/>
        <v>67.51967653245993</v>
      </c>
      <c r="CL25" s="63">
        <f t="shared" si="117"/>
        <v>40.174879360444066</v>
      </c>
      <c r="CM25" s="63">
        <f t="shared" si="118"/>
        <v>-7.694555892903987</v>
      </c>
      <c r="CN25" s="63"/>
      <c r="CO25" s="65">
        <f t="shared" si="119"/>
        <v>62.69553365316288</v>
      </c>
      <c r="CP25" s="65">
        <f t="shared" si="61"/>
        <v>37.30446634683712</v>
      </c>
      <c r="CQ25" s="31"/>
      <c r="CR25" s="2" t="str">
        <f t="shared" si="84"/>
        <v>All Fe2+</v>
      </c>
    </row>
    <row r="26" spans="1:96" s="5" customFormat="1" ht="12.75" customHeight="1">
      <c r="A26" s="14" t="s">
        <v>112</v>
      </c>
      <c r="B26" s="14"/>
      <c r="C26" s="15"/>
      <c r="D26" s="16">
        <v>43.87</v>
      </c>
      <c r="E26" s="16"/>
      <c r="F26" s="16">
        <v>27.55</v>
      </c>
      <c r="G26" s="16">
        <v>5.034394730248874</v>
      </c>
      <c r="H26" s="16"/>
      <c r="I26" s="16"/>
      <c r="J26" s="16">
        <v>0.08</v>
      </c>
      <c r="K26" s="16">
        <v>1.16</v>
      </c>
      <c r="L26" s="16">
        <v>0.48</v>
      </c>
      <c r="M26" s="16"/>
      <c r="N26" s="16">
        <v>0.13</v>
      </c>
      <c r="O26" s="16">
        <v>12.12</v>
      </c>
      <c r="P26" s="16">
        <v>10.96</v>
      </c>
      <c r="Q26" s="16">
        <f t="shared" si="86"/>
        <v>101.38439473024889</v>
      </c>
      <c r="R26" s="46"/>
      <c r="S26" s="50">
        <f t="shared" si="87"/>
        <v>11.779081066367773</v>
      </c>
      <c r="T26" s="46"/>
      <c r="U26" s="50">
        <f t="shared" si="88"/>
        <v>8.600387894700516</v>
      </c>
      <c r="V26" s="50">
        <f t="shared" si="89"/>
        <v>0</v>
      </c>
      <c r="W26" s="50">
        <f t="shared" si="90"/>
        <v>6.365428518044242</v>
      </c>
      <c r="X26" s="50">
        <f t="shared" si="91"/>
        <v>0.7426855368978096</v>
      </c>
      <c r="Y26" s="50">
        <f t="shared" si="92"/>
        <v>0</v>
      </c>
      <c r="Z26" s="50">
        <f t="shared" si="93"/>
        <v>0</v>
      </c>
      <c r="AA26" s="50">
        <f t="shared" si="94"/>
        <v>0.3390084117848063</v>
      </c>
      <c r="AB26" s="50">
        <f t="shared" si="95"/>
        <v>0.013283991221921167</v>
      </c>
      <c r="AC26" s="50">
        <f t="shared" si="96"/>
        <v>0.10082419855158284</v>
      </c>
      <c r="AD26" s="50">
        <f t="shared" si="97"/>
        <v>0</v>
      </c>
      <c r="AE26" s="50">
        <f t="shared" si="98"/>
        <v>0.009986178026788904</v>
      </c>
      <c r="AF26" s="50">
        <f t="shared" si="99"/>
        <v>4.606805554415013</v>
      </c>
      <c r="AG26" s="50">
        <f t="shared" si="100"/>
        <v>2.7410951427865773</v>
      </c>
      <c r="AH26" s="50"/>
      <c r="AI26" s="50">
        <f>(U26+V26)/(W26+X26+Y26)</f>
        <v>1.2099394900284322</v>
      </c>
      <c r="AJ26" s="50">
        <f t="shared" si="102"/>
        <v>23.519505426429255</v>
      </c>
      <c r="AK26" s="50">
        <f>SUM(U26:Y26)</f>
        <v>15.708501949642567</v>
      </c>
      <c r="AL26" s="50">
        <f t="shared" si="104"/>
        <v>7.458711073779963</v>
      </c>
      <c r="AM26" s="50">
        <f t="shared" si="105"/>
        <v>7.569521450358334</v>
      </c>
      <c r="AN26" s="50">
        <f>(W26+X26+Y26)-AM26</f>
        <v>-0.4614073954162823</v>
      </c>
      <c r="AO26" s="50">
        <f t="shared" si="62"/>
        <v>-1.0340890196128925</v>
      </c>
      <c r="AP26" s="50">
        <f t="shared" si="107"/>
        <v>0.44619697788591595</v>
      </c>
      <c r="AQ26" s="46"/>
      <c r="AR26" s="50">
        <f>((U26+V26)*4+(W26+X26+Y26)*3)</f>
        <v>55.72589374362822</v>
      </c>
      <c r="AS26" s="50">
        <f>AR26/(U26+V26+W26+X26+Y26)</f>
        <v>3.5474989227025695</v>
      </c>
      <c r="AT26" s="50">
        <f t="shared" si="108"/>
        <v>56.75998276324111</v>
      </c>
      <c r="AU26" s="51">
        <f t="shared" si="109"/>
        <v>-1.0340890196128925</v>
      </c>
      <c r="AV26" s="51"/>
      <c r="AW26" s="50" t="s">
        <v>112</v>
      </c>
      <c r="AX26" s="50"/>
      <c r="AY26" s="50">
        <f>(U26+V26)-AC26*2-AD26*2-AE26*2-AF26-AG26</f>
        <v>1.0308664443421836</v>
      </c>
      <c r="AZ26" s="53">
        <f t="shared" si="110"/>
        <v>6.442915277138647</v>
      </c>
      <c r="BA26" s="50">
        <f t="shared" si="63"/>
        <v>0.2605692045828145</v>
      </c>
      <c r="BB26" s="53">
        <f t="shared" si="64"/>
        <v>-2.1628505454678004</v>
      </c>
      <c r="BC26" s="37"/>
      <c r="BD26" s="53">
        <f t="shared" si="65"/>
        <v>57.585069430187666</v>
      </c>
      <c r="BE26" s="53">
        <f t="shared" si="66"/>
        <v>48.30150021896504</v>
      </c>
      <c r="BF26" s="53">
        <f t="shared" si="67"/>
        <v>9.28356921122262</v>
      </c>
      <c r="BG26" s="53">
        <f t="shared" si="68"/>
        <v>34.26368928483222</v>
      </c>
      <c r="BH26" s="53">
        <f t="shared" si="69"/>
        <v>25.456379209664032</v>
      </c>
      <c r="BI26" s="53">
        <f t="shared" si="70"/>
        <v>2.7702594144592934</v>
      </c>
      <c r="BJ26" s="53">
        <f t="shared" si="71"/>
        <v>8.807310075168186</v>
      </c>
      <c r="BK26" s="53"/>
      <c r="BL26" s="46" t="str">
        <f t="shared" si="72"/>
        <v>Old</v>
      </c>
      <c r="BM26" s="46"/>
      <c r="BN26" s="53">
        <f t="shared" si="73"/>
        <v>5.3809818705208246</v>
      </c>
      <c r="BO26" s="53">
        <f t="shared" si="74"/>
        <v>6.442915277138647</v>
      </c>
      <c r="BP26" s="53">
        <f t="shared" si="75"/>
        <v>4.621052462404664</v>
      </c>
      <c r="BQ26" s="53">
        <f t="shared" si="76"/>
        <v>5.380981870520827</v>
      </c>
      <c r="BR26" s="53">
        <f>((U26+V26)-(W26+X26+Y26))*100/16</f>
        <v>9.326711498490404</v>
      </c>
      <c r="BS26" s="50"/>
      <c r="BT26" s="53">
        <f t="shared" si="111"/>
        <v>-0.2548640175882775</v>
      </c>
      <c r="BU26" s="53">
        <f t="shared" si="112"/>
        <v>-0.1973493745510498</v>
      </c>
      <c r="BV26" s="53"/>
      <c r="BW26" s="53">
        <f t="shared" si="77"/>
        <v>59.22577709597561</v>
      </c>
      <c r="BX26" s="53">
        <f t="shared" si="78"/>
        <v>35.23992667108654</v>
      </c>
      <c r="BY26" s="53">
        <f t="shared" si="79"/>
        <v>5.534296232937852</v>
      </c>
      <c r="BZ26" s="50"/>
      <c r="CA26" s="53">
        <f t="shared" si="80"/>
        <v>57.585069430187666</v>
      </c>
      <c r="CB26" s="53">
        <f t="shared" si="81"/>
        <v>34.26368928483222</v>
      </c>
      <c r="CC26" s="53">
        <f t="shared" si="82"/>
        <v>2.7702594144592934</v>
      </c>
      <c r="CD26" s="53">
        <f t="shared" si="83"/>
        <v>5.380981870520827</v>
      </c>
      <c r="CE26" s="53">
        <f>((U26+V26)-(W26+X26+Y26))*100/16</f>
        <v>9.326711498490404</v>
      </c>
      <c r="CF26" s="53"/>
      <c r="CG26" s="53">
        <f t="shared" si="113"/>
        <v>59.22577709597561</v>
      </c>
      <c r="CH26" s="53">
        <f t="shared" si="114"/>
        <v>35.23992667108654</v>
      </c>
      <c r="CI26" s="53">
        <f t="shared" si="115"/>
        <v>5.534296232937854</v>
      </c>
      <c r="CJ26" s="46"/>
      <c r="CK26" s="53">
        <f t="shared" si="116"/>
        <v>56.91603835264226</v>
      </c>
      <c r="CL26" s="53">
        <f t="shared" si="117"/>
        <v>33.86560913680525</v>
      </c>
      <c r="CM26" s="53">
        <f t="shared" si="118"/>
        <v>9.218352510552482</v>
      </c>
      <c r="CN26" s="53"/>
      <c r="CO26" s="54">
        <f t="shared" si="119"/>
        <v>62.69553365316288</v>
      </c>
      <c r="CP26" s="54">
        <f t="shared" si="61"/>
        <v>37.30446634683712</v>
      </c>
      <c r="CQ26" s="31"/>
      <c r="CR26" s="2" t="str">
        <f t="shared" si="84"/>
        <v>Old</v>
      </c>
    </row>
    <row r="27" spans="1:96" s="5" customFormat="1" ht="12.75" customHeight="1">
      <c r="A27" s="12" t="s">
        <v>82</v>
      </c>
      <c r="B27" s="12" t="s">
        <v>108</v>
      </c>
      <c r="C27" s="13"/>
      <c r="D27" s="11">
        <v>41.227</v>
      </c>
      <c r="E27" s="11">
        <v>0.0982</v>
      </c>
      <c r="F27" s="11">
        <v>32.4631</v>
      </c>
      <c r="G27" s="11">
        <v>1.3550634645899453</v>
      </c>
      <c r="H27" s="11"/>
      <c r="I27" s="84"/>
      <c r="J27" s="11"/>
      <c r="K27" s="11">
        <v>0.193</v>
      </c>
      <c r="L27" s="11">
        <v>0.0824</v>
      </c>
      <c r="M27" s="11">
        <v>0</v>
      </c>
      <c r="N27" s="11"/>
      <c r="O27" s="11">
        <v>14.0923</v>
      </c>
      <c r="P27" s="11">
        <v>10.3641</v>
      </c>
      <c r="Q27" s="11">
        <f t="shared" si="86"/>
        <v>99.87516346458995</v>
      </c>
      <c r="R27" s="56"/>
      <c r="S27" s="57">
        <f t="shared" si="87"/>
        <v>11.856075021577817</v>
      </c>
      <c r="T27" s="56"/>
      <c r="U27" s="57">
        <f t="shared" si="88"/>
        <v>8.135076965440033</v>
      </c>
      <c r="V27" s="57">
        <f t="shared" si="89"/>
        <v>0.014575413840955818</v>
      </c>
      <c r="W27" s="57">
        <f t="shared" si="90"/>
        <v>7.549628124258573</v>
      </c>
      <c r="X27" s="57">
        <f t="shared" si="91"/>
        <v>0.20120875152546644</v>
      </c>
      <c r="Y27" s="57">
        <f t="shared" si="92"/>
        <v>0</v>
      </c>
      <c r="Z27" s="57">
        <f t="shared" si="93"/>
        <v>0</v>
      </c>
      <c r="AA27" s="57">
        <f t="shared" si="94"/>
        <v>0.05677267036756033</v>
      </c>
      <c r="AB27" s="57">
        <f t="shared" si="95"/>
        <v>0</v>
      </c>
      <c r="AC27" s="57">
        <f t="shared" si="96"/>
        <v>0.017421288821842885</v>
      </c>
      <c r="AD27" s="57">
        <f t="shared" si="97"/>
        <v>0</v>
      </c>
      <c r="AE27" s="57">
        <f t="shared" si="98"/>
        <v>0</v>
      </c>
      <c r="AF27" s="57">
        <f t="shared" si="99"/>
        <v>5.391488335443655</v>
      </c>
      <c r="AG27" s="57">
        <f t="shared" si="100"/>
        <v>2.6090036017014633</v>
      </c>
      <c r="AH27" s="57"/>
      <c r="AI27" s="57">
        <f t="shared" si="101"/>
        <v>1.0290547287890341</v>
      </c>
      <c r="AJ27" s="57">
        <f t="shared" si="102"/>
        <v>23.97517515139955</v>
      </c>
      <c r="AK27" s="57">
        <f t="shared" si="103"/>
        <v>15.95726192543259</v>
      </c>
      <c r="AL27" s="57">
        <f t="shared" si="104"/>
        <v>8.01791322596696</v>
      </c>
      <c r="AM27" s="57">
        <f t="shared" si="105"/>
        <v>8.035334514788804</v>
      </c>
      <c r="AN27" s="57">
        <f t="shared" si="106"/>
        <v>-0.1709522982696443</v>
      </c>
      <c r="AO27" s="57">
        <f t="shared" si="62"/>
        <v>-0.14988925154101906</v>
      </c>
      <c r="AP27" s="57">
        <f t="shared" si="107"/>
        <v>1.140524063680851</v>
      </c>
      <c r="AQ27" s="56"/>
      <c r="AR27" s="57">
        <f>((U27+V27)*4+(W27+X27+Y27)*3+(Z27+AA27+AB27)*2)</f>
        <v>55.96466548521119</v>
      </c>
      <c r="AS27" s="57">
        <f>AR27/(U27+V27+W27+X27+Y27+Z27+AA27+AB27)</f>
        <v>3.507159671047013</v>
      </c>
      <c r="AT27" s="57">
        <f t="shared" si="108"/>
        <v>56.11455473675221</v>
      </c>
      <c r="AU27" s="59">
        <f t="shared" si="109"/>
        <v>-0.14988925154101906</v>
      </c>
      <c r="AV27" s="59"/>
      <c r="AW27" s="57" t="s">
        <v>82</v>
      </c>
      <c r="AX27" s="57"/>
      <c r="AY27" s="57">
        <f>(U27+V27)-AC27*2-AD27*2-AE27*2-AF27-AG27-(Z27+AA27+AB27)</f>
        <v>0.057545194124624846</v>
      </c>
      <c r="AZ27" s="58">
        <f t="shared" si="110"/>
        <v>0.3596574632789053</v>
      </c>
      <c r="BA27" s="57">
        <f t="shared" si="63"/>
        <v>-0.16354873849103763</v>
      </c>
      <c r="BB27" s="58">
        <f t="shared" si="64"/>
        <v>-0.8013401502329424</v>
      </c>
      <c r="BC27" s="37"/>
      <c r="BD27" s="58">
        <f t="shared" si="65"/>
        <v>67.39360419304569</v>
      </c>
      <c r="BE27" s="58">
        <f t="shared" si="66"/>
        <v>64.87849479897736</v>
      </c>
      <c r="BF27" s="58">
        <f t="shared" si="67"/>
        <v>2.5151093940683302</v>
      </c>
      <c r="BG27" s="58">
        <f t="shared" si="68"/>
        <v>32.61254502126829</v>
      </c>
      <c r="BH27" s="58">
        <f t="shared" si="69"/>
        <v>31.193228262079277</v>
      </c>
      <c r="BI27" s="58">
        <f t="shared" si="70"/>
        <v>0.4355322205460721</v>
      </c>
      <c r="BJ27" s="58">
        <f t="shared" si="71"/>
        <v>1.4193167591890081</v>
      </c>
      <c r="BK27" s="58"/>
      <c r="BL27" s="56" t="str">
        <f t="shared" si="72"/>
        <v>Andersen et al. (2012)</v>
      </c>
      <c r="BM27" s="56"/>
      <c r="BN27" s="58">
        <f t="shared" si="73"/>
        <v>-0.44168143486005323</v>
      </c>
      <c r="BO27" s="58">
        <f t="shared" si="74"/>
        <v>0.3596574632789053</v>
      </c>
      <c r="BP27" s="58">
        <f t="shared" si="75"/>
        <v>0.09254449723257895</v>
      </c>
      <c r="BQ27" s="58">
        <f t="shared" si="76"/>
        <v>-0.44168143486004957</v>
      </c>
      <c r="BR27" s="58">
        <f>((U27+V27)-(W27+X27+Y27)-((Z27+AA27+AB27)*3))*100/16</f>
        <v>1.428109327464175</v>
      </c>
      <c r="BS27" s="57"/>
      <c r="BT27" s="58">
        <f t="shared" si="111"/>
        <v>-0.19232133555335004</v>
      </c>
      <c r="BU27" s="58">
        <f t="shared" si="112"/>
        <v>1.8142915569744578</v>
      </c>
      <c r="BV27" s="58"/>
      <c r="BW27" s="58">
        <f t="shared" si="77"/>
        <v>67.68840902391987</v>
      </c>
      <c r="BX27" s="58">
        <f t="shared" si="78"/>
        <v>32.75520449073118</v>
      </c>
      <c r="BY27" s="58">
        <f t="shared" si="79"/>
        <v>-0.4436135146510555</v>
      </c>
      <c r="BZ27" s="57"/>
      <c r="CA27" s="58">
        <f t="shared" si="80"/>
        <v>67.39360419304569</v>
      </c>
      <c r="CB27" s="58">
        <f t="shared" si="81"/>
        <v>32.61254502126829</v>
      </c>
      <c r="CC27" s="58">
        <f t="shared" si="82"/>
        <v>0.43553222054607216</v>
      </c>
      <c r="CD27" s="58">
        <f t="shared" si="83"/>
        <v>-0.44168143486004957</v>
      </c>
      <c r="CE27" s="58">
        <f>((U27+V27)-(W27+X27+Y27)-((Z27+AA27+AB27)*3))*100/16</f>
        <v>1.428109327464175</v>
      </c>
      <c r="CF27" s="58"/>
      <c r="CG27" s="58">
        <f t="shared" si="113"/>
        <v>67.68840902391986</v>
      </c>
      <c r="CH27" s="58">
        <f t="shared" si="114"/>
        <v>32.755204490731174</v>
      </c>
      <c r="CI27" s="58">
        <f t="shared" si="115"/>
        <v>-0.44361351465105175</v>
      </c>
      <c r="CJ27" s="56"/>
      <c r="CK27" s="58">
        <f t="shared" si="116"/>
        <v>66.44067316299059</v>
      </c>
      <c r="CL27" s="58">
        <f t="shared" si="117"/>
        <v>32.15141066746796</v>
      </c>
      <c r="CM27" s="58">
        <f t="shared" si="118"/>
        <v>1.407916169541451</v>
      </c>
      <c r="CN27" s="58"/>
      <c r="CO27" s="60">
        <f t="shared" si="119"/>
        <v>67.38946027070861</v>
      </c>
      <c r="CP27" s="60">
        <f t="shared" si="61"/>
        <v>32.61053972929139</v>
      </c>
      <c r="CQ27" s="31"/>
      <c r="CR27" s="2" t="str">
        <f t="shared" si="84"/>
        <v>Andersen et al. (2012)</v>
      </c>
    </row>
    <row r="28" spans="1:96" s="5" customFormat="1" ht="12.75" customHeight="1">
      <c r="A28" s="18" t="s">
        <v>111</v>
      </c>
      <c r="B28" s="18"/>
      <c r="C28" s="19"/>
      <c r="D28" s="20">
        <v>41.227</v>
      </c>
      <c r="E28" s="20">
        <v>0.0982</v>
      </c>
      <c r="F28" s="20">
        <v>32.4631</v>
      </c>
      <c r="G28" s="20"/>
      <c r="H28" s="20"/>
      <c r="I28" s="20">
        <v>1.22</v>
      </c>
      <c r="J28" s="20"/>
      <c r="K28" s="20">
        <v>0.193</v>
      </c>
      <c r="L28" s="20">
        <v>0.0824</v>
      </c>
      <c r="M28" s="20">
        <v>0</v>
      </c>
      <c r="N28" s="20"/>
      <c r="O28" s="20">
        <v>14.0923</v>
      </c>
      <c r="P28" s="20">
        <v>10.3641</v>
      </c>
      <c r="Q28" s="20">
        <f t="shared" si="86"/>
        <v>99.74009999999998</v>
      </c>
      <c r="R28" s="61"/>
      <c r="S28" s="62">
        <f t="shared" si="87"/>
        <v>11.893423310860362</v>
      </c>
      <c r="T28" s="61"/>
      <c r="U28" s="62">
        <f t="shared" si="88"/>
        <v>8.160703592067147</v>
      </c>
      <c r="V28" s="62">
        <f t="shared" si="89"/>
        <v>0.014621328426647465</v>
      </c>
      <c r="W28" s="62">
        <f t="shared" si="90"/>
        <v>7.573410505413151</v>
      </c>
      <c r="X28" s="62">
        <f t="shared" si="91"/>
        <v>0</v>
      </c>
      <c r="Y28" s="62">
        <f t="shared" si="92"/>
        <v>0</v>
      </c>
      <c r="Z28" s="62">
        <f t="shared" si="93"/>
        <v>0.20195941930308772</v>
      </c>
      <c r="AA28" s="62">
        <f t="shared" si="94"/>
        <v>0.05695151219441881</v>
      </c>
      <c r="AB28" s="62">
        <f t="shared" si="95"/>
        <v>0</v>
      </c>
      <c r="AC28" s="62">
        <f t="shared" si="96"/>
        <v>0.017476168310493957</v>
      </c>
      <c r="AD28" s="62">
        <f t="shared" si="97"/>
        <v>0</v>
      </c>
      <c r="AE28" s="62">
        <f t="shared" si="98"/>
        <v>0</v>
      </c>
      <c r="AF28" s="62">
        <f t="shared" si="99"/>
        <v>5.408472275377329</v>
      </c>
      <c r="AG28" s="62">
        <f t="shared" si="100"/>
        <v>2.6172223267920356</v>
      </c>
      <c r="AH28" s="62"/>
      <c r="AI28" s="62">
        <f t="shared" si="101"/>
        <v>0.9783940972830731</v>
      </c>
      <c r="AJ28" s="62">
        <f t="shared" si="102"/>
        <v>24.05081712788431</v>
      </c>
      <c r="AK28" s="62">
        <f t="shared" si="103"/>
        <v>16.007646357404454</v>
      </c>
      <c r="AL28" s="62">
        <f t="shared" si="104"/>
        <v>8.043170770479858</v>
      </c>
      <c r="AM28" s="62">
        <f t="shared" si="105"/>
        <v>8.060646938790352</v>
      </c>
      <c r="AN28" s="62">
        <f t="shared" si="106"/>
        <v>0.030585429617811855</v>
      </c>
      <c r="AO28" s="62">
        <f t="shared" si="62"/>
        <v>0.026720498250021762</v>
      </c>
      <c r="AP28" s="62">
        <f t="shared" si="107"/>
        <v>1.1446429378534115</v>
      </c>
      <c r="AQ28" s="61"/>
      <c r="AR28" s="62">
        <f>((U28+V28)*4+(W28+X28+Y28)*3+(Z28+AA28+AB28)*2)</f>
        <v>55.93935306120965</v>
      </c>
      <c r="AS28" s="62">
        <f>AR28/(U28+V28+W28+X28+Y28+Z28+AA28+AB28)</f>
        <v>3.494539535184977</v>
      </c>
      <c r="AT28" s="62">
        <f t="shared" si="108"/>
        <v>55.91263256295963</v>
      </c>
      <c r="AU28" s="64">
        <f t="shared" si="109"/>
        <v>0.026720498250021762</v>
      </c>
      <c r="AV28" s="64"/>
      <c r="AW28" s="62" t="s">
        <v>111</v>
      </c>
      <c r="AX28" s="62"/>
      <c r="AY28" s="62">
        <f>(U28+V28)-AC28*2-AD28*2-AE28*2-AF28-AG28-(Z28+AA28+AB28)</f>
        <v>-0.14423294979406365</v>
      </c>
      <c r="AZ28" s="63">
        <f t="shared" si="110"/>
        <v>-0.9014559362128978</v>
      </c>
      <c r="BA28" s="62">
        <f t="shared" si="63"/>
        <v>-0.03770786657699421</v>
      </c>
      <c r="BB28" s="63">
        <f t="shared" si="64"/>
        <v>0.14336942534822017</v>
      </c>
      <c r="BC28" s="37"/>
      <c r="BD28" s="63">
        <f t="shared" si="65"/>
        <v>67.60590344221661</v>
      </c>
      <c r="BE28" s="63">
        <f t="shared" si="66"/>
        <v>67.60590344221661</v>
      </c>
      <c r="BF28" s="63">
        <f t="shared" si="67"/>
        <v>0</v>
      </c>
      <c r="BG28" s="63">
        <f t="shared" si="68"/>
        <v>32.715279084900445</v>
      </c>
      <c r="BH28" s="63">
        <f t="shared" si="69"/>
        <v>26.24250579746278</v>
      </c>
      <c r="BI28" s="63">
        <f t="shared" si="70"/>
        <v>0.4369042077623489</v>
      </c>
      <c r="BJ28" s="63">
        <f t="shared" si="71"/>
        <v>6.472773287437664</v>
      </c>
      <c r="BK28" s="63"/>
      <c r="BL28" s="61" t="str">
        <f t="shared" si="72"/>
        <v>All Fe2+</v>
      </c>
      <c r="BM28" s="61"/>
      <c r="BN28" s="63">
        <f t="shared" si="73"/>
        <v>-0.7580867348794077</v>
      </c>
      <c r="BO28" s="63">
        <f t="shared" si="74"/>
        <v>-0.9014559362128978</v>
      </c>
      <c r="BP28" s="63">
        <f t="shared" si="75"/>
        <v>-0.8536662024350679</v>
      </c>
      <c r="BQ28" s="63">
        <f t="shared" si="76"/>
        <v>-0.7580867348794021</v>
      </c>
      <c r="BR28" s="63">
        <f>((U28+V28)-(W28+X28+Y28)-((Z28+AA28+AB28)*3))*100/16</f>
        <v>-1.092614871324226</v>
      </c>
      <c r="BS28" s="62"/>
      <c r="BT28" s="63">
        <f t="shared" si="111"/>
        <v>0.034408608320037615</v>
      </c>
      <c r="BU28" s="63">
        <f t="shared" si="112"/>
        <v>-0.18911978634779364</v>
      </c>
      <c r="BV28" s="63"/>
      <c r="BW28" s="63">
        <f t="shared" si="77"/>
        <v>67.90257263925642</v>
      </c>
      <c r="BX28" s="63">
        <f t="shared" si="78"/>
        <v>32.85884074272735</v>
      </c>
      <c r="BY28" s="63">
        <f t="shared" si="79"/>
        <v>-0.7614133819837603</v>
      </c>
      <c r="BZ28" s="62"/>
      <c r="CA28" s="63">
        <f t="shared" si="80"/>
        <v>67.60590344221661</v>
      </c>
      <c r="CB28" s="63">
        <f t="shared" si="81"/>
        <v>32.715279084900445</v>
      </c>
      <c r="CC28" s="63">
        <f t="shared" si="82"/>
        <v>0.43690420776234895</v>
      </c>
      <c r="CD28" s="63">
        <f t="shared" si="83"/>
        <v>-0.7580867348794021</v>
      </c>
      <c r="CE28" s="63">
        <f>((U28+V28)-(W28+X28+Y28)-((Z28+AA28+AB28)*3))*100/16</f>
        <v>-1.092614871324226</v>
      </c>
      <c r="CF28" s="63"/>
      <c r="CG28" s="63">
        <f t="shared" si="113"/>
        <v>67.9025726392564</v>
      </c>
      <c r="CH28" s="63">
        <f t="shared" si="114"/>
        <v>32.858840742727345</v>
      </c>
      <c r="CI28" s="63">
        <f t="shared" si="115"/>
        <v>-0.7614133819837546</v>
      </c>
      <c r="CJ28" s="61"/>
      <c r="CK28" s="63">
        <f t="shared" si="116"/>
        <v>68.1314918066036</v>
      </c>
      <c r="CL28" s="63">
        <f t="shared" si="117"/>
        <v>32.96961737710881</v>
      </c>
      <c r="CM28" s="63">
        <f t="shared" si="118"/>
        <v>-1.1011091837124192</v>
      </c>
      <c r="CN28" s="63"/>
      <c r="CO28" s="65">
        <f t="shared" si="119"/>
        <v>67.3894602707086</v>
      </c>
      <c r="CP28" s="65">
        <f t="shared" si="61"/>
        <v>32.6105397292914</v>
      </c>
      <c r="CQ28" s="31"/>
      <c r="CR28" s="2" t="str">
        <f t="shared" si="84"/>
        <v>All Fe2+</v>
      </c>
    </row>
    <row r="29" spans="1:96" s="5" customFormat="1" ht="12.75" customHeight="1">
      <c r="A29" s="14" t="s">
        <v>112</v>
      </c>
      <c r="B29" s="14"/>
      <c r="C29" s="15"/>
      <c r="D29" s="16">
        <v>41.227</v>
      </c>
      <c r="E29" s="16">
        <v>0.0982</v>
      </c>
      <c r="F29" s="16">
        <v>32.4631</v>
      </c>
      <c r="G29" s="16">
        <v>1.3550634645899453</v>
      </c>
      <c r="H29" s="16"/>
      <c r="I29" s="16"/>
      <c r="J29" s="16"/>
      <c r="K29" s="16">
        <v>0.193</v>
      </c>
      <c r="L29" s="16">
        <v>0.0824</v>
      </c>
      <c r="M29" s="16">
        <v>0</v>
      </c>
      <c r="N29" s="16"/>
      <c r="O29" s="16">
        <v>14.0923</v>
      </c>
      <c r="P29" s="16">
        <v>10.3641</v>
      </c>
      <c r="Q29" s="16">
        <f t="shared" si="86"/>
        <v>99.87516346458995</v>
      </c>
      <c r="R29" s="46"/>
      <c r="S29" s="50">
        <f t="shared" si="87"/>
        <v>11.856075021577817</v>
      </c>
      <c r="T29" s="46"/>
      <c r="U29" s="50">
        <f t="shared" si="88"/>
        <v>8.135076965440033</v>
      </c>
      <c r="V29" s="50">
        <f t="shared" si="89"/>
        <v>0.014575413840955818</v>
      </c>
      <c r="W29" s="50">
        <f t="shared" si="90"/>
        <v>7.549628124258573</v>
      </c>
      <c r="X29" s="50">
        <f t="shared" si="91"/>
        <v>0.20120875152546644</v>
      </c>
      <c r="Y29" s="50">
        <f t="shared" si="92"/>
        <v>0</v>
      </c>
      <c r="Z29" s="50">
        <f t="shared" si="93"/>
        <v>0</v>
      </c>
      <c r="AA29" s="50">
        <f t="shared" si="94"/>
        <v>0.05677267036756033</v>
      </c>
      <c r="AB29" s="50">
        <f t="shared" si="95"/>
        <v>0</v>
      </c>
      <c r="AC29" s="50">
        <f t="shared" si="96"/>
        <v>0.017421288821842885</v>
      </c>
      <c r="AD29" s="50">
        <f t="shared" si="97"/>
        <v>0</v>
      </c>
      <c r="AE29" s="50">
        <f t="shared" si="98"/>
        <v>0</v>
      </c>
      <c r="AF29" s="50">
        <f t="shared" si="99"/>
        <v>5.391488335443655</v>
      </c>
      <c r="AG29" s="50">
        <f t="shared" si="100"/>
        <v>2.6090036017014633</v>
      </c>
      <c r="AH29" s="50"/>
      <c r="AI29" s="50">
        <f>(U29+V29)/(W29+X29+Y29)</f>
        <v>1.0514545087051141</v>
      </c>
      <c r="AJ29" s="50">
        <f t="shared" si="102"/>
        <v>23.97517515139955</v>
      </c>
      <c r="AK29" s="50">
        <f>SUM(U29:Y29)</f>
        <v>15.900489255065029</v>
      </c>
      <c r="AL29" s="50">
        <f t="shared" si="104"/>
        <v>8.01791322596696</v>
      </c>
      <c r="AM29" s="50">
        <f t="shared" si="105"/>
        <v>8.035334514788804</v>
      </c>
      <c r="AN29" s="50">
        <f>(W29+X29+Y29)-AM29</f>
        <v>-0.28449763900476466</v>
      </c>
      <c r="AO29" s="50">
        <f t="shared" si="62"/>
        <v>-0.3495355697472604</v>
      </c>
      <c r="AP29" s="50">
        <f t="shared" si="107"/>
        <v>0.8139304369237074</v>
      </c>
      <c r="AQ29" s="46"/>
      <c r="AR29" s="50">
        <f>((U29+V29)*4+(W29+X29+Y29)*3)</f>
        <v>55.85112014447607</v>
      </c>
      <c r="AS29" s="50">
        <f>AR29/(U29+V29+W29+X29+Y29)</f>
        <v>3.512540982138958</v>
      </c>
      <c r="AT29" s="50">
        <f t="shared" si="108"/>
        <v>56.20065571422333</v>
      </c>
      <c r="AU29" s="51">
        <f t="shared" si="109"/>
        <v>-0.3495355697472604</v>
      </c>
      <c r="AV29" s="51"/>
      <c r="AW29" s="50" t="s">
        <v>112</v>
      </c>
      <c r="AX29" s="50"/>
      <c r="AY29" s="50">
        <f>(U29+V29)-AC29*2-AD29*2-AE29*2-AF29-AG29</f>
        <v>0.11431786449218517</v>
      </c>
      <c r="AZ29" s="53">
        <f t="shared" si="110"/>
        <v>0.7144866530761573</v>
      </c>
      <c r="BA29" s="50">
        <f t="shared" si="63"/>
        <v>-0.22032140885859797</v>
      </c>
      <c r="BB29" s="53">
        <f t="shared" si="64"/>
        <v>-1.333584766561032</v>
      </c>
      <c r="BC29" s="37"/>
      <c r="BD29" s="53">
        <f t="shared" si="65"/>
        <v>67.39360419304569</v>
      </c>
      <c r="BE29" s="53">
        <f t="shared" si="66"/>
        <v>64.87849479897736</v>
      </c>
      <c r="BF29" s="53">
        <f t="shared" si="67"/>
        <v>2.5151093940683302</v>
      </c>
      <c r="BG29" s="53">
        <f t="shared" si="68"/>
        <v>32.61254502126829</v>
      </c>
      <c r="BH29" s="53">
        <f t="shared" si="69"/>
        <v>31.193228262079277</v>
      </c>
      <c r="BI29" s="53">
        <f t="shared" si="70"/>
        <v>0.4355322205460721</v>
      </c>
      <c r="BJ29" s="53">
        <f t="shared" si="71"/>
        <v>1.4193167591890081</v>
      </c>
      <c r="BK29" s="53"/>
      <c r="BL29" s="46" t="str">
        <f t="shared" si="72"/>
        <v>Old</v>
      </c>
      <c r="BM29" s="46"/>
      <c r="BN29" s="53">
        <f t="shared" si="73"/>
        <v>-0.44168143486005323</v>
      </c>
      <c r="BO29" s="53">
        <f t="shared" si="74"/>
        <v>0.7144866530761573</v>
      </c>
      <c r="BP29" s="53">
        <f t="shared" si="75"/>
        <v>0.09254449723257895</v>
      </c>
      <c r="BQ29" s="53">
        <f t="shared" si="76"/>
        <v>-0.44168143486004957</v>
      </c>
      <c r="BR29" s="53">
        <f>((U29+V29)-(W29+X29+Y29))*100/16</f>
        <v>2.4925968968559307</v>
      </c>
      <c r="BS29" s="50"/>
      <c r="BT29" s="53">
        <f t="shared" si="111"/>
        <v>-0.27748034110469055</v>
      </c>
      <c r="BU29" s="53">
        <f t="shared" si="112"/>
        <v>2.6176515395140902</v>
      </c>
      <c r="BV29" s="53"/>
      <c r="BW29" s="53">
        <f t="shared" si="77"/>
        <v>67.68840902391987</v>
      </c>
      <c r="BX29" s="53">
        <f t="shared" si="78"/>
        <v>32.75520449073118</v>
      </c>
      <c r="BY29" s="53">
        <f t="shared" si="79"/>
        <v>-0.4436135146510555</v>
      </c>
      <c r="BZ29" s="50"/>
      <c r="CA29" s="53">
        <f t="shared" si="80"/>
        <v>67.39360419304569</v>
      </c>
      <c r="CB29" s="53">
        <f t="shared" si="81"/>
        <v>32.61254502126829</v>
      </c>
      <c r="CC29" s="53">
        <f t="shared" si="82"/>
        <v>0.43553222054607216</v>
      </c>
      <c r="CD29" s="53">
        <f t="shared" si="83"/>
        <v>-0.44168143486004957</v>
      </c>
      <c r="CE29" s="53">
        <f>((U29+V29)-(W29+X29+Y29))*100/16</f>
        <v>2.4925968968559307</v>
      </c>
      <c r="CF29" s="53"/>
      <c r="CG29" s="53">
        <f t="shared" si="113"/>
        <v>67.68840902391986</v>
      </c>
      <c r="CH29" s="53">
        <f t="shared" si="114"/>
        <v>32.755204490731174</v>
      </c>
      <c r="CI29" s="53">
        <f t="shared" si="115"/>
        <v>-0.44361351465105175</v>
      </c>
      <c r="CJ29" s="46"/>
      <c r="CK29" s="53">
        <f t="shared" si="116"/>
        <v>65.75066208122267</v>
      </c>
      <c r="CL29" s="53">
        <f t="shared" si="117"/>
        <v>31.817506319440042</v>
      </c>
      <c r="CM29" s="53">
        <f t="shared" si="118"/>
        <v>2.431831599337289</v>
      </c>
      <c r="CN29" s="53"/>
      <c r="CO29" s="54">
        <f t="shared" si="119"/>
        <v>67.38946027070861</v>
      </c>
      <c r="CP29" s="54">
        <f t="shared" si="61"/>
        <v>32.61053972929139</v>
      </c>
      <c r="CQ29" s="31"/>
      <c r="CR29" s="2" t="str">
        <f t="shared" si="84"/>
        <v>Old</v>
      </c>
    </row>
    <row r="30" spans="1:96" s="5" customFormat="1" ht="12.75" customHeight="1">
      <c r="A30" s="12" t="s">
        <v>84</v>
      </c>
      <c r="B30" s="12" t="s">
        <v>94</v>
      </c>
      <c r="C30" s="13"/>
      <c r="D30" s="11">
        <v>42.794000000000004</v>
      </c>
      <c r="E30" s="11">
        <v>0.05933333333333333</v>
      </c>
      <c r="F30" s="11">
        <v>30.35966666666667</v>
      </c>
      <c r="G30" s="11">
        <v>3.722266243527644</v>
      </c>
      <c r="H30" s="11"/>
      <c r="I30" s="84"/>
      <c r="J30" s="11"/>
      <c r="K30" s="11">
        <v>0.5946666666666666</v>
      </c>
      <c r="L30" s="11">
        <v>0.03666666666666667</v>
      </c>
      <c r="M30" s="11"/>
      <c r="N30" s="11">
        <v>0.007815553775577078</v>
      </c>
      <c r="O30" s="11">
        <v>15.502333333333333</v>
      </c>
      <c r="P30" s="11">
        <v>7.785</v>
      </c>
      <c r="Q30" s="11">
        <f t="shared" si="86"/>
        <v>100.86174846396989</v>
      </c>
      <c r="R30" s="56"/>
      <c r="S30" s="57">
        <f t="shared" si="87"/>
        <v>11.690020967214359</v>
      </c>
      <c r="T30" s="56"/>
      <c r="U30" s="57">
        <f t="shared" si="88"/>
        <v>8.326014570711006</v>
      </c>
      <c r="V30" s="57">
        <f t="shared" si="89"/>
        <v>0.008683254013848297</v>
      </c>
      <c r="W30" s="57">
        <f t="shared" si="90"/>
        <v>6.9615656114814595</v>
      </c>
      <c r="X30" s="57">
        <f t="shared" si="91"/>
        <v>0.5449655078005361</v>
      </c>
      <c r="Y30" s="57">
        <f t="shared" si="92"/>
        <v>0</v>
      </c>
      <c r="Z30" s="57">
        <f t="shared" si="93"/>
        <v>0</v>
      </c>
      <c r="AA30" s="57">
        <f t="shared" si="94"/>
        <v>0.1724765116446298</v>
      </c>
      <c r="AB30" s="57">
        <f t="shared" si="95"/>
        <v>0</v>
      </c>
      <c r="AC30" s="57">
        <f t="shared" si="96"/>
        <v>0.007643615826182976</v>
      </c>
      <c r="AD30" s="57">
        <f t="shared" si="97"/>
        <v>0</v>
      </c>
      <c r="AE30" s="57">
        <f t="shared" si="98"/>
        <v>0.0005958261869498329</v>
      </c>
      <c r="AF30" s="57">
        <f t="shared" si="99"/>
        <v>5.847876769348193</v>
      </c>
      <c r="AG30" s="57">
        <f t="shared" si="100"/>
        <v>1.9323066665908761</v>
      </c>
      <c r="AH30" s="57"/>
      <c r="AI30" s="57">
        <f t="shared" si="101"/>
        <v>1.0395768704192028</v>
      </c>
      <c r="AJ30" s="57">
        <f t="shared" si="102"/>
        <v>23.80212833360368</v>
      </c>
      <c r="AK30" s="57">
        <f t="shared" si="103"/>
        <v>16.01370545565148</v>
      </c>
      <c r="AL30" s="57">
        <f t="shared" si="104"/>
        <v>7.788422877952201</v>
      </c>
      <c r="AM30" s="57">
        <f t="shared" si="105"/>
        <v>7.796662319965335</v>
      </c>
      <c r="AN30" s="57">
        <f t="shared" si="106"/>
        <v>0.05482182260592072</v>
      </c>
      <c r="AO30" s="57">
        <f t="shared" si="62"/>
        <v>0.04810206820476992</v>
      </c>
      <c r="AP30" s="57">
        <f t="shared" si="107"/>
        <v>1.1396978269737776</v>
      </c>
      <c r="AQ30" s="56"/>
      <c r="AR30" s="57">
        <f>((U30+V30)*4+(W30+X30+Y30)*3+(Z30+AA30+AB30)*2)</f>
        <v>56.20333768003466</v>
      </c>
      <c r="AS30" s="57">
        <f>AR30/(U30+V30+W30+X30+Y30+Z30+AA30+AB30)</f>
        <v>3.509702225739368</v>
      </c>
      <c r="AT30" s="57">
        <f t="shared" si="108"/>
        <v>56.15523561182989</v>
      </c>
      <c r="AU30" s="59">
        <f t="shared" si="109"/>
        <v>0.04810206820476992</v>
      </c>
      <c r="AV30" s="59"/>
      <c r="AW30" s="57" t="s">
        <v>84</v>
      </c>
      <c r="AX30" s="57"/>
      <c r="AY30" s="57">
        <f>(U30+V30)-AC30*2-AD30*2-AE30*2-AF30-AG30-(Z30+AA30+AB30)</f>
        <v>0.36555899311489065</v>
      </c>
      <c r="AZ30" s="58">
        <f t="shared" si="110"/>
        <v>2.2847437069680665</v>
      </c>
      <c r="BA30" s="57">
        <f t="shared" si="63"/>
        <v>0.2444540469891075</v>
      </c>
      <c r="BB30" s="58">
        <f t="shared" si="64"/>
        <v>0.2569776949929018</v>
      </c>
      <c r="BC30" s="37"/>
      <c r="BD30" s="58">
        <f t="shared" si="65"/>
        <v>73.0984596168524</v>
      </c>
      <c r="BE30" s="58">
        <f t="shared" si="66"/>
        <v>66.2863907693457</v>
      </c>
      <c r="BF30" s="58">
        <f t="shared" si="67"/>
        <v>6.812068847506701</v>
      </c>
      <c r="BG30" s="58">
        <f t="shared" si="68"/>
        <v>24.153833332385954</v>
      </c>
      <c r="BH30" s="58">
        <f t="shared" si="69"/>
        <v>19.84192054127021</v>
      </c>
      <c r="BI30" s="58">
        <f t="shared" si="70"/>
        <v>0.2059860503283202</v>
      </c>
      <c r="BJ30" s="58">
        <f t="shared" si="71"/>
        <v>4.311912791115744</v>
      </c>
      <c r="BK30" s="58"/>
      <c r="BL30" s="56" t="str">
        <f t="shared" si="72"/>
        <v>Gurenko &amp; Sobolev (2018)</v>
      </c>
      <c r="BM30" s="56"/>
      <c r="BN30" s="58">
        <f t="shared" si="73"/>
        <v>2.5417210004333257</v>
      </c>
      <c r="BO30" s="58">
        <f t="shared" si="74"/>
        <v>2.2847437069680665</v>
      </c>
      <c r="BP30" s="58">
        <f t="shared" si="75"/>
        <v>2.3704028047898458</v>
      </c>
      <c r="BQ30" s="58">
        <f t="shared" si="76"/>
        <v>2.541721000433321</v>
      </c>
      <c r="BR30" s="58">
        <f>((U30+V30)-(W30+X30+Y30)-((Z30+AA30+AB30)*3))*100/16</f>
        <v>1.9421073156810562</v>
      </c>
      <c r="BS30" s="57"/>
      <c r="BT30" s="58">
        <f t="shared" si="111"/>
        <v>0.061674550431662215</v>
      </c>
      <c r="BU30" s="58">
        <f t="shared" si="112"/>
        <v>0.10110365906464494</v>
      </c>
      <c r="BV30" s="58"/>
      <c r="BW30" s="58">
        <f t="shared" si="77"/>
        <v>73.24934304548323</v>
      </c>
      <c r="BX30" s="58">
        <f t="shared" si="78"/>
        <v>24.203689556537192</v>
      </c>
      <c r="BY30" s="58">
        <f t="shared" si="79"/>
        <v>2.5469673979795737</v>
      </c>
      <c r="BZ30" s="57"/>
      <c r="CA30" s="58">
        <f t="shared" si="80"/>
        <v>73.09845961685241</v>
      </c>
      <c r="CB30" s="58">
        <f t="shared" si="81"/>
        <v>24.15383333238595</v>
      </c>
      <c r="CC30" s="58">
        <f t="shared" si="82"/>
        <v>0.2059860503283202</v>
      </c>
      <c r="CD30" s="58">
        <f t="shared" si="83"/>
        <v>2.541721000433321</v>
      </c>
      <c r="CE30" s="58">
        <f>((U30+V30)-(W30+X30+Y30)-((Z30+AA30+AB30)*3))*100/16</f>
        <v>1.9421073156810562</v>
      </c>
      <c r="CF30" s="58"/>
      <c r="CG30" s="58">
        <f t="shared" si="113"/>
        <v>73.24934304548324</v>
      </c>
      <c r="CH30" s="58">
        <f t="shared" si="114"/>
        <v>24.203689556537192</v>
      </c>
      <c r="CI30" s="58">
        <f t="shared" si="115"/>
        <v>2.546967397979569</v>
      </c>
      <c r="CJ30" s="56"/>
      <c r="CK30" s="58">
        <f t="shared" si="116"/>
        <v>73.69212316585177</v>
      </c>
      <c r="CL30" s="58">
        <f t="shared" si="117"/>
        <v>24.349996842440788</v>
      </c>
      <c r="CM30" s="58">
        <f t="shared" si="118"/>
        <v>1.9578799917074472</v>
      </c>
      <c r="CN30" s="58"/>
      <c r="CO30" s="60">
        <f t="shared" si="119"/>
        <v>75.16373897220785</v>
      </c>
      <c r="CP30" s="60">
        <f t="shared" si="61"/>
        <v>24.836261027792148</v>
      </c>
      <c r="CQ30" s="31"/>
      <c r="CR30" s="2" t="str">
        <f t="shared" si="84"/>
        <v>Gurenko &amp; Sobolev (2018)</v>
      </c>
    </row>
    <row r="31" spans="1:96" s="5" customFormat="1" ht="12.75" customHeight="1">
      <c r="A31" s="18" t="s">
        <v>111</v>
      </c>
      <c r="B31" s="18"/>
      <c r="C31" s="19"/>
      <c r="D31" s="20">
        <v>42.794000000000004</v>
      </c>
      <c r="E31" s="20">
        <v>0.05933333333333333</v>
      </c>
      <c r="F31" s="20">
        <v>30.35966666666667</v>
      </c>
      <c r="G31" s="20"/>
      <c r="H31" s="20"/>
      <c r="I31" s="20">
        <v>3.35</v>
      </c>
      <c r="J31" s="20"/>
      <c r="K31" s="20">
        <v>0.5946666666666666</v>
      </c>
      <c r="L31" s="20">
        <v>0.03666666666666667</v>
      </c>
      <c r="M31" s="20"/>
      <c r="N31" s="20">
        <v>0.007815553775577078</v>
      </c>
      <c r="O31" s="20">
        <v>15.502333333333333</v>
      </c>
      <c r="P31" s="20">
        <v>7.785</v>
      </c>
      <c r="Q31" s="20">
        <f t="shared" si="86"/>
        <v>100.48948222044223</v>
      </c>
      <c r="R31" s="61"/>
      <c r="S31" s="62">
        <f t="shared" si="87"/>
        <v>11.790376118924604</v>
      </c>
      <c r="T31" s="61"/>
      <c r="U31" s="62">
        <f t="shared" si="88"/>
        <v>8.397490785999995</v>
      </c>
      <c r="V31" s="62">
        <f t="shared" si="89"/>
        <v>0.008757797017350365</v>
      </c>
      <c r="W31" s="62">
        <f t="shared" si="90"/>
        <v>7.021328461782618</v>
      </c>
      <c r="X31" s="62">
        <f t="shared" si="91"/>
        <v>0</v>
      </c>
      <c r="Y31" s="62">
        <f t="shared" si="92"/>
        <v>0</v>
      </c>
      <c r="Z31" s="62">
        <f t="shared" si="93"/>
        <v>0.5497558666926122</v>
      </c>
      <c r="AA31" s="62">
        <f t="shared" si="94"/>
        <v>0.1739571682269486</v>
      </c>
      <c r="AB31" s="62">
        <f t="shared" si="95"/>
        <v>0</v>
      </c>
      <c r="AC31" s="62">
        <f t="shared" si="96"/>
        <v>0.007709233862968602</v>
      </c>
      <c r="AD31" s="62">
        <f t="shared" si="97"/>
        <v>0</v>
      </c>
      <c r="AE31" s="62">
        <f t="shared" si="98"/>
        <v>0.0006009411672866506</v>
      </c>
      <c r="AF31" s="62">
        <f t="shared" si="99"/>
        <v>5.898078951364517</v>
      </c>
      <c r="AG31" s="62">
        <f t="shared" si="100"/>
        <v>1.9488949113186063</v>
      </c>
      <c r="AH31" s="62"/>
      <c r="AI31" s="62">
        <f t="shared" si="101"/>
        <v>0.9071623837261705</v>
      </c>
      <c r="AJ31" s="62">
        <f t="shared" si="102"/>
        <v>24.006574117432905</v>
      </c>
      <c r="AK31" s="62">
        <f t="shared" si="103"/>
        <v>16.151290079719526</v>
      </c>
      <c r="AL31" s="62">
        <f t="shared" si="104"/>
        <v>7.855284037713378</v>
      </c>
      <c r="AM31" s="62">
        <f t="shared" si="105"/>
        <v>7.863594212743634</v>
      </c>
      <c r="AN31" s="62">
        <f t="shared" si="106"/>
        <v>0.605160318878105</v>
      </c>
      <c r="AO31" s="62">
        <f t="shared" si="62"/>
        <v>0.5258329993952557</v>
      </c>
      <c r="AP31" s="62">
        <f t="shared" si="107"/>
        <v>1.1508602913359967</v>
      </c>
      <c r="AQ31" s="61"/>
      <c r="AR31" s="62">
        <f>((U31+V31)*4+(W31+X31+Y31)*3+(Z31+AA31+AB31)*2)</f>
        <v>56.136405787256365</v>
      </c>
      <c r="AS31" s="62">
        <f>AR31/(U31+V31+W31+X31+Y31+Z31+AA31+AB31)</f>
        <v>3.4756607992413193</v>
      </c>
      <c r="AT31" s="62">
        <f t="shared" si="108"/>
        <v>55.61057278786111</v>
      </c>
      <c r="AU31" s="64">
        <f t="shared" si="109"/>
        <v>0.5258329993952557</v>
      </c>
      <c r="AV31" s="64"/>
      <c r="AW31" s="62" t="s">
        <v>111</v>
      </c>
      <c r="AX31" s="62"/>
      <c r="AY31" s="62">
        <f>(U31+V31)-AC31*2-AD31*2-AE31*2-AF31-AG31-(Z31+AA31+AB31)</f>
        <v>-0.18105866464584786</v>
      </c>
      <c r="AZ31" s="63">
        <f t="shared" si="110"/>
        <v>-1.131616654036549</v>
      </c>
      <c r="BA31" s="62">
        <f t="shared" si="63"/>
        <v>0.590276026414948</v>
      </c>
      <c r="BB31" s="63">
        <f t="shared" si="64"/>
        <v>2.836693427074597</v>
      </c>
      <c r="BC31" s="37"/>
      <c r="BD31" s="63">
        <f t="shared" si="65"/>
        <v>73.72598689205645</v>
      </c>
      <c r="BE31" s="63">
        <f t="shared" si="66"/>
        <v>73.72598689205645</v>
      </c>
      <c r="BF31" s="63">
        <f t="shared" si="67"/>
        <v>0</v>
      </c>
      <c r="BG31" s="63">
        <f t="shared" si="68"/>
        <v>24.361186391482576</v>
      </c>
      <c r="BH31" s="63">
        <f t="shared" si="69"/>
        <v>6.268360518493558</v>
      </c>
      <c r="BI31" s="63">
        <f t="shared" si="70"/>
        <v>0.2077543757563813</v>
      </c>
      <c r="BJ31" s="63">
        <f t="shared" si="71"/>
        <v>18.09282587298902</v>
      </c>
      <c r="BK31" s="63"/>
      <c r="BL31" s="61" t="str">
        <f t="shared" si="72"/>
        <v>All Fe2+</v>
      </c>
      <c r="BM31" s="61"/>
      <c r="BN31" s="63">
        <f t="shared" si="73"/>
        <v>1.705072340704584</v>
      </c>
      <c r="BO31" s="63">
        <f t="shared" si="74"/>
        <v>-1.131616654036549</v>
      </c>
      <c r="BP31" s="63">
        <f t="shared" si="75"/>
        <v>-0.18605365578950084</v>
      </c>
      <c r="BQ31" s="63">
        <f t="shared" si="76"/>
        <v>1.7050723407045796</v>
      </c>
      <c r="BR31" s="63">
        <f>((U31+V31)-(W31+X31+Y31)-((Z31+AA31+AB31)*3))*100/16</f>
        <v>-4.913868647024716</v>
      </c>
      <c r="BS31" s="62"/>
      <c r="BT31" s="63">
        <f t="shared" si="111"/>
        <v>0.680805358737872</v>
      </c>
      <c r="BU31" s="63">
        <f t="shared" si="112"/>
        <v>1.663676623578876</v>
      </c>
      <c r="BV31" s="63"/>
      <c r="BW31" s="63">
        <f t="shared" si="77"/>
        <v>73.87947473360134</v>
      </c>
      <c r="BX31" s="63">
        <f t="shared" si="78"/>
        <v>24.411903188562224</v>
      </c>
      <c r="BY31" s="63">
        <f t="shared" si="79"/>
        <v>1.7086220778364287</v>
      </c>
      <c r="BZ31" s="62"/>
      <c r="CA31" s="63">
        <f t="shared" si="80"/>
        <v>73.72598689205645</v>
      </c>
      <c r="CB31" s="63">
        <f t="shared" si="81"/>
        <v>24.36118639148258</v>
      </c>
      <c r="CC31" s="63">
        <f t="shared" si="82"/>
        <v>0.2077543757563813</v>
      </c>
      <c r="CD31" s="63">
        <f t="shared" si="83"/>
        <v>1.7050723407045796</v>
      </c>
      <c r="CE31" s="63">
        <f>((U31+V31)-(W31+X31+Y31)-((Z31+AA31+AB31)*3))*100/16</f>
        <v>-4.913868647024716</v>
      </c>
      <c r="CF31" s="63"/>
      <c r="CG31" s="63">
        <f t="shared" si="113"/>
        <v>73.87947473360136</v>
      </c>
      <c r="CH31" s="63">
        <f t="shared" si="114"/>
        <v>24.41190318856223</v>
      </c>
      <c r="CI31" s="63">
        <f t="shared" si="115"/>
        <v>1.7086220778364247</v>
      </c>
      <c r="CJ31" s="61"/>
      <c r="CK31" s="63">
        <f t="shared" si="116"/>
        <v>79.12780080053474</v>
      </c>
      <c r="CL31" s="63">
        <f t="shared" si="117"/>
        <v>26.14610106029824</v>
      </c>
      <c r="CM31" s="63">
        <f t="shared" si="118"/>
        <v>-5.2739018608329875</v>
      </c>
      <c r="CN31" s="63"/>
      <c r="CO31" s="65">
        <f t="shared" si="119"/>
        <v>75.16373897220782</v>
      </c>
      <c r="CP31" s="65">
        <f t="shared" si="61"/>
        <v>24.836261027792176</v>
      </c>
      <c r="CQ31" s="31"/>
      <c r="CR31" s="2" t="str">
        <f t="shared" si="84"/>
        <v>All Fe2+</v>
      </c>
    </row>
    <row r="32" spans="1:96" s="5" customFormat="1" ht="12.75" customHeight="1">
      <c r="A32" s="14" t="s">
        <v>112</v>
      </c>
      <c r="B32" s="14"/>
      <c r="C32" s="15"/>
      <c r="D32" s="16">
        <v>42.794000000000004</v>
      </c>
      <c r="E32" s="16">
        <v>0.05933333333333333</v>
      </c>
      <c r="F32" s="16">
        <v>30.35966666666667</v>
      </c>
      <c r="G32" s="16">
        <v>3.722266243527644</v>
      </c>
      <c r="H32" s="16"/>
      <c r="I32" s="16"/>
      <c r="J32" s="16"/>
      <c r="K32" s="16">
        <v>0.5946666666666666</v>
      </c>
      <c r="L32" s="16">
        <v>0.03666666666666667</v>
      </c>
      <c r="M32" s="16"/>
      <c r="N32" s="16">
        <v>0.007815553775577078</v>
      </c>
      <c r="O32" s="16">
        <v>15.502333333333333</v>
      </c>
      <c r="P32" s="16">
        <v>7.785</v>
      </c>
      <c r="Q32" s="16">
        <f t="shared" si="86"/>
        <v>100.86174846396989</v>
      </c>
      <c r="R32" s="46"/>
      <c r="S32" s="50">
        <f t="shared" si="87"/>
        <v>11.690020967214359</v>
      </c>
      <c r="T32" s="46"/>
      <c r="U32" s="50">
        <f t="shared" si="88"/>
        <v>8.326014570711006</v>
      </c>
      <c r="V32" s="50">
        <f t="shared" si="89"/>
        <v>0.008683254013848297</v>
      </c>
      <c r="W32" s="50">
        <f t="shared" si="90"/>
        <v>6.9615656114814595</v>
      </c>
      <c r="X32" s="50">
        <f t="shared" si="91"/>
        <v>0.5449655078005361</v>
      </c>
      <c r="Y32" s="50">
        <f t="shared" si="92"/>
        <v>0</v>
      </c>
      <c r="Z32" s="50">
        <f t="shared" si="93"/>
        <v>0</v>
      </c>
      <c r="AA32" s="50">
        <f t="shared" si="94"/>
        <v>0.1724765116446298</v>
      </c>
      <c r="AB32" s="50">
        <f t="shared" si="95"/>
        <v>0</v>
      </c>
      <c r="AC32" s="50">
        <f t="shared" si="96"/>
        <v>0.007643615826182976</v>
      </c>
      <c r="AD32" s="50">
        <f t="shared" si="97"/>
        <v>0</v>
      </c>
      <c r="AE32" s="50">
        <f t="shared" si="98"/>
        <v>0.0005958261869498329</v>
      </c>
      <c r="AF32" s="50">
        <f t="shared" si="99"/>
        <v>5.847876769348193</v>
      </c>
      <c r="AG32" s="50">
        <f t="shared" si="100"/>
        <v>1.9323066665908761</v>
      </c>
      <c r="AH32" s="50"/>
      <c r="AI32" s="50">
        <f>(U32+V32)/(W32+X32+Y32)</f>
        <v>1.1103261536231495</v>
      </c>
      <c r="AJ32" s="50">
        <f t="shared" si="102"/>
        <v>23.80212833360368</v>
      </c>
      <c r="AK32" s="50">
        <f>SUM(U32:Y32)</f>
        <v>15.841228944006849</v>
      </c>
      <c r="AL32" s="50">
        <f t="shared" si="104"/>
        <v>7.788422877952201</v>
      </c>
      <c r="AM32" s="50">
        <f t="shared" si="105"/>
        <v>7.796662319965335</v>
      </c>
      <c r="AN32" s="50">
        <f>(W32+X32+Y32)-AM32</f>
        <v>-0.290131200683339</v>
      </c>
      <c r="AO32" s="50">
        <f t="shared" si="62"/>
        <v>-0.5598489075166313</v>
      </c>
      <c r="AP32" s="50">
        <f t="shared" si="107"/>
        <v>0.5182312527326315</v>
      </c>
      <c r="AQ32" s="46"/>
      <c r="AR32" s="50">
        <f>((U32+V32)*4+(W32+X32+Y32)*3)</f>
        <v>55.8583846567454</v>
      </c>
      <c r="AS32" s="50">
        <f>AR32/(U32+V32+W32+X32+Y32)</f>
        <v>3.526139597766377</v>
      </c>
      <c r="AT32" s="50">
        <f t="shared" si="108"/>
        <v>56.41823356426203</v>
      </c>
      <c r="AU32" s="51">
        <f t="shared" si="109"/>
        <v>-0.5598489075166313</v>
      </c>
      <c r="AV32" s="51"/>
      <c r="AW32" s="50" t="s">
        <v>112</v>
      </c>
      <c r="AX32" s="50"/>
      <c r="AY32" s="50">
        <f>(U32+V32)-AC32*2-AD32*2-AE32*2-AF32-AG32</f>
        <v>0.5380355047595204</v>
      </c>
      <c r="AZ32" s="53">
        <f t="shared" si="110"/>
        <v>3.3627219047470027</v>
      </c>
      <c r="BA32" s="50">
        <f t="shared" si="63"/>
        <v>0.0719775353444777</v>
      </c>
      <c r="BB32" s="53">
        <f t="shared" si="64"/>
        <v>-1.3599921281908516</v>
      </c>
      <c r="BC32" s="37"/>
      <c r="BD32" s="53">
        <f t="shared" si="65"/>
        <v>73.0984596168524</v>
      </c>
      <c r="BE32" s="53">
        <f t="shared" si="66"/>
        <v>66.2863907693457</v>
      </c>
      <c r="BF32" s="53">
        <f t="shared" si="67"/>
        <v>6.812068847506701</v>
      </c>
      <c r="BG32" s="53">
        <f t="shared" si="68"/>
        <v>24.153833332385954</v>
      </c>
      <c r="BH32" s="53">
        <f t="shared" si="69"/>
        <v>19.84192054127021</v>
      </c>
      <c r="BI32" s="53">
        <f t="shared" si="70"/>
        <v>0.2059860503283202</v>
      </c>
      <c r="BJ32" s="53">
        <f t="shared" si="71"/>
        <v>4.311912791115744</v>
      </c>
      <c r="BK32" s="53"/>
      <c r="BL32" s="46" t="str">
        <f t="shared" si="72"/>
        <v>Old</v>
      </c>
      <c r="BM32" s="46"/>
      <c r="BN32" s="53">
        <f t="shared" si="73"/>
        <v>2.5417210004333257</v>
      </c>
      <c r="BO32" s="53">
        <f t="shared" si="74"/>
        <v>3.3627219047470027</v>
      </c>
      <c r="BP32" s="53">
        <f t="shared" si="75"/>
        <v>2.3704028047898458</v>
      </c>
      <c r="BQ32" s="53">
        <f t="shared" si="76"/>
        <v>2.541721000433321</v>
      </c>
      <c r="BR32" s="53">
        <f>((U32+V32)-(W32+X32+Y32))*100/16</f>
        <v>5.176041909017864</v>
      </c>
      <c r="BS32" s="50"/>
      <c r="BT32" s="53">
        <f t="shared" si="111"/>
        <v>-0.1970402170352825</v>
      </c>
      <c r="BU32" s="53">
        <f t="shared" si="112"/>
        <v>-0.32300984418577355</v>
      </c>
      <c r="BV32" s="53"/>
      <c r="BW32" s="53">
        <f t="shared" si="77"/>
        <v>73.24934304548323</v>
      </c>
      <c r="BX32" s="53">
        <f t="shared" si="78"/>
        <v>24.203689556537192</v>
      </c>
      <c r="BY32" s="53">
        <f t="shared" si="79"/>
        <v>2.5469673979795737</v>
      </c>
      <c r="BZ32" s="50"/>
      <c r="CA32" s="53">
        <f t="shared" si="80"/>
        <v>73.09845961685241</v>
      </c>
      <c r="CB32" s="53">
        <f t="shared" si="81"/>
        <v>24.15383333238595</v>
      </c>
      <c r="CC32" s="53">
        <f t="shared" si="82"/>
        <v>0.2059860503283202</v>
      </c>
      <c r="CD32" s="53">
        <f t="shared" si="83"/>
        <v>2.541721000433321</v>
      </c>
      <c r="CE32" s="53">
        <f>((U32+V32)-(W32+X32+Y32))*100/16</f>
        <v>5.176041909017864</v>
      </c>
      <c r="CF32" s="53"/>
      <c r="CG32" s="53">
        <f t="shared" si="113"/>
        <v>73.24934304548324</v>
      </c>
      <c r="CH32" s="53">
        <f t="shared" si="114"/>
        <v>24.203689556537192</v>
      </c>
      <c r="CI32" s="53">
        <f t="shared" si="115"/>
        <v>2.546967397979569</v>
      </c>
      <c r="CJ32" s="46"/>
      <c r="CK32" s="53">
        <f t="shared" si="116"/>
        <v>71.36546710244633</v>
      </c>
      <c r="CL32" s="53">
        <f t="shared" si="117"/>
        <v>23.581202765632028</v>
      </c>
      <c r="CM32" s="53">
        <f t="shared" si="118"/>
        <v>5.053330131921646</v>
      </c>
      <c r="CN32" s="53"/>
      <c r="CO32" s="54">
        <f t="shared" si="119"/>
        <v>75.16373897220785</v>
      </c>
      <c r="CP32" s="54">
        <f t="shared" si="61"/>
        <v>24.836261027792148</v>
      </c>
      <c r="CQ32" s="31"/>
      <c r="CR32" s="2" t="str">
        <f t="shared" si="84"/>
        <v>Old</v>
      </c>
    </row>
    <row r="33" spans="1:96" s="5" customFormat="1" ht="12.75" customHeight="1">
      <c r="A33" s="12" t="s">
        <v>88</v>
      </c>
      <c r="B33" s="12" t="s">
        <v>109</v>
      </c>
      <c r="C33" s="13"/>
      <c r="D33" s="11">
        <v>40.5003588639393</v>
      </c>
      <c r="E33" s="11">
        <v>0.020506510817184458</v>
      </c>
      <c r="F33" s="11">
        <v>31.087870398851635</v>
      </c>
      <c r="G33" s="11">
        <v>1.9029497007691794</v>
      </c>
      <c r="H33" s="11">
        <v>0.03</v>
      </c>
      <c r="I33" s="84"/>
      <c r="J33" s="11">
        <v>0.020506510817184458</v>
      </c>
      <c r="K33" s="11">
        <v>0.29734440684917457</v>
      </c>
      <c r="L33" s="11">
        <v>3.77319799036194</v>
      </c>
      <c r="M33" s="11"/>
      <c r="N33" s="11"/>
      <c r="O33" s="11">
        <v>11.022249564236645</v>
      </c>
      <c r="P33" s="11">
        <v>8.807546395980724</v>
      </c>
      <c r="Q33" s="11">
        <f t="shared" si="86"/>
        <v>97.46253034262297</v>
      </c>
      <c r="R33" s="56"/>
      <c r="S33" s="57">
        <f t="shared" si="87"/>
        <v>12.093897161038631</v>
      </c>
      <c r="T33" s="56"/>
      <c r="U33" s="57">
        <f t="shared" si="88"/>
        <v>8.151999358994633</v>
      </c>
      <c r="V33" s="57">
        <f t="shared" si="89"/>
        <v>0.003104749106831288</v>
      </c>
      <c r="W33" s="57">
        <f t="shared" si="90"/>
        <v>7.374827656363909</v>
      </c>
      <c r="X33" s="57">
        <f t="shared" si="91"/>
        <v>0.2882304581404939</v>
      </c>
      <c r="Y33" s="57">
        <f t="shared" si="92"/>
        <v>0.004774252279193348</v>
      </c>
      <c r="Z33" s="57">
        <f t="shared" si="93"/>
        <v>0</v>
      </c>
      <c r="AA33" s="57">
        <f t="shared" si="94"/>
        <v>0.08922100676948141</v>
      </c>
      <c r="AB33" s="57">
        <f t="shared" si="95"/>
        <v>0.003496111097942613</v>
      </c>
      <c r="AC33" s="57">
        <f t="shared" si="96"/>
        <v>0.8137443687416845</v>
      </c>
      <c r="AD33" s="57">
        <f t="shared" si="97"/>
        <v>0</v>
      </c>
      <c r="AE33" s="57">
        <f t="shared" si="98"/>
        <v>0</v>
      </c>
      <c r="AF33" s="57">
        <f t="shared" si="99"/>
        <v>4.301524121360607</v>
      </c>
      <c r="AG33" s="57">
        <f t="shared" si="100"/>
        <v>2.261639372664522</v>
      </c>
      <c r="AH33" s="57"/>
      <c r="AI33" s="57">
        <f t="shared" si="101"/>
        <v>1.0266284589967356</v>
      </c>
      <c r="AJ33" s="57">
        <f t="shared" si="102"/>
        <v>23.292561455519298</v>
      </c>
      <c r="AK33" s="57">
        <f t="shared" si="103"/>
        <v>15.915653592752484</v>
      </c>
      <c r="AL33" s="57">
        <f t="shared" si="104"/>
        <v>7.376907862766814</v>
      </c>
      <c r="AM33" s="57">
        <f t="shared" si="105"/>
        <v>8.190652231508498</v>
      </c>
      <c r="AN33" s="57">
        <f t="shared" si="106"/>
        <v>-0.3373856289900532</v>
      </c>
      <c r="AO33" s="57">
        <f t="shared" si="62"/>
        <v>-0.2957665513179393</v>
      </c>
      <c r="AP33" s="57">
        <f t="shared" si="107"/>
        <v>1.1407159717238438</v>
      </c>
      <c r="AQ33" s="56"/>
      <c r="AR33" s="57">
        <f>((U33+V33)*4+(W33+X33+Y33)*3+(Z33+AA33+AB33)*2)</f>
        <v>55.80934776849149</v>
      </c>
      <c r="AS33" s="57">
        <f>AR33/(U33+V33+W33+X33+Y33+Z33+AA33+AB33)</f>
        <v>3.5065696449880894</v>
      </c>
      <c r="AT33" s="57">
        <f t="shared" si="108"/>
        <v>56.10511431980943</v>
      </c>
      <c r="AU33" s="59">
        <f t="shared" si="109"/>
        <v>-0.2957665513179393</v>
      </c>
      <c r="AV33" s="59"/>
      <c r="AW33" s="57" t="s">
        <v>88</v>
      </c>
      <c r="AX33" s="57"/>
      <c r="AY33" s="57">
        <f>(U33+V33)-AC33*2-AD33*2-AE33*2-AF33-AG33-(Z33+AA33+AB33)</f>
        <v>-0.12826524127445654</v>
      </c>
      <c r="AZ33" s="58">
        <f t="shared" si="110"/>
        <v>-0.8016577579653534</v>
      </c>
      <c r="BA33" s="57">
        <f t="shared" si="63"/>
        <v>-0.4436914532510358</v>
      </c>
      <c r="BB33" s="58">
        <f t="shared" si="64"/>
        <v>-1.581497606980885</v>
      </c>
      <c r="BC33" s="37"/>
      <c r="BD33" s="58">
        <f t="shared" si="65"/>
        <v>53.769051517007576</v>
      </c>
      <c r="BE33" s="58">
        <f t="shared" si="66"/>
        <v>50.10649263676149</v>
      </c>
      <c r="BF33" s="58">
        <f t="shared" si="67"/>
        <v>3.6625588802460904</v>
      </c>
      <c r="BG33" s="58">
        <f t="shared" si="68"/>
        <v>28.270492158306524</v>
      </c>
      <c r="BH33" s="58">
        <f t="shared" si="69"/>
        <v>25.952564211620924</v>
      </c>
      <c r="BI33" s="58">
        <f t="shared" si="70"/>
        <v>20.343609218542113</v>
      </c>
      <c r="BJ33" s="58">
        <f t="shared" si="71"/>
        <v>2.3179279466856006</v>
      </c>
      <c r="BK33" s="58"/>
      <c r="BL33" s="56" t="str">
        <f t="shared" si="72"/>
        <v>Baudouin &amp; Parat (2020)</v>
      </c>
      <c r="BM33" s="56"/>
      <c r="BN33" s="58">
        <f t="shared" si="73"/>
        <v>-2.3831528938562183</v>
      </c>
      <c r="BO33" s="58">
        <f t="shared" si="74"/>
        <v>-0.8016577579653534</v>
      </c>
      <c r="BP33" s="58">
        <f t="shared" si="75"/>
        <v>-1.3288228032622806</v>
      </c>
      <c r="BQ33" s="58">
        <f t="shared" si="76"/>
        <v>-2.383152893856222</v>
      </c>
      <c r="BR33" s="58">
        <f>((U33+V33)-(W33+X33+Y33)-((Z33+AA33+AB33)*3))*100/16</f>
        <v>1.3070024232224815</v>
      </c>
      <c r="BS33" s="57"/>
      <c r="BT33" s="58">
        <f t="shared" si="111"/>
        <v>-0.3795588326138076</v>
      </c>
      <c r="BU33" s="58">
        <f t="shared" si="112"/>
        <v>0.6636146341965589</v>
      </c>
      <c r="BV33" s="58"/>
      <c r="BW33" s="58">
        <f t="shared" si="77"/>
        <v>67.50124000034877</v>
      </c>
      <c r="BX33" s="58">
        <f t="shared" si="78"/>
        <v>35.49055120494767</v>
      </c>
      <c r="BY33" s="58">
        <f t="shared" si="79"/>
        <v>-2.991791205296437</v>
      </c>
      <c r="BZ33" s="57"/>
      <c r="CA33" s="58">
        <f t="shared" si="80"/>
        <v>53.76905151700758</v>
      </c>
      <c r="CB33" s="58">
        <f t="shared" si="81"/>
        <v>28.270492158306524</v>
      </c>
      <c r="CC33" s="58">
        <f t="shared" si="82"/>
        <v>20.343609218542113</v>
      </c>
      <c r="CD33" s="58">
        <f t="shared" si="83"/>
        <v>-2.383152893856222</v>
      </c>
      <c r="CE33" s="58">
        <f>((U33+V33)-(W33+X33+Y33)-((Z33+AA33+AB33)*3))*100/16</f>
        <v>1.3070024232224815</v>
      </c>
      <c r="CF33" s="58"/>
      <c r="CG33" s="58">
        <f t="shared" si="113"/>
        <v>67.50124000034877</v>
      </c>
      <c r="CH33" s="58">
        <f t="shared" si="114"/>
        <v>35.490551204947664</v>
      </c>
      <c r="CI33" s="58">
        <f t="shared" si="115"/>
        <v>-2.991791205296441</v>
      </c>
      <c r="CJ33" s="56"/>
      <c r="CK33" s="58">
        <f t="shared" si="116"/>
        <v>64.51263313711769</v>
      </c>
      <c r="CL33" s="58">
        <f t="shared" si="117"/>
        <v>33.91921259086572</v>
      </c>
      <c r="CM33" s="58">
        <f t="shared" si="118"/>
        <v>1.5681542720165942</v>
      </c>
      <c r="CN33" s="58"/>
      <c r="CO33" s="60">
        <f t="shared" si="119"/>
        <v>65.5404078425985</v>
      </c>
      <c r="CP33" s="60">
        <f t="shared" si="61"/>
        <v>34.4595921574015</v>
      </c>
      <c r="CQ33" s="31"/>
      <c r="CR33" s="2" t="str">
        <f t="shared" si="84"/>
        <v>Baudouin &amp; Parat (2020)</v>
      </c>
    </row>
    <row r="34" spans="1:96" s="5" customFormat="1" ht="12.75" customHeight="1">
      <c r="A34" s="18" t="s">
        <v>111</v>
      </c>
      <c r="B34" s="18"/>
      <c r="C34" s="19"/>
      <c r="D34" s="20">
        <v>40.5003588639393</v>
      </c>
      <c r="E34" s="20">
        <v>0.020506510817184458</v>
      </c>
      <c r="F34" s="20">
        <v>31.087870398851635</v>
      </c>
      <c r="G34" s="20"/>
      <c r="H34" s="20">
        <v>0.03</v>
      </c>
      <c r="I34" s="20">
        <v>1.71</v>
      </c>
      <c r="J34" s="20">
        <v>0.020506510817184458</v>
      </c>
      <c r="K34" s="20">
        <v>0.29734440684917457</v>
      </c>
      <c r="L34" s="20">
        <v>3.77319799036194</v>
      </c>
      <c r="M34" s="20"/>
      <c r="N34" s="20"/>
      <c r="O34" s="20">
        <v>11.022249564236645</v>
      </c>
      <c r="P34" s="20">
        <v>8.807546395980724</v>
      </c>
      <c r="Q34" s="20">
        <f t="shared" si="86"/>
        <v>97.26958064185378</v>
      </c>
      <c r="R34" s="61"/>
      <c r="S34" s="62">
        <f t="shared" si="87"/>
        <v>12.148756373703714</v>
      </c>
      <c r="T34" s="61"/>
      <c r="U34" s="62">
        <f t="shared" si="88"/>
        <v>8.188977701089474</v>
      </c>
      <c r="V34" s="62">
        <f t="shared" si="89"/>
        <v>0.003118832581269296</v>
      </c>
      <c r="W34" s="62">
        <f t="shared" si="90"/>
        <v>7.408280664387838</v>
      </c>
      <c r="X34" s="62">
        <f t="shared" si="91"/>
        <v>0</v>
      </c>
      <c r="Y34" s="62">
        <f t="shared" si="92"/>
        <v>0.004795908798809275</v>
      </c>
      <c r="Z34" s="62">
        <f t="shared" si="93"/>
        <v>0.2891514266491294</v>
      </c>
      <c r="AA34" s="62">
        <f t="shared" si="94"/>
        <v>0.08962572281091824</v>
      </c>
      <c r="AB34" s="62">
        <f t="shared" si="95"/>
        <v>0.0035119698322834884</v>
      </c>
      <c r="AC34" s="62">
        <f t="shared" si="96"/>
        <v>0.8174356003426633</v>
      </c>
      <c r="AD34" s="62">
        <f t="shared" si="97"/>
        <v>0</v>
      </c>
      <c r="AE34" s="62">
        <f t="shared" si="98"/>
        <v>0</v>
      </c>
      <c r="AF34" s="62">
        <f t="shared" si="99"/>
        <v>4.321036295427865</v>
      </c>
      <c r="AG34" s="62">
        <f t="shared" si="100"/>
        <v>2.271898411059228</v>
      </c>
      <c r="AH34" s="62"/>
      <c r="AI34" s="62">
        <f t="shared" si="101"/>
        <v>0.9550179842681303</v>
      </c>
      <c r="AJ34" s="62">
        <f t="shared" si="102"/>
        <v>23.397832532979482</v>
      </c>
      <c r="AK34" s="62">
        <f t="shared" si="103"/>
        <v>15.987462226149722</v>
      </c>
      <c r="AL34" s="62">
        <f t="shared" si="104"/>
        <v>7.410370306829757</v>
      </c>
      <c r="AM34" s="62">
        <f t="shared" si="105"/>
        <v>8.227805907172419</v>
      </c>
      <c r="AN34" s="62">
        <f t="shared" si="106"/>
        <v>-0.050151095401110624</v>
      </c>
      <c r="AO34" s="62">
        <f t="shared" si="62"/>
        <v>-0.043737970841050355</v>
      </c>
      <c r="AP34" s="62">
        <f t="shared" si="107"/>
        <v>1.146626019377223</v>
      </c>
      <c r="AQ34" s="61"/>
      <c r="AR34" s="62">
        <f>((U34+V34)*4+(W34+X34+Y34)*3+(Z34+AA34+AB34)*2)</f>
        <v>55.772194092827576</v>
      </c>
      <c r="AS34" s="62">
        <f>AR34/(U34+V34+W34+X34+Y34+Z34+AA34+AB34)</f>
        <v>3.488495753979289</v>
      </c>
      <c r="AT34" s="62">
        <f t="shared" si="108"/>
        <v>55.815932063668626</v>
      </c>
      <c r="AU34" s="64">
        <f t="shared" si="109"/>
        <v>-0.043737970841050355</v>
      </c>
      <c r="AV34" s="64"/>
      <c r="AW34" s="62" t="s">
        <v>111</v>
      </c>
      <c r="AX34" s="62"/>
      <c r="AY34" s="62">
        <f>(U34+V34)-AC34*2-AD34*2-AE34*2-AF34-AG34-(Z34+AA34+AB34)</f>
        <v>-0.417998492794008</v>
      </c>
      <c r="AZ34" s="63">
        <f t="shared" si="110"/>
        <v>-2.61249057996255</v>
      </c>
      <c r="BA34" s="62">
        <f t="shared" si="63"/>
        <v>-0.26541922872325074</v>
      </c>
      <c r="BB34" s="63">
        <f t="shared" si="64"/>
        <v>-0.23508362701087324</v>
      </c>
      <c r="BC34" s="37"/>
      <c r="BD34" s="63">
        <f t="shared" si="65"/>
        <v>54.012953692848306</v>
      </c>
      <c r="BE34" s="63">
        <f t="shared" si="66"/>
        <v>53.9530048328632</v>
      </c>
      <c r="BF34" s="63">
        <f t="shared" si="67"/>
        <v>0.05994885998511593</v>
      </c>
      <c r="BG34" s="63">
        <f t="shared" si="68"/>
        <v>28.398730138240353</v>
      </c>
      <c r="BH34" s="63">
        <f t="shared" si="69"/>
        <v>18.841502155932073</v>
      </c>
      <c r="BI34" s="63">
        <f t="shared" si="70"/>
        <v>20.43589000856658</v>
      </c>
      <c r="BJ34" s="63">
        <f t="shared" si="71"/>
        <v>9.557227982308277</v>
      </c>
      <c r="BK34" s="63"/>
      <c r="BL34" s="61" t="str">
        <f t="shared" si="72"/>
        <v>All Fe2+</v>
      </c>
      <c r="BM34" s="61"/>
      <c r="BN34" s="63">
        <f t="shared" si="73"/>
        <v>-2.847573839655245</v>
      </c>
      <c r="BO34" s="63">
        <f t="shared" si="74"/>
        <v>-2.61249057996255</v>
      </c>
      <c r="BP34" s="63">
        <f t="shared" si="75"/>
        <v>-2.6908516665268167</v>
      </c>
      <c r="BQ34" s="63">
        <f t="shared" si="76"/>
        <v>-2.847573839655243</v>
      </c>
      <c r="BR34" s="63">
        <f>((U34+V34)-(W34+X34+Y34)-((Z34+AA34+AB34)*3))*100/16</f>
        <v>-2.2990462337056092</v>
      </c>
      <c r="BS34" s="62"/>
      <c r="BT34" s="63">
        <f t="shared" si="111"/>
        <v>-0.05641998232624676</v>
      </c>
      <c r="BU34" s="63">
        <f t="shared" si="112"/>
        <v>0.08255563259464285</v>
      </c>
      <c r="BV34" s="63"/>
      <c r="BW34" s="63">
        <f t="shared" si="77"/>
        <v>67.88607790455248</v>
      </c>
      <c r="BX34" s="63">
        <f t="shared" si="78"/>
        <v>35.69288984857371</v>
      </c>
      <c r="BY34" s="63">
        <f t="shared" si="79"/>
        <v>-3.578967753126178</v>
      </c>
      <c r="BZ34" s="62"/>
      <c r="CA34" s="63">
        <f t="shared" si="80"/>
        <v>54.012953692848306</v>
      </c>
      <c r="CB34" s="63">
        <f t="shared" si="81"/>
        <v>28.398730138240353</v>
      </c>
      <c r="CC34" s="63">
        <f t="shared" si="82"/>
        <v>20.43589000856658</v>
      </c>
      <c r="CD34" s="63">
        <f t="shared" si="83"/>
        <v>-2.847573839655243</v>
      </c>
      <c r="CE34" s="63">
        <f>((U34+V34)-(W34+X34+Y34)-((Z34+AA34+AB34)*3))*100/16</f>
        <v>-2.2990462337056092</v>
      </c>
      <c r="CF34" s="63"/>
      <c r="CG34" s="63">
        <f t="shared" si="113"/>
        <v>67.88607790455248</v>
      </c>
      <c r="CH34" s="63">
        <f t="shared" si="114"/>
        <v>35.69288984857371</v>
      </c>
      <c r="CI34" s="63">
        <f t="shared" si="115"/>
        <v>-3.578967753126175</v>
      </c>
      <c r="CJ34" s="61"/>
      <c r="CK34" s="63">
        <f t="shared" si="116"/>
        <v>67.42126499978411</v>
      </c>
      <c r="CL34" s="63">
        <f t="shared" si="117"/>
        <v>35.448502246252374</v>
      </c>
      <c r="CM34" s="63">
        <f t="shared" si="118"/>
        <v>-2.8697672460364854</v>
      </c>
      <c r="CN34" s="63"/>
      <c r="CO34" s="65">
        <f t="shared" si="119"/>
        <v>65.5404078425985</v>
      </c>
      <c r="CP34" s="65">
        <f t="shared" si="61"/>
        <v>34.4595921574015</v>
      </c>
      <c r="CQ34" s="31"/>
      <c r="CR34" s="2" t="str">
        <f t="shared" si="84"/>
        <v>All Fe2+</v>
      </c>
    </row>
    <row r="35" spans="1:96" s="5" customFormat="1" ht="12.75" customHeight="1">
      <c r="A35" s="14" t="s">
        <v>112</v>
      </c>
      <c r="B35" s="14"/>
      <c r="C35" s="15"/>
      <c r="D35" s="16">
        <v>40.5003588639393</v>
      </c>
      <c r="E35" s="16">
        <v>0.020506510817184458</v>
      </c>
      <c r="F35" s="16">
        <v>31.087870398851635</v>
      </c>
      <c r="G35" s="16">
        <v>1.9029497007691794</v>
      </c>
      <c r="H35" s="16">
        <v>0.03</v>
      </c>
      <c r="I35" s="16"/>
      <c r="J35" s="16">
        <v>0.020506510817184458</v>
      </c>
      <c r="K35" s="16">
        <v>0.29734440684917457</v>
      </c>
      <c r="L35" s="16">
        <v>3.77319799036194</v>
      </c>
      <c r="M35" s="16"/>
      <c r="N35" s="16"/>
      <c r="O35" s="16">
        <v>11.022249564236645</v>
      </c>
      <c r="P35" s="16">
        <v>8.807546395980724</v>
      </c>
      <c r="Q35" s="16">
        <f t="shared" si="86"/>
        <v>97.46253034262297</v>
      </c>
      <c r="R35" s="46"/>
      <c r="S35" s="50">
        <f t="shared" si="87"/>
        <v>12.093897161038631</v>
      </c>
      <c r="T35" s="46"/>
      <c r="U35" s="50">
        <f t="shared" si="88"/>
        <v>8.151999358994633</v>
      </c>
      <c r="V35" s="50">
        <f t="shared" si="89"/>
        <v>0.003104749106831288</v>
      </c>
      <c r="W35" s="50">
        <f t="shared" si="90"/>
        <v>7.374827656363909</v>
      </c>
      <c r="X35" s="50">
        <f t="shared" si="91"/>
        <v>0.2882304581404939</v>
      </c>
      <c r="Y35" s="50">
        <f t="shared" si="92"/>
        <v>0.004774252279193348</v>
      </c>
      <c r="Z35" s="50">
        <f t="shared" si="93"/>
        <v>0</v>
      </c>
      <c r="AA35" s="50">
        <f t="shared" si="94"/>
        <v>0.08922100676948141</v>
      </c>
      <c r="AB35" s="50">
        <f t="shared" si="95"/>
        <v>0.003496111097942613</v>
      </c>
      <c r="AC35" s="50">
        <f t="shared" si="96"/>
        <v>0.8137443687416845</v>
      </c>
      <c r="AD35" s="50">
        <f t="shared" si="97"/>
        <v>0</v>
      </c>
      <c r="AE35" s="50">
        <f t="shared" si="98"/>
        <v>0</v>
      </c>
      <c r="AF35" s="50">
        <f t="shared" si="99"/>
        <v>4.301524121360607</v>
      </c>
      <c r="AG35" s="50">
        <f t="shared" si="100"/>
        <v>2.261639372664522</v>
      </c>
      <c r="AH35" s="50"/>
      <c r="AI35" s="50">
        <f>(U35+V35)/(W35+X35+Y35)</f>
        <v>1.0635475213867076</v>
      </c>
      <c r="AJ35" s="50">
        <f t="shared" si="102"/>
        <v>23.292561455519298</v>
      </c>
      <c r="AK35" s="50">
        <f>SUM(U35:Y35)</f>
        <v>15.82293647488506</v>
      </c>
      <c r="AL35" s="50">
        <f t="shared" si="104"/>
        <v>7.376907862766814</v>
      </c>
      <c r="AM35" s="50">
        <f t="shared" si="105"/>
        <v>8.190652231508498</v>
      </c>
      <c r="AN35" s="50">
        <f>(W35+X35+Y35)-AM35</f>
        <v>-0.5228198647249016</v>
      </c>
      <c r="AO35" s="50">
        <f t="shared" si="62"/>
        <v>-0.6224486982192801</v>
      </c>
      <c r="AP35" s="50">
        <f t="shared" si="107"/>
        <v>0.8399404902293159</v>
      </c>
      <c r="AQ35" s="46"/>
      <c r="AR35" s="50">
        <f>((U35+V35)*4+(W35+X35+Y35)*3)</f>
        <v>55.623913532756646</v>
      </c>
      <c r="AS35" s="50">
        <f>AR35/(U35+V35+W35+X35+Y35)</f>
        <v>3.5153976394359954</v>
      </c>
      <c r="AT35" s="50">
        <f t="shared" si="108"/>
        <v>56.246362230975926</v>
      </c>
      <c r="AU35" s="51">
        <f t="shared" si="109"/>
        <v>-0.6224486982192801</v>
      </c>
      <c r="AV35" s="51"/>
      <c r="AW35" s="50" t="s">
        <v>112</v>
      </c>
      <c r="AX35" s="50"/>
      <c r="AY35" s="50">
        <f>(U35+V35)-AC35*2-AD35*2-AE35*2-AF35-AG35</f>
        <v>-0.035548123407032506</v>
      </c>
      <c r="AZ35" s="53">
        <f t="shared" si="110"/>
        <v>-0.22217577129395316</v>
      </c>
      <c r="BA35" s="50">
        <f t="shared" si="63"/>
        <v>-0.5364085711184599</v>
      </c>
      <c r="BB35" s="53">
        <f t="shared" si="64"/>
        <v>-2.4507219451510154</v>
      </c>
      <c r="BC35" s="37"/>
      <c r="BD35" s="53">
        <f t="shared" si="65"/>
        <v>53.769051517007576</v>
      </c>
      <c r="BE35" s="53">
        <f t="shared" si="66"/>
        <v>50.10649263676149</v>
      </c>
      <c r="BF35" s="53">
        <f t="shared" si="67"/>
        <v>3.6625588802460904</v>
      </c>
      <c r="BG35" s="53">
        <f t="shared" si="68"/>
        <v>28.270492158306524</v>
      </c>
      <c r="BH35" s="53">
        <f t="shared" si="69"/>
        <v>25.952564211620924</v>
      </c>
      <c r="BI35" s="53">
        <f t="shared" si="70"/>
        <v>20.343609218542113</v>
      </c>
      <c r="BJ35" s="53">
        <f t="shared" si="71"/>
        <v>2.3179279466856006</v>
      </c>
      <c r="BK35" s="53"/>
      <c r="BL35" s="46" t="str">
        <f t="shared" si="72"/>
        <v>Old</v>
      </c>
      <c r="BM35" s="46"/>
      <c r="BN35" s="53">
        <f t="shared" si="73"/>
        <v>-2.3831528938562183</v>
      </c>
      <c r="BO35" s="53">
        <f t="shared" si="74"/>
        <v>-0.22217577129395316</v>
      </c>
      <c r="BP35" s="53">
        <f t="shared" si="75"/>
        <v>-1.3288228032622806</v>
      </c>
      <c r="BQ35" s="53">
        <f t="shared" si="76"/>
        <v>-2.383152893856222</v>
      </c>
      <c r="BR35" s="53">
        <f>((U35+V35)-(W35+X35+Y35))*100/16</f>
        <v>3.045448383236682</v>
      </c>
      <c r="BS35" s="50"/>
      <c r="BT35" s="53">
        <f t="shared" si="111"/>
        <v>-0.5186345094149436</v>
      </c>
      <c r="BU35" s="53">
        <f t="shared" si="112"/>
        <v>0.9067723384988334</v>
      </c>
      <c r="BV35" s="53"/>
      <c r="BW35" s="53">
        <f t="shared" si="77"/>
        <v>67.50124000034877</v>
      </c>
      <c r="BX35" s="53">
        <f t="shared" si="78"/>
        <v>35.49055120494767</v>
      </c>
      <c r="BY35" s="53">
        <f t="shared" si="79"/>
        <v>-2.991791205296437</v>
      </c>
      <c r="BZ35" s="50"/>
      <c r="CA35" s="53">
        <f t="shared" si="80"/>
        <v>53.76905151700758</v>
      </c>
      <c r="CB35" s="53">
        <f t="shared" si="81"/>
        <v>28.270492158306524</v>
      </c>
      <c r="CC35" s="53">
        <f t="shared" si="82"/>
        <v>20.343609218542113</v>
      </c>
      <c r="CD35" s="53">
        <f t="shared" si="83"/>
        <v>-2.383152893856222</v>
      </c>
      <c r="CE35" s="53">
        <f>((U35+V35)-(W35+X35+Y35))*100/16</f>
        <v>3.045448383236682</v>
      </c>
      <c r="CF35" s="53"/>
      <c r="CG35" s="53">
        <f t="shared" si="113"/>
        <v>67.50124000034877</v>
      </c>
      <c r="CH35" s="53">
        <f t="shared" si="114"/>
        <v>35.490551204947664</v>
      </c>
      <c r="CI35" s="53">
        <f t="shared" si="115"/>
        <v>-2.991791205296441</v>
      </c>
      <c r="CJ35" s="46"/>
      <c r="CK35" s="53">
        <f t="shared" si="116"/>
        <v>63.19451905220452</v>
      </c>
      <c r="CL35" s="53">
        <f t="shared" si="117"/>
        <v>33.22617946400269</v>
      </c>
      <c r="CM35" s="53">
        <f t="shared" si="118"/>
        <v>3.5793014837927846</v>
      </c>
      <c r="CN35" s="53"/>
      <c r="CO35" s="54">
        <f t="shared" si="119"/>
        <v>65.5404078425985</v>
      </c>
      <c r="CP35" s="54">
        <f t="shared" si="61"/>
        <v>34.4595921574015</v>
      </c>
      <c r="CQ35" s="31"/>
      <c r="CR35" s="2" t="str">
        <f t="shared" si="84"/>
        <v>Old</v>
      </c>
    </row>
    <row r="36" spans="1:96" s="5" customFormat="1" ht="12.75" customHeight="1">
      <c r="A36" s="12" t="s">
        <v>85</v>
      </c>
      <c r="B36" s="12" t="s">
        <v>110</v>
      </c>
      <c r="C36" s="13"/>
      <c r="D36" s="11">
        <v>41.149</v>
      </c>
      <c r="E36" s="11">
        <v>0.033</v>
      </c>
      <c r="F36" s="11">
        <v>31.935</v>
      </c>
      <c r="G36" s="11">
        <v>1.807597</v>
      </c>
      <c r="H36" s="11"/>
      <c r="I36" s="11"/>
      <c r="J36" s="11"/>
      <c r="K36" s="11">
        <v>0.161</v>
      </c>
      <c r="L36" s="11">
        <v>0.067</v>
      </c>
      <c r="M36" s="11"/>
      <c r="N36" s="11"/>
      <c r="O36" s="11">
        <v>14.864</v>
      </c>
      <c r="P36" s="11">
        <v>9.489</v>
      </c>
      <c r="Q36" s="11">
        <f t="shared" si="86"/>
        <v>99.50559700000001</v>
      </c>
      <c r="R36" s="56"/>
      <c r="S36" s="57">
        <f t="shared" si="87"/>
        <v>11.896509270809194</v>
      </c>
      <c r="T36" s="56"/>
      <c r="U36" s="57">
        <f t="shared" si="88"/>
        <v>8.1473772680139</v>
      </c>
      <c r="V36" s="57">
        <f t="shared" si="89"/>
        <v>0.004914755929441897</v>
      </c>
      <c r="W36" s="57">
        <f t="shared" si="90"/>
        <v>7.452141617717538</v>
      </c>
      <c r="X36" s="57">
        <f t="shared" si="91"/>
        <v>0.2693192838270984</v>
      </c>
      <c r="Y36" s="57">
        <f t="shared" si="92"/>
        <v>0</v>
      </c>
      <c r="Z36" s="57">
        <f t="shared" si="93"/>
        <v>0</v>
      </c>
      <c r="AA36" s="57">
        <f t="shared" si="94"/>
        <v>0.04752110141670463</v>
      </c>
      <c r="AB36" s="57">
        <f t="shared" si="95"/>
        <v>0</v>
      </c>
      <c r="AC36" s="57">
        <f t="shared" si="96"/>
        <v>0.014213678257983003</v>
      </c>
      <c r="AD36" s="57">
        <f t="shared" si="97"/>
        <v>0</v>
      </c>
      <c r="AE36" s="57">
        <f t="shared" si="98"/>
        <v>0</v>
      </c>
      <c r="AF36" s="57">
        <f t="shared" si="99"/>
        <v>5.706122557155958</v>
      </c>
      <c r="AG36" s="57">
        <f t="shared" si="100"/>
        <v>2.3968570830873923</v>
      </c>
      <c r="AH36" s="57"/>
      <c r="AI36" s="57">
        <f t="shared" si="101"/>
        <v>1.0368793838240955</v>
      </c>
      <c r="AJ36" s="57">
        <f t="shared" si="102"/>
        <v>24.038467345406016</v>
      </c>
      <c r="AK36" s="57">
        <f t="shared" si="103"/>
        <v>15.921274026904682</v>
      </c>
      <c r="AL36" s="57">
        <f t="shared" si="104"/>
        <v>8.117193318501334</v>
      </c>
      <c r="AM36" s="57">
        <f t="shared" si="105"/>
        <v>8.131406996759317</v>
      </c>
      <c r="AN36" s="57">
        <f t="shared" si="106"/>
        <v>-0.31490389238127214</v>
      </c>
      <c r="AO36" s="57">
        <f t="shared" si="62"/>
        <v>-0.2762536052211573</v>
      </c>
      <c r="AP36" s="57">
        <f t="shared" si="107"/>
        <v>1.1399087158669767</v>
      </c>
      <c r="AQ36" s="56"/>
      <c r="AR36" s="57">
        <f>((U36+V36)*4+(W36+X36+Y36)*3+(Z36+AA36+AB36)*2)</f>
        <v>55.86859300324068</v>
      </c>
      <c r="AS36" s="57">
        <f>AR36/(U36+V36+W36+X36+Y36+Z36+AA36+AB36)</f>
        <v>3.509052913028865</v>
      </c>
      <c r="AT36" s="57">
        <f t="shared" si="108"/>
        <v>56.14484660846184</v>
      </c>
      <c r="AU36" s="59">
        <f t="shared" si="109"/>
        <v>-0.2762536052211573</v>
      </c>
      <c r="AV36" s="59"/>
      <c r="AW36" s="57" t="s">
        <v>85</v>
      </c>
      <c r="AX36" s="57"/>
      <c r="AY36" s="57">
        <f>(U36+V36)-AC36*2-AD36*2-AE36*2-AF36-AG36-(Z36+AA36+AB36)</f>
        <v>-0.026636074232680447</v>
      </c>
      <c r="AZ36" s="58">
        <f t="shared" si="110"/>
        <v>-0.1664754639542528</v>
      </c>
      <c r="BA36" s="57">
        <f t="shared" si="63"/>
        <v>-0.36758491604527105</v>
      </c>
      <c r="BB36" s="58">
        <f t="shared" si="64"/>
        <v>-1.4761143019658098</v>
      </c>
      <c r="BC36" s="37"/>
      <c r="BD36" s="58">
        <f t="shared" si="65"/>
        <v>71.32653196444949</v>
      </c>
      <c r="BE36" s="58">
        <f t="shared" si="66"/>
        <v>67.96004091661077</v>
      </c>
      <c r="BF36" s="58">
        <f t="shared" si="67"/>
        <v>3.36649104783873</v>
      </c>
      <c r="BG36" s="58">
        <f t="shared" si="68"/>
        <v>29.960713538592405</v>
      </c>
      <c r="BH36" s="58">
        <f t="shared" si="69"/>
        <v>28.772686003174783</v>
      </c>
      <c r="BI36" s="58">
        <f t="shared" si="70"/>
        <v>0.35534195644957506</v>
      </c>
      <c r="BJ36" s="58">
        <f t="shared" si="71"/>
        <v>1.1880275354176157</v>
      </c>
      <c r="BK36" s="58"/>
      <c r="BL36" s="56" t="str">
        <f t="shared" si="72"/>
        <v>Lustrino et al. (2020)</v>
      </c>
      <c r="BM36" s="56"/>
      <c r="BN36" s="58">
        <f t="shared" si="73"/>
        <v>-1.6425874594914645</v>
      </c>
      <c r="BO36" s="58">
        <f t="shared" si="74"/>
        <v>-0.1664754639542528</v>
      </c>
      <c r="BP36" s="58">
        <f t="shared" si="75"/>
        <v>-0.6585127957999825</v>
      </c>
      <c r="BQ36" s="58">
        <f t="shared" si="76"/>
        <v>-1.642587459491459</v>
      </c>
      <c r="BR36" s="58">
        <f>((U36+V36)-(W36+X36+Y36)-((Z36+AA36+AB36)*3))*100/16</f>
        <v>1.801673863428694</v>
      </c>
      <c r="BS36" s="57"/>
      <c r="BT36" s="58">
        <f t="shared" si="111"/>
        <v>-0.35426687892893083</v>
      </c>
      <c r="BU36" s="58">
        <f t="shared" si="112"/>
        <v>0.8986504718562793</v>
      </c>
      <c r="BV36" s="58"/>
      <c r="BW36" s="58">
        <f t="shared" si="77"/>
        <v>71.58088889549474</v>
      </c>
      <c r="BX36" s="58">
        <f t="shared" si="78"/>
        <v>30.067556180982482</v>
      </c>
      <c r="BY36" s="58">
        <f t="shared" si="79"/>
        <v>-1.6484450764772154</v>
      </c>
      <c r="BZ36" s="57"/>
      <c r="CA36" s="58">
        <f t="shared" si="80"/>
        <v>71.32653196444949</v>
      </c>
      <c r="CB36" s="58">
        <f t="shared" si="81"/>
        <v>29.960713538592405</v>
      </c>
      <c r="CC36" s="58">
        <f t="shared" si="82"/>
        <v>0.3553419564495751</v>
      </c>
      <c r="CD36" s="58">
        <f t="shared" si="83"/>
        <v>-1.642587459491459</v>
      </c>
      <c r="CE36" s="58">
        <f>((U36+V36)-(W36+X36+Y36)-((Z36+AA36+AB36)*3))*100/16</f>
        <v>1.801673863428694</v>
      </c>
      <c r="CF36" s="58"/>
      <c r="CG36" s="58">
        <f t="shared" si="113"/>
        <v>71.58088889549472</v>
      </c>
      <c r="CH36" s="58">
        <f t="shared" si="114"/>
        <v>30.06755618098248</v>
      </c>
      <c r="CI36" s="58">
        <f t="shared" si="115"/>
        <v>-1.6484450764772096</v>
      </c>
      <c r="CJ36" s="56"/>
      <c r="CK36" s="58">
        <f t="shared" si="116"/>
        <v>69.1893293700082</v>
      </c>
      <c r="CL36" s="58">
        <f t="shared" si="117"/>
        <v>29.062981475327263</v>
      </c>
      <c r="CM36" s="58">
        <f t="shared" si="118"/>
        <v>1.7476891546645548</v>
      </c>
      <c r="CN36" s="58"/>
      <c r="CO36" s="60">
        <f t="shared" si="119"/>
        <v>70.4200529989804</v>
      </c>
      <c r="CP36" s="60">
        <f t="shared" si="61"/>
        <v>29.579947001019605</v>
      </c>
      <c r="CQ36" s="31"/>
      <c r="CR36" s="2" t="str">
        <f t="shared" si="84"/>
        <v>Lustrino et al. (2020)</v>
      </c>
    </row>
    <row r="37" spans="1:96" s="5" customFormat="1" ht="12.75" customHeight="1">
      <c r="A37" s="18" t="s">
        <v>111</v>
      </c>
      <c r="B37" s="18"/>
      <c r="C37" s="19"/>
      <c r="D37" s="20">
        <v>41.149</v>
      </c>
      <c r="E37" s="20">
        <v>0.033</v>
      </c>
      <c r="F37" s="20">
        <v>31.935</v>
      </c>
      <c r="G37" s="20"/>
      <c r="H37" s="20"/>
      <c r="I37" s="20">
        <v>1.6265607846666066</v>
      </c>
      <c r="J37" s="20"/>
      <c r="K37" s="20">
        <v>0.161</v>
      </c>
      <c r="L37" s="20">
        <v>0.067</v>
      </c>
      <c r="M37" s="20"/>
      <c r="N37" s="20"/>
      <c r="O37" s="20">
        <v>14.864</v>
      </c>
      <c r="P37" s="20">
        <v>9.489</v>
      </c>
      <c r="Q37" s="20">
        <f t="shared" si="86"/>
        <v>99.32456078466662</v>
      </c>
      <c r="R37" s="61"/>
      <c r="S37" s="62">
        <f t="shared" si="87"/>
        <v>11.946778088507738</v>
      </c>
      <c r="T37" s="61"/>
      <c r="U37" s="62">
        <f t="shared" si="88"/>
        <v>8.181804091318446</v>
      </c>
      <c r="V37" s="62">
        <f t="shared" si="89"/>
        <v>0.004935523279277548</v>
      </c>
      <c r="W37" s="62">
        <f t="shared" si="90"/>
        <v>7.483630715898966</v>
      </c>
      <c r="X37" s="62">
        <f t="shared" si="91"/>
        <v>0</v>
      </c>
      <c r="Y37" s="62">
        <f t="shared" si="92"/>
        <v>0</v>
      </c>
      <c r="Z37" s="62">
        <f t="shared" si="93"/>
        <v>0.27046962589261714</v>
      </c>
      <c r="AA37" s="62">
        <f t="shared" si="94"/>
        <v>0.04772190230119702</v>
      </c>
      <c r="AB37" s="62">
        <f t="shared" si="95"/>
        <v>0</v>
      </c>
      <c r="AC37" s="62">
        <f t="shared" si="96"/>
        <v>0.014273738296176688</v>
      </c>
      <c r="AD37" s="62">
        <f t="shared" si="97"/>
        <v>0</v>
      </c>
      <c r="AE37" s="62">
        <f t="shared" si="98"/>
        <v>0</v>
      </c>
      <c r="AF37" s="62">
        <f t="shared" si="99"/>
        <v>5.730233834511497</v>
      </c>
      <c r="AG37" s="62">
        <f t="shared" si="100"/>
        <v>2.4069850264207218</v>
      </c>
      <c r="AH37" s="62"/>
      <c r="AI37" s="62">
        <f t="shared" si="101"/>
        <v>0.9690313719982925</v>
      </c>
      <c r="AJ37" s="62">
        <f t="shared" si="102"/>
        <v>24.140054457918897</v>
      </c>
      <c r="AK37" s="62">
        <f t="shared" si="103"/>
        <v>15.9885618586905</v>
      </c>
      <c r="AL37" s="62">
        <f t="shared" si="104"/>
        <v>8.151492599228396</v>
      </c>
      <c r="AM37" s="62">
        <f t="shared" si="105"/>
        <v>8.165766337524573</v>
      </c>
      <c r="AN37" s="62">
        <f t="shared" si="106"/>
        <v>-0.045752565237979326</v>
      </c>
      <c r="AO37" s="62">
        <f t="shared" si="62"/>
        <v>-0.03994354590383864</v>
      </c>
      <c r="AP37" s="62">
        <f t="shared" si="107"/>
        <v>1.1454307373743309</v>
      </c>
      <c r="AQ37" s="61"/>
      <c r="AR37" s="62">
        <f>((U37+V37)*4+(W37+X37+Y37)*3+(Z37+AA37+AB37)*2)</f>
        <v>55.83423366247542</v>
      </c>
      <c r="AS37" s="62">
        <f>AR37/(U37+V37+W37+X37+Y37+Z37+AA37+AB37)</f>
        <v>3.4921360755237036</v>
      </c>
      <c r="AT37" s="62">
        <f t="shared" si="108"/>
        <v>55.87417720837926</v>
      </c>
      <c r="AU37" s="64">
        <f t="shared" si="109"/>
        <v>-0.03994354590383864</v>
      </c>
      <c r="AV37" s="64"/>
      <c r="AW37" s="62" t="s">
        <v>111</v>
      </c>
      <c r="AX37" s="62"/>
      <c r="AY37" s="62">
        <f>(U37+V37)-AC37*2-AD37*2-AE37*2-AF37-AG37-(Z37+AA37+AB37)</f>
        <v>-0.2972182511206629</v>
      </c>
      <c r="AZ37" s="63">
        <f t="shared" si="110"/>
        <v>-1.8576140695041432</v>
      </c>
      <c r="BA37" s="62">
        <f t="shared" si="63"/>
        <v>-0.2000807614530533</v>
      </c>
      <c r="BB37" s="63">
        <f t="shared" si="64"/>
        <v>-0.21446548465534784</v>
      </c>
      <c r="BC37" s="37"/>
      <c r="BD37" s="63">
        <f t="shared" si="65"/>
        <v>71.62792293139371</v>
      </c>
      <c r="BE37" s="63">
        <f t="shared" si="66"/>
        <v>71.62792293139371</v>
      </c>
      <c r="BF37" s="63">
        <f t="shared" si="67"/>
        <v>0</v>
      </c>
      <c r="BG37" s="63">
        <f t="shared" si="68"/>
        <v>30.08731283025902</v>
      </c>
      <c r="BH37" s="63">
        <f t="shared" si="69"/>
        <v>22.13252462541367</v>
      </c>
      <c r="BI37" s="63">
        <f t="shared" si="70"/>
        <v>0.3568434574044172</v>
      </c>
      <c r="BJ37" s="63">
        <f t="shared" si="71"/>
        <v>7.954788204845354</v>
      </c>
      <c r="BK37" s="63"/>
      <c r="BL37" s="61" t="str">
        <f t="shared" si="72"/>
        <v>All Fe2+</v>
      </c>
      <c r="BM37" s="61"/>
      <c r="BN37" s="63">
        <f t="shared" si="73"/>
        <v>-2.072079219057151</v>
      </c>
      <c r="BO37" s="63">
        <f t="shared" si="74"/>
        <v>-1.8576140695041432</v>
      </c>
      <c r="BP37" s="63">
        <f t="shared" si="75"/>
        <v>-1.9291024526884173</v>
      </c>
      <c r="BQ37" s="63">
        <f t="shared" si="76"/>
        <v>-2.0720792190571564</v>
      </c>
      <c r="BR37" s="63">
        <f>((U37+V37)-(W37+X37+Y37)-((Z37+AA37+AB37)*3))*100/16</f>
        <v>-1.5716605367667809</v>
      </c>
      <c r="BS37" s="62"/>
      <c r="BT37" s="63">
        <f t="shared" si="111"/>
        <v>-0.05147163589272189</v>
      </c>
      <c r="BU37" s="63">
        <f t="shared" si="112"/>
        <v>0.1035023890884804</v>
      </c>
      <c r="BV37" s="63"/>
      <c r="BW37" s="63">
        <f t="shared" si="77"/>
        <v>71.88443784473459</v>
      </c>
      <c r="BX37" s="63">
        <f t="shared" si="78"/>
        <v>30.19506193322695</v>
      </c>
      <c r="BY37" s="63">
        <f t="shared" si="79"/>
        <v>-2.079499777961546</v>
      </c>
      <c r="BZ37" s="62"/>
      <c r="CA37" s="63">
        <f t="shared" si="80"/>
        <v>71.62792293139371</v>
      </c>
      <c r="CB37" s="63">
        <f t="shared" si="81"/>
        <v>30.087312830259023</v>
      </c>
      <c r="CC37" s="63">
        <f t="shared" si="82"/>
        <v>0.3568434574044172</v>
      </c>
      <c r="CD37" s="63">
        <f t="shared" si="83"/>
        <v>-2.0720792190571564</v>
      </c>
      <c r="CE37" s="63">
        <f>((U37+V37)-(W37+X37+Y37)-((Z37+AA37+AB37)*3))*100/16</f>
        <v>-1.5716605367667809</v>
      </c>
      <c r="CF37" s="63"/>
      <c r="CG37" s="63">
        <f t="shared" si="113"/>
        <v>71.88443784473459</v>
      </c>
      <c r="CH37" s="63">
        <f t="shared" si="114"/>
        <v>30.19506193322696</v>
      </c>
      <c r="CI37" s="63">
        <f t="shared" si="115"/>
        <v>-2.079499777961552</v>
      </c>
      <c r="CJ37" s="61"/>
      <c r="CK37" s="63">
        <f t="shared" si="116"/>
        <v>71.52523042096662</v>
      </c>
      <c r="CL37" s="63">
        <f t="shared" si="117"/>
        <v>30.04417683580189</v>
      </c>
      <c r="CM37" s="63">
        <f t="shared" si="118"/>
        <v>-1.569407256768499</v>
      </c>
      <c r="CN37" s="63"/>
      <c r="CO37" s="65">
        <f t="shared" si="119"/>
        <v>70.42005299898038</v>
      </c>
      <c r="CP37" s="65">
        <f t="shared" si="61"/>
        <v>29.57994700101962</v>
      </c>
      <c r="CQ37" s="31"/>
      <c r="CR37" s="2" t="str">
        <f t="shared" si="84"/>
        <v>All Fe2+</v>
      </c>
    </row>
    <row r="38" spans="1:96" s="5" customFormat="1" ht="12.75" customHeight="1">
      <c r="A38" s="14" t="s">
        <v>112</v>
      </c>
      <c r="B38" s="14"/>
      <c r="C38" s="15"/>
      <c r="D38" s="16">
        <v>41.149</v>
      </c>
      <c r="E38" s="16">
        <v>0.033</v>
      </c>
      <c r="F38" s="16">
        <v>31.935</v>
      </c>
      <c r="G38" s="16">
        <v>1.807597</v>
      </c>
      <c r="H38" s="16"/>
      <c r="I38" s="16"/>
      <c r="J38" s="16"/>
      <c r="K38" s="16">
        <v>0.161</v>
      </c>
      <c r="L38" s="16">
        <v>0.067</v>
      </c>
      <c r="M38" s="16"/>
      <c r="N38" s="16"/>
      <c r="O38" s="16">
        <v>14.864</v>
      </c>
      <c r="P38" s="16">
        <v>9.489</v>
      </c>
      <c r="Q38" s="16">
        <f t="shared" si="86"/>
        <v>99.50559700000001</v>
      </c>
      <c r="R38" s="46"/>
      <c r="S38" s="50">
        <f t="shared" si="87"/>
        <v>11.896509270809194</v>
      </c>
      <c r="T38" s="46"/>
      <c r="U38" s="50">
        <f t="shared" si="88"/>
        <v>8.1473772680139</v>
      </c>
      <c r="V38" s="50">
        <f t="shared" si="89"/>
        <v>0.004914755929441897</v>
      </c>
      <c r="W38" s="50">
        <f t="shared" si="90"/>
        <v>7.452141617717538</v>
      </c>
      <c r="X38" s="50">
        <f t="shared" si="91"/>
        <v>0.2693192838270984</v>
      </c>
      <c r="Y38" s="50">
        <f t="shared" si="92"/>
        <v>0</v>
      </c>
      <c r="Z38" s="50">
        <f t="shared" si="93"/>
        <v>0</v>
      </c>
      <c r="AA38" s="50">
        <f t="shared" si="94"/>
        <v>0.04752110141670463</v>
      </c>
      <c r="AB38" s="50">
        <f t="shared" si="95"/>
        <v>0</v>
      </c>
      <c r="AC38" s="50">
        <f t="shared" si="96"/>
        <v>0.014213678257983003</v>
      </c>
      <c r="AD38" s="50">
        <f t="shared" si="97"/>
        <v>0</v>
      </c>
      <c r="AE38" s="50">
        <f t="shared" si="98"/>
        <v>0</v>
      </c>
      <c r="AF38" s="50">
        <f t="shared" si="99"/>
        <v>5.706122557155958</v>
      </c>
      <c r="AG38" s="50">
        <f t="shared" si="100"/>
        <v>2.3968570830873923</v>
      </c>
      <c r="AH38" s="50"/>
      <c r="AI38" s="50">
        <f>(U38+V38)/(W38+X38+Y38)</f>
        <v>1.0557965814879047</v>
      </c>
      <c r="AJ38" s="50">
        <f t="shared" si="102"/>
        <v>24.038467345406016</v>
      </c>
      <c r="AK38" s="50">
        <f>SUM(U38:Y38)</f>
        <v>15.873752925487977</v>
      </c>
      <c r="AL38" s="50">
        <f t="shared" si="104"/>
        <v>8.117193318501334</v>
      </c>
      <c r="AM38" s="50">
        <f t="shared" si="105"/>
        <v>8.131406996759317</v>
      </c>
      <c r="AN38" s="50">
        <f>(W38+X38+Y38)-AM38</f>
        <v>-0.40994609521468117</v>
      </c>
      <c r="AO38" s="50">
        <f t="shared" si="62"/>
        <v>-0.44357800305643025</v>
      </c>
      <c r="AP38" s="50">
        <f t="shared" si="107"/>
        <v>0.9241803975625217</v>
      </c>
      <c r="AQ38" s="46"/>
      <c r="AR38" s="50">
        <f>((U38+V38)*4+(W38+X38+Y38)*3)</f>
        <v>55.77355080040727</v>
      </c>
      <c r="AS38" s="50">
        <f>AR38/(U38+V38+W38+X38+Y38)</f>
        <v>3.5135705502164813</v>
      </c>
      <c r="AT38" s="50">
        <f t="shared" si="108"/>
        <v>56.2171288034637</v>
      </c>
      <c r="AU38" s="51">
        <f t="shared" si="109"/>
        <v>-0.44357800305643025</v>
      </c>
      <c r="AV38" s="51"/>
      <c r="AW38" s="50" t="s">
        <v>112</v>
      </c>
      <c r="AX38" s="50"/>
      <c r="AY38" s="50">
        <f>(U38+V38)-AC38*2-AD38*2-AE38*2-AF38-AG38</f>
        <v>0.020885027184024185</v>
      </c>
      <c r="AZ38" s="53">
        <f t="shared" si="110"/>
        <v>0.13053141990015116</v>
      </c>
      <c r="BA38" s="50">
        <f t="shared" si="63"/>
        <v>-0.4151060174619757</v>
      </c>
      <c r="BB38" s="53">
        <f t="shared" si="64"/>
        <v>-1.9216253238583865</v>
      </c>
      <c r="BC38" s="37"/>
      <c r="BD38" s="53">
        <f t="shared" si="65"/>
        <v>71.32653196444949</v>
      </c>
      <c r="BE38" s="53">
        <f t="shared" si="66"/>
        <v>67.96004091661077</v>
      </c>
      <c r="BF38" s="53">
        <f t="shared" si="67"/>
        <v>3.36649104783873</v>
      </c>
      <c r="BG38" s="53">
        <f t="shared" si="68"/>
        <v>29.960713538592405</v>
      </c>
      <c r="BH38" s="53">
        <f t="shared" si="69"/>
        <v>28.772686003174783</v>
      </c>
      <c r="BI38" s="53">
        <f t="shared" si="70"/>
        <v>0.35534195644957506</v>
      </c>
      <c r="BJ38" s="53">
        <f t="shared" si="71"/>
        <v>1.1880275354176157</v>
      </c>
      <c r="BK38" s="53"/>
      <c r="BL38" s="46" t="str">
        <f t="shared" si="72"/>
        <v>Old</v>
      </c>
      <c r="BM38" s="46"/>
      <c r="BN38" s="53">
        <f t="shared" si="73"/>
        <v>-1.6425874594914645</v>
      </c>
      <c r="BO38" s="53">
        <f t="shared" si="74"/>
        <v>0.13053141990015116</v>
      </c>
      <c r="BP38" s="53">
        <f t="shared" si="75"/>
        <v>-0.6585127957999825</v>
      </c>
      <c r="BQ38" s="53">
        <f t="shared" si="76"/>
        <v>-1.642587459491459</v>
      </c>
      <c r="BR38" s="53">
        <f>((U38+V38)-(W38+X38+Y38))*100/16</f>
        <v>2.6926945149919055</v>
      </c>
      <c r="BS38" s="50"/>
      <c r="BT38" s="53">
        <f t="shared" si="111"/>
        <v>-0.42554853105398777</v>
      </c>
      <c r="BU38" s="53">
        <f t="shared" si="112"/>
        <v>1.079466952670248</v>
      </c>
      <c r="BV38" s="53"/>
      <c r="BW38" s="53">
        <f t="shared" si="77"/>
        <v>71.58088889549474</v>
      </c>
      <c r="BX38" s="53">
        <f t="shared" si="78"/>
        <v>30.067556180982482</v>
      </c>
      <c r="BY38" s="53">
        <f t="shared" si="79"/>
        <v>-1.6484450764772154</v>
      </c>
      <c r="BZ38" s="50"/>
      <c r="CA38" s="53">
        <f t="shared" si="80"/>
        <v>71.32653196444949</v>
      </c>
      <c r="CB38" s="53">
        <f t="shared" si="81"/>
        <v>29.960713538592405</v>
      </c>
      <c r="CC38" s="53">
        <f t="shared" si="82"/>
        <v>0.3553419564495751</v>
      </c>
      <c r="CD38" s="53">
        <f t="shared" si="83"/>
        <v>-1.642587459491459</v>
      </c>
      <c r="CE38" s="53">
        <f>((U38+V38)-(W38+X38+Y38))*100/16</f>
        <v>2.6926945149919055</v>
      </c>
      <c r="CF38" s="53"/>
      <c r="CG38" s="53">
        <f t="shared" si="113"/>
        <v>71.58088889549472</v>
      </c>
      <c r="CH38" s="53">
        <f t="shared" si="114"/>
        <v>30.06755618098248</v>
      </c>
      <c r="CI38" s="53">
        <f t="shared" si="115"/>
        <v>-1.6484450764772096</v>
      </c>
      <c r="CJ38" s="46"/>
      <c r="CK38" s="53">
        <f t="shared" si="116"/>
        <v>68.59643499705707</v>
      </c>
      <c r="CL38" s="53">
        <f t="shared" si="117"/>
        <v>28.813936162490727</v>
      </c>
      <c r="CM38" s="53">
        <f t="shared" si="118"/>
        <v>2.589628840452204</v>
      </c>
      <c r="CN38" s="53"/>
      <c r="CO38" s="54">
        <f>CA38/(CA38+CB38)*100</f>
        <v>70.4200529989804</v>
      </c>
      <c r="CP38" s="54">
        <f t="shared" si="61"/>
        <v>29.579947001019605</v>
      </c>
      <c r="CQ38" s="31"/>
      <c r="CR38" s="2" t="str">
        <f t="shared" si="84"/>
        <v>Old</v>
      </c>
    </row>
    <row r="39" spans="1:96" s="1" customFormat="1" ht="12.75" customHeight="1">
      <c r="A39" s="27" t="s">
        <v>99</v>
      </c>
      <c r="B39" s="27" t="s">
        <v>91</v>
      </c>
      <c r="C39" s="28"/>
      <c r="D39" s="22">
        <v>41.686</v>
      </c>
      <c r="E39" s="22"/>
      <c r="F39" s="22">
        <v>30.252</v>
      </c>
      <c r="G39" s="22">
        <v>2.816149281777184</v>
      </c>
      <c r="H39" s="22"/>
      <c r="I39" s="85"/>
      <c r="J39" s="22"/>
      <c r="K39" s="22">
        <v>0.437</v>
      </c>
      <c r="L39" s="22">
        <v>0.124</v>
      </c>
      <c r="M39" s="22"/>
      <c r="N39" s="22"/>
      <c r="O39" s="22">
        <v>14.657</v>
      </c>
      <c r="P39" s="22">
        <v>8.644</v>
      </c>
      <c r="Q39" s="22">
        <f t="shared" si="86"/>
        <v>98.61614928177718</v>
      </c>
      <c r="R39" s="66"/>
      <c r="S39" s="67">
        <f t="shared" si="87"/>
        <v>11.976518703555588</v>
      </c>
      <c r="T39" s="66"/>
      <c r="U39" s="67">
        <f t="shared" si="88"/>
        <v>8.309211535732599</v>
      </c>
      <c r="V39" s="67">
        <f t="shared" si="89"/>
        <v>0</v>
      </c>
      <c r="W39" s="67">
        <f t="shared" si="90"/>
        <v>7.106885530489777</v>
      </c>
      <c r="X39" s="67">
        <f t="shared" si="91"/>
        <v>0.4224084150034764</v>
      </c>
      <c r="Y39" s="67">
        <f t="shared" si="92"/>
        <v>0</v>
      </c>
      <c r="Z39" s="67">
        <f t="shared" si="93"/>
        <v>0</v>
      </c>
      <c r="AA39" s="67">
        <f t="shared" si="94"/>
        <v>0.12985333515578196</v>
      </c>
      <c r="AB39" s="67">
        <f t="shared" si="95"/>
        <v>0</v>
      </c>
      <c r="AC39" s="67">
        <f t="shared" si="96"/>
        <v>0.02648283121615647</v>
      </c>
      <c r="AD39" s="67">
        <f t="shared" si="97"/>
        <v>0</v>
      </c>
      <c r="AE39" s="67">
        <f t="shared" si="98"/>
        <v>0</v>
      </c>
      <c r="AF39" s="67">
        <f t="shared" si="99"/>
        <v>5.664499413446381</v>
      </c>
      <c r="AG39" s="67">
        <f t="shared" si="100"/>
        <v>2.198100274399586</v>
      </c>
      <c r="AH39" s="67"/>
      <c r="AI39" s="67">
        <f t="shared" si="101"/>
        <v>1.0501165173847744</v>
      </c>
      <c r="AJ39" s="67">
        <f t="shared" si="102"/>
        <v>23.857441335443756</v>
      </c>
      <c r="AK39" s="67">
        <f t="shared" si="103"/>
        <v>15.968358816381633</v>
      </c>
      <c r="AL39" s="67">
        <f t="shared" si="104"/>
        <v>7.889082519062124</v>
      </c>
      <c r="AM39" s="67">
        <f t="shared" si="105"/>
        <v>7.91556535027828</v>
      </c>
      <c r="AN39" s="67">
        <f t="shared" si="106"/>
        <v>-0.12656473447346261</v>
      </c>
      <c r="AO39" s="67">
        <f t="shared" si="62"/>
        <v>-0.11113088798227722</v>
      </c>
      <c r="AP39" s="67">
        <f t="shared" si="107"/>
        <v>1.13887989893185</v>
      </c>
      <c r="AQ39" s="66"/>
      <c r="AR39" s="67">
        <f>((U39+V39)*4+(W39+X39+Y39)*3+(Z39+AA39+AB39)*2)</f>
        <v>56.08443464972172</v>
      </c>
      <c r="AS39" s="67">
        <f>AR39/(U39+V39+W39+X39+Y39+Z39+AA39+AB39)</f>
        <v>3.5122228461065</v>
      </c>
      <c r="AT39" s="67">
        <f t="shared" si="108"/>
        <v>56.195565537704</v>
      </c>
      <c r="AU39" s="69">
        <f t="shared" si="109"/>
        <v>-0.11113088798227722</v>
      </c>
      <c r="AV39" s="69"/>
      <c r="AW39" s="67" t="s">
        <v>99</v>
      </c>
      <c r="AX39" s="67"/>
      <c r="AY39" s="67">
        <f>(U39+V39)-AC39*2-AD39*2-AE39*2-AF39-AG39-(Z39+AA39+AB39)</f>
        <v>0.2637928502985361</v>
      </c>
      <c r="AZ39" s="68">
        <f t="shared" si="110"/>
        <v>1.6487053143658508</v>
      </c>
      <c r="BA39" s="67">
        <f t="shared" si="63"/>
        <v>-0.010488901133375583</v>
      </c>
      <c r="BB39" s="68">
        <f t="shared" si="64"/>
        <v>-0.5932731198336058</v>
      </c>
      <c r="BC39" s="70"/>
      <c r="BD39" s="68">
        <f t="shared" si="65"/>
        <v>70.80624266807976</v>
      </c>
      <c r="BE39" s="68">
        <f t="shared" si="66"/>
        <v>65.5261374805363</v>
      </c>
      <c r="BF39" s="68">
        <f t="shared" si="67"/>
        <v>5.280105187543455</v>
      </c>
      <c r="BG39" s="68">
        <f t="shared" si="68"/>
        <v>27.476253429994824</v>
      </c>
      <c r="BH39" s="68">
        <f t="shared" si="69"/>
        <v>24.229920051100276</v>
      </c>
      <c r="BI39" s="68">
        <f t="shared" si="70"/>
        <v>0.6620707804039118</v>
      </c>
      <c r="BJ39" s="68">
        <f t="shared" si="71"/>
        <v>3.246333378894549</v>
      </c>
      <c r="BK39" s="68"/>
      <c r="BL39" s="66" t="str">
        <f t="shared" si="72"/>
        <v>This work</v>
      </c>
      <c r="BM39" s="66"/>
      <c r="BN39" s="68">
        <f t="shared" si="73"/>
        <v>1.0554331215215023</v>
      </c>
      <c r="BO39" s="68">
        <f t="shared" si="74"/>
        <v>1.6487053143658508</v>
      </c>
      <c r="BP39" s="68">
        <f t="shared" si="75"/>
        <v>1.4509479167510941</v>
      </c>
      <c r="BQ39" s="68">
        <f t="shared" si="76"/>
        <v>1.0554331215214985</v>
      </c>
      <c r="BR39" s="68">
        <f>((U39+V39)-(W39+X39+Y39)-((Z39+AA39+AB39)*3))*100/16</f>
        <v>2.439734904824998</v>
      </c>
      <c r="BS39" s="67"/>
      <c r="BT39" s="68">
        <f t="shared" si="111"/>
        <v>-0.14238532628264364</v>
      </c>
      <c r="BU39" s="68">
        <f t="shared" si="112"/>
        <v>-0.562112540100213</v>
      </c>
      <c r="BV39" s="68"/>
      <c r="BW39" s="68">
        <f t="shared" si="77"/>
        <v>71.27815450184764</v>
      </c>
      <c r="BX39" s="68">
        <f t="shared" si="78"/>
        <v>27.65937809037262</v>
      </c>
      <c r="BY39" s="68">
        <f t="shared" si="79"/>
        <v>1.0624674077797267</v>
      </c>
      <c r="BZ39" s="67"/>
      <c r="CA39" s="68">
        <f t="shared" si="80"/>
        <v>70.80624266807976</v>
      </c>
      <c r="CB39" s="68">
        <f t="shared" si="81"/>
        <v>27.476253429994824</v>
      </c>
      <c r="CC39" s="68">
        <f t="shared" si="82"/>
        <v>0.6620707804039118</v>
      </c>
      <c r="CD39" s="68">
        <f t="shared" si="83"/>
        <v>1.0554331215214985</v>
      </c>
      <c r="CE39" s="68">
        <f>((U39+V39)-(W39+X39+Y39)-((Z39+AA39+AB39)*3))*100/16</f>
        <v>2.439734904824998</v>
      </c>
      <c r="CF39" s="68"/>
      <c r="CG39" s="68">
        <f t="shared" si="113"/>
        <v>71.27815450184764</v>
      </c>
      <c r="CH39" s="68">
        <f t="shared" si="114"/>
        <v>27.65937809037262</v>
      </c>
      <c r="CI39" s="68">
        <f t="shared" si="115"/>
        <v>1.062467407779723</v>
      </c>
      <c r="CJ39" s="66"/>
      <c r="CK39" s="68">
        <f t="shared" si="116"/>
        <v>70.29852492647963</v>
      </c>
      <c r="CL39" s="68">
        <f t="shared" si="117"/>
        <v>27.279234342221663</v>
      </c>
      <c r="CM39" s="68">
        <f t="shared" si="118"/>
        <v>2.422240731298697</v>
      </c>
      <c r="CN39" s="68"/>
      <c r="CO39" s="71">
        <f>CA39/(CA39+CB39)*100</f>
        <v>72.043594209719</v>
      </c>
      <c r="CP39" s="71">
        <f t="shared" si="61"/>
        <v>27.956405790280996</v>
      </c>
      <c r="CQ39" s="32"/>
      <c r="CR39" s="9" t="str">
        <f t="shared" si="84"/>
        <v>This work</v>
      </c>
    </row>
    <row r="40" spans="1:96" s="1" customFormat="1" ht="12.75" customHeight="1">
      <c r="A40" s="23" t="s">
        <v>111</v>
      </c>
      <c r="B40" s="23"/>
      <c r="C40" s="24"/>
      <c r="D40" s="21">
        <v>41.686</v>
      </c>
      <c r="E40" s="21"/>
      <c r="F40" s="21">
        <v>30.252</v>
      </c>
      <c r="G40" s="21"/>
      <c r="H40" s="21"/>
      <c r="I40" s="21">
        <v>2.5341035559949465</v>
      </c>
      <c r="J40" s="21"/>
      <c r="K40" s="21">
        <v>0.437</v>
      </c>
      <c r="L40" s="21">
        <v>0.124</v>
      </c>
      <c r="M40" s="21"/>
      <c r="N40" s="21"/>
      <c r="O40" s="21">
        <v>14.657</v>
      </c>
      <c r="P40" s="21">
        <v>8.644</v>
      </c>
      <c r="Q40" s="21">
        <f t="shared" si="86"/>
        <v>98.33410355599494</v>
      </c>
      <c r="R40" s="72"/>
      <c r="S40" s="73">
        <f t="shared" si="87"/>
        <v>12.056083182030202</v>
      </c>
      <c r="T40" s="72"/>
      <c r="U40" s="73">
        <f t="shared" si="88"/>
        <v>8.364412725555777</v>
      </c>
      <c r="V40" s="73">
        <f t="shared" si="89"/>
        <v>0</v>
      </c>
      <c r="W40" s="73">
        <f t="shared" si="90"/>
        <v>7.154099220444966</v>
      </c>
      <c r="X40" s="73">
        <f t="shared" si="91"/>
        <v>0</v>
      </c>
      <c r="Y40" s="73">
        <f t="shared" si="92"/>
        <v>0</v>
      </c>
      <c r="Z40" s="73">
        <f t="shared" si="93"/>
        <v>0.4252340180796927</v>
      </c>
      <c r="AA40" s="73">
        <f t="shared" si="94"/>
        <v>0.1307159992692519</v>
      </c>
      <c r="AB40" s="73">
        <f t="shared" si="95"/>
        <v>0</v>
      </c>
      <c r="AC40" s="73">
        <f t="shared" si="96"/>
        <v>0.026658766536461126</v>
      </c>
      <c r="AD40" s="73">
        <f t="shared" si="97"/>
        <v>0</v>
      </c>
      <c r="AE40" s="73">
        <f t="shared" si="98"/>
        <v>0</v>
      </c>
      <c r="AF40" s="73">
        <f t="shared" si="99"/>
        <v>5.702130794718872</v>
      </c>
      <c r="AG40" s="73">
        <f t="shared" si="100"/>
        <v>2.212703073952313</v>
      </c>
      <c r="AH40" s="73"/>
      <c r="AI40" s="73">
        <f t="shared" si="101"/>
        <v>0.9446483682355333</v>
      </c>
      <c r="AJ40" s="73">
        <f t="shared" si="102"/>
        <v>24.015954598557332</v>
      </c>
      <c r="AK40" s="73">
        <f t="shared" si="103"/>
        <v>16.074461963349687</v>
      </c>
      <c r="AL40" s="73">
        <f t="shared" si="104"/>
        <v>7.941492635207647</v>
      </c>
      <c r="AM40" s="73">
        <f t="shared" si="105"/>
        <v>7.968151401744108</v>
      </c>
      <c r="AN40" s="73">
        <f t="shared" si="106"/>
        <v>0.2978478533987472</v>
      </c>
      <c r="AO40" s="73">
        <f t="shared" si="62"/>
        <v>0.2595571451319145</v>
      </c>
      <c r="AP40" s="73">
        <f t="shared" si="107"/>
        <v>1.1475232294120519</v>
      </c>
      <c r="AQ40" s="72"/>
      <c r="AR40" s="73">
        <f>((U40+V40)*4+(W40+X40+Y40)*3+(Z40+AA40+AB40)*2)</f>
        <v>56.0318485982559</v>
      </c>
      <c r="AS40" s="73">
        <f>AR40/(U40+V40+W40+X40+Y40+Z40+AA40+AB40)</f>
        <v>3.485768215820249</v>
      </c>
      <c r="AT40" s="73">
        <f t="shared" si="108"/>
        <v>55.772291453123984</v>
      </c>
      <c r="AU40" s="75">
        <f t="shared" si="109"/>
        <v>0.2595571451319145</v>
      </c>
      <c r="AV40" s="75"/>
      <c r="AW40" s="73" t="s">
        <v>111</v>
      </c>
      <c r="AX40" s="73"/>
      <c r="AY40" s="73">
        <f>(U40+V40)-AC40*2-AD40*2-AE40*2-AF40-AG40-(Z40+AA40+AB40)</f>
        <v>-0.15968869353727555</v>
      </c>
      <c r="AZ40" s="74">
        <f t="shared" si="110"/>
        <v>-0.9980543346079722</v>
      </c>
      <c r="BA40" s="73">
        <f t="shared" si="63"/>
        <v>0.2552344883049525</v>
      </c>
      <c r="BB40" s="74">
        <f t="shared" si="64"/>
        <v>1.3961639943128685</v>
      </c>
      <c r="BC40" s="70"/>
      <c r="BD40" s="74">
        <f t="shared" si="65"/>
        <v>71.2766349339859</v>
      </c>
      <c r="BE40" s="74">
        <f t="shared" si="66"/>
        <v>71.2766349339859</v>
      </c>
      <c r="BF40" s="74">
        <f t="shared" si="67"/>
        <v>0</v>
      </c>
      <c r="BG40" s="74">
        <f t="shared" si="68"/>
        <v>27.658788424403912</v>
      </c>
      <c r="BH40" s="74">
        <f t="shared" si="69"/>
        <v>13.760037990680301</v>
      </c>
      <c r="BI40" s="74">
        <f t="shared" si="70"/>
        <v>0.6664691634115282</v>
      </c>
      <c r="BJ40" s="74">
        <f t="shared" si="71"/>
        <v>13.898750433723613</v>
      </c>
      <c r="BK40" s="74"/>
      <c r="BL40" s="72" t="str">
        <f t="shared" si="72"/>
        <v>All Fe2+</v>
      </c>
      <c r="BM40" s="72"/>
      <c r="BN40" s="74">
        <f t="shared" si="73"/>
        <v>0.39810747819865394</v>
      </c>
      <c r="BO40" s="74">
        <f t="shared" si="74"/>
        <v>-0.9980543346079722</v>
      </c>
      <c r="BP40" s="74">
        <f t="shared" si="75"/>
        <v>-0.5326670636724189</v>
      </c>
      <c r="BQ40" s="74">
        <f t="shared" si="76"/>
        <v>0.3981074781986539</v>
      </c>
      <c r="BR40" s="74">
        <f>((U40+V40)-(W40+X40+Y40)-((Z40+AA40+AB40)*3))*100/16</f>
        <v>-2.85960341835014</v>
      </c>
      <c r="BS40" s="73"/>
      <c r="BT40" s="74">
        <f t="shared" si="111"/>
        <v>0.33507883507359026</v>
      </c>
      <c r="BU40" s="74">
        <f t="shared" si="112"/>
        <v>3.506997203679624</v>
      </c>
      <c r="BV40" s="74"/>
      <c r="BW40" s="74">
        <f t="shared" si="77"/>
        <v>71.75485894208434</v>
      </c>
      <c r="BX40" s="74">
        <f t="shared" si="78"/>
        <v>27.84436251431031</v>
      </c>
      <c r="BY40" s="74">
        <f t="shared" si="79"/>
        <v>0.4007785436053534</v>
      </c>
      <c r="BZ40" s="73"/>
      <c r="CA40" s="74">
        <f t="shared" si="80"/>
        <v>71.2766349339859</v>
      </c>
      <c r="CB40" s="74">
        <f t="shared" si="81"/>
        <v>27.658788424403912</v>
      </c>
      <c r="CC40" s="74">
        <f t="shared" si="82"/>
        <v>0.6664691634115282</v>
      </c>
      <c r="CD40" s="74">
        <f t="shared" si="83"/>
        <v>0.3981074781986539</v>
      </c>
      <c r="CE40" s="74">
        <f>((U40+V40)-(W40+X40+Y40)-((Z40+AA40+AB40)*3))*100/16</f>
        <v>-2.85960341835014</v>
      </c>
      <c r="CF40" s="74"/>
      <c r="CG40" s="74">
        <f t="shared" si="113"/>
        <v>71.75485894208434</v>
      </c>
      <c r="CH40" s="74">
        <f t="shared" si="114"/>
        <v>27.84436251431031</v>
      </c>
      <c r="CI40" s="74">
        <f t="shared" si="115"/>
        <v>0.4007785436053534</v>
      </c>
      <c r="CJ40" s="72"/>
      <c r="CK40" s="74">
        <f t="shared" si="116"/>
        <v>74.18790178264334</v>
      </c>
      <c r="CL40" s="74">
        <f t="shared" si="117"/>
        <v>28.788501041849642</v>
      </c>
      <c r="CM40" s="74">
        <f t="shared" si="118"/>
        <v>-2.9764028244929897</v>
      </c>
      <c r="CN40" s="74"/>
      <c r="CO40" s="76">
        <f>CA40/(CA40+CB40)*100</f>
        <v>72.043594209719</v>
      </c>
      <c r="CP40" s="76">
        <f t="shared" si="61"/>
        <v>27.956405790280996</v>
      </c>
      <c r="CQ40" s="32"/>
      <c r="CR40" s="9" t="str">
        <f t="shared" si="84"/>
        <v>All Fe2+</v>
      </c>
    </row>
    <row r="41" spans="1:96" s="1" customFormat="1" ht="12.75" customHeight="1">
      <c r="A41" s="25" t="s">
        <v>112</v>
      </c>
      <c r="B41" s="25"/>
      <c r="C41" s="26"/>
      <c r="D41" s="17">
        <v>41.686</v>
      </c>
      <c r="E41" s="17"/>
      <c r="F41" s="17">
        <v>30.252</v>
      </c>
      <c r="G41" s="17">
        <v>2.816149281777184</v>
      </c>
      <c r="H41" s="17"/>
      <c r="I41" s="17"/>
      <c r="J41" s="17"/>
      <c r="K41" s="17">
        <v>0.437</v>
      </c>
      <c r="L41" s="17">
        <v>0.124</v>
      </c>
      <c r="M41" s="17"/>
      <c r="N41" s="17"/>
      <c r="O41" s="17">
        <v>14.657</v>
      </c>
      <c r="P41" s="17">
        <v>8.644</v>
      </c>
      <c r="Q41" s="17">
        <f t="shared" si="86"/>
        <v>98.61614928177718</v>
      </c>
      <c r="R41" s="77"/>
      <c r="S41" s="78">
        <f t="shared" si="87"/>
        <v>11.976518703555588</v>
      </c>
      <c r="T41" s="77"/>
      <c r="U41" s="78">
        <f t="shared" si="88"/>
        <v>8.309211535732599</v>
      </c>
      <c r="V41" s="78">
        <f t="shared" si="89"/>
        <v>0</v>
      </c>
      <c r="W41" s="78">
        <f t="shared" si="90"/>
        <v>7.106885530489777</v>
      </c>
      <c r="X41" s="78">
        <f t="shared" si="91"/>
        <v>0.4224084150034764</v>
      </c>
      <c r="Y41" s="78">
        <f t="shared" si="92"/>
        <v>0</v>
      </c>
      <c r="Z41" s="78">
        <f t="shared" si="93"/>
        <v>0</v>
      </c>
      <c r="AA41" s="78">
        <f t="shared" si="94"/>
        <v>0.12985333515578196</v>
      </c>
      <c r="AB41" s="78">
        <f t="shared" si="95"/>
        <v>0</v>
      </c>
      <c r="AC41" s="78">
        <f t="shared" si="96"/>
        <v>0.02648283121615647</v>
      </c>
      <c r="AD41" s="78">
        <f t="shared" si="97"/>
        <v>0</v>
      </c>
      <c r="AE41" s="78">
        <f t="shared" si="98"/>
        <v>0</v>
      </c>
      <c r="AF41" s="78">
        <f t="shared" si="99"/>
        <v>5.664499413446381</v>
      </c>
      <c r="AG41" s="78">
        <f t="shared" si="100"/>
        <v>2.198100274399586</v>
      </c>
      <c r="AH41" s="78"/>
      <c r="AI41" s="78">
        <f>(U41+V41)/(W41+X41+Y41)</f>
        <v>1.1035844258286893</v>
      </c>
      <c r="AJ41" s="78">
        <f t="shared" si="102"/>
        <v>23.857441335443756</v>
      </c>
      <c r="AK41" s="78">
        <f>SUM(U41:Y41)</f>
        <v>15.838505481225852</v>
      </c>
      <c r="AL41" s="78">
        <f t="shared" si="104"/>
        <v>7.889082519062124</v>
      </c>
      <c r="AM41" s="78">
        <f t="shared" si="105"/>
        <v>7.91556535027828</v>
      </c>
      <c r="AN41" s="78">
        <f>(W41+X41+Y41)-AM41</f>
        <v>-0.38627140478502664</v>
      </c>
      <c r="AO41" s="78">
        <f t="shared" si="62"/>
        <v>-0.5692069615671116</v>
      </c>
      <c r="AP41" s="78">
        <f t="shared" si="107"/>
        <v>0.6786132828058953</v>
      </c>
      <c r="AQ41" s="77"/>
      <c r="AR41" s="78">
        <f>((U41+V41)*4+(W41+X41+Y41)*3)</f>
        <v>55.824727979410156</v>
      </c>
      <c r="AS41" s="78">
        <f>AR41/(U41+V41+W41+X41+Y41)</f>
        <v>3.524620933811079</v>
      </c>
      <c r="AT41" s="78">
        <f t="shared" si="108"/>
        <v>56.39393494097727</v>
      </c>
      <c r="AU41" s="80">
        <f t="shared" si="109"/>
        <v>-0.5692069615671116</v>
      </c>
      <c r="AV41" s="80"/>
      <c r="AW41" s="78" t="s">
        <v>112</v>
      </c>
      <c r="AX41" s="78"/>
      <c r="AY41" s="78">
        <f>(U41+V41)-AC41*2-AD41*2-AE41*2-AF41-AG41</f>
        <v>0.39364618545431806</v>
      </c>
      <c r="AZ41" s="79">
        <f t="shared" si="110"/>
        <v>2.460288659089488</v>
      </c>
      <c r="BA41" s="78">
        <f t="shared" si="63"/>
        <v>-0.14034223628915754</v>
      </c>
      <c r="BB41" s="79">
        <f t="shared" si="64"/>
        <v>-1.8106500390704985</v>
      </c>
      <c r="BC41" s="70"/>
      <c r="BD41" s="79">
        <f t="shared" si="65"/>
        <v>70.80624266807976</v>
      </c>
      <c r="BE41" s="79">
        <f t="shared" si="66"/>
        <v>65.5261374805363</v>
      </c>
      <c r="BF41" s="79">
        <f t="shared" si="67"/>
        <v>5.280105187543455</v>
      </c>
      <c r="BG41" s="79">
        <f t="shared" si="68"/>
        <v>27.476253429994824</v>
      </c>
      <c r="BH41" s="79">
        <f t="shared" si="69"/>
        <v>24.229920051100276</v>
      </c>
      <c r="BI41" s="79">
        <f t="shared" si="70"/>
        <v>0.6620707804039118</v>
      </c>
      <c r="BJ41" s="79">
        <f t="shared" si="71"/>
        <v>3.246333378894549</v>
      </c>
      <c r="BK41" s="79"/>
      <c r="BL41" s="77" t="str">
        <f t="shared" si="72"/>
        <v>Old</v>
      </c>
      <c r="BM41" s="77"/>
      <c r="BN41" s="79">
        <f t="shared" si="73"/>
        <v>1.0554331215215023</v>
      </c>
      <c r="BO41" s="79">
        <f t="shared" si="74"/>
        <v>2.460288659089488</v>
      </c>
      <c r="BP41" s="79">
        <f t="shared" si="75"/>
        <v>1.4509479167510941</v>
      </c>
      <c r="BQ41" s="79">
        <f t="shared" si="76"/>
        <v>1.0554331215214985</v>
      </c>
      <c r="BR41" s="79">
        <f>((U41+V41)-(W41+X41+Y41))*100/16</f>
        <v>4.87448493899591</v>
      </c>
      <c r="BS41" s="78"/>
      <c r="BT41" s="79">
        <f t="shared" si="111"/>
        <v>-0.3371653290163166</v>
      </c>
      <c r="BU41" s="79">
        <f t="shared" si="112"/>
        <v>-1.3310701634441409</v>
      </c>
      <c r="BV41" s="79"/>
      <c r="BW41" s="79">
        <f t="shared" si="77"/>
        <v>71.27815450184764</v>
      </c>
      <c r="BX41" s="79">
        <f t="shared" si="78"/>
        <v>27.65937809037262</v>
      </c>
      <c r="BY41" s="79">
        <f t="shared" si="79"/>
        <v>1.0624674077797267</v>
      </c>
      <c r="BZ41" s="78"/>
      <c r="CA41" s="79">
        <f t="shared" si="80"/>
        <v>70.80624266807976</v>
      </c>
      <c r="CB41" s="79">
        <f t="shared" si="81"/>
        <v>27.476253429994824</v>
      </c>
      <c r="CC41" s="79">
        <f t="shared" si="82"/>
        <v>0.6620707804039118</v>
      </c>
      <c r="CD41" s="79">
        <f t="shared" si="83"/>
        <v>1.0554331215214985</v>
      </c>
      <c r="CE41" s="79">
        <f>((U41+V41)-(W41+X41+Y41))*100/16</f>
        <v>4.87448493899591</v>
      </c>
      <c r="CF41" s="79"/>
      <c r="CG41" s="79">
        <f t="shared" si="113"/>
        <v>71.27815450184764</v>
      </c>
      <c r="CH41" s="79">
        <f t="shared" si="114"/>
        <v>27.65937809037262</v>
      </c>
      <c r="CI41" s="79">
        <f t="shared" si="115"/>
        <v>1.062467407779723</v>
      </c>
      <c r="CJ41" s="77"/>
      <c r="CK41" s="79">
        <f t="shared" si="116"/>
        <v>68.6393125857714</v>
      </c>
      <c r="CL41" s="79">
        <f t="shared" si="117"/>
        <v>26.635379548497017</v>
      </c>
      <c r="CM41" s="79">
        <f t="shared" si="118"/>
        <v>4.725307865731565</v>
      </c>
      <c r="CN41" s="79"/>
      <c r="CO41" s="81">
        <f>CA41/(CA41+CB41)*100</f>
        <v>72.043594209719</v>
      </c>
      <c r="CP41" s="81">
        <f t="shared" si="61"/>
        <v>27.956405790280996</v>
      </c>
      <c r="CQ41" s="32"/>
      <c r="CR41" s="9" t="str">
        <f t="shared" si="84"/>
        <v>Old</v>
      </c>
    </row>
    <row r="42" spans="1:96" s="1" customFormat="1" ht="12.75" customHeight="1">
      <c r="A42" s="2"/>
      <c r="B42" s="9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/>
      <c r="R42" s="37"/>
      <c r="S42" s="38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7"/>
      <c r="AR42" s="38"/>
      <c r="AS42" s="38"/>
      <c r="AT42" s="38"/>
      <c r="AU42" s="52"/>
      <c r="AV42" s="52"/>
      <c r="AW42" s="38"/>
      <c r="AX42" s="38"/>
      <c r="AY42" s="38"/>
      <c r="AZ42" s="39"/>
      <c r="BA42" s="38"/>
      <c r="BB42" s="39"/>
      <c r="BC42" s="70"/>
      <c r="BD42" s="39"/>
      <c r="BE42" s="39"/>
      <c r="BF42" s="39"/>
      <c r="BG42" s="39"/>
      <c r="BH42" s="39"/>
      <c r="BI42" s="39"/>
      <c r="BJ42" s="39"/>
      <c r="BK42" s="39"/>
      <c r="BL42" s="37"/>
      <c r="BM42" s="37"/>
      <c r="BN42" s="39"/>
      <c r="BO42" s="39"/>
      <c r="BP42" s="39"/>
      <c r="BQ42" s="39"/>
      <c r="BR42" s="39"/>
      <c r="BS42" s="38"/>
      <c r="BT42" s="39"/>
      <c r="BU42" s="39"/>
      <c r="BV42" s="39"/>
      <c r="BW42" s="39"/>
      <c r="BX42" s="39"/>
      <c r="BY42" s="39"/>
      <c r="BZ42" s="38"/>
      <c r="CA42" s="39"/>
      <c r="CB42" s="39"/>
      <c r="CC42" s="39"/>
      <c r="CD42" s="39"/>
      <c r="CE42" s="39"/>
      <c r="CF42" s="39"/>
      <c r="CG42" s="39"/>
      <c r="CH42" s="39"/>
      <c r="CI42" s="39"/>
      <c r="CJ42" s="37"/>
      <c r="CK42" s="39"/>
      <c r="CL42" s="39"/>
      <c r="CM42" s="39"/>
      <c r="CN42" s="39"/>
      <c r="CO42" s="55"/>
      <c r="CP42" s="55"/>
      <c r="CR42" s="2"/>
    </row>
    <row r="43" spans="1:97" s="5" customFormat="1" ht="12.75" customHeight="1">
      <c r="A43" s="30" t="s">
        <v>103</v>
      </c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86"/>
      <c r="Q43" s="86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82"/>
      <c r="AO43" s="82"/>
      <c r="AP43" s="82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37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39"/>
      <c r="BO43" s="39"/>
      <c r="BP43" s="39"/>
      <c r="BQ43" s="39"/>
      <c r="BR43" s="39"/>
      <c r="BS43" s="55"/>
      <c r="BT43" s="55"/>
      <c r="BU43" s="55"/>
      <c r="BV43" s="55"/>
      <c r="BW43" s="55"/>
      <c r="BX43" s="55"/>
      <c r="BY43" s="55"/>
      <c r="BZ43" s="55"/>
      <c r="CA43" s="83"/>
      <c r="CB43" s="83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29"/>
      <c r="CR43" s="29"/>
      <c r="CS43" s="29"/>
    </row>
    <row r="44" spans="1:96" s="5" customFormat="1" ht="12.75" customHeight="1">
      <c r="A44" s="12" t="s">
        <v>80</v>
      </c>
      <c r="B44" s="12" t="s">
        <v>95</v>
      </c>
      <c r="C44" s="11"/>
      <c r="D44" s="11">
        <v>39.2</v>
      </c>
      <c r="E44" s="11">
        <v>0.05</v>
      </c>
      <c r="F44" s="11">
        <v>29.9</v>
      </c>
      <c r="G44" s="11">
        <v>2.4894137297477874</v>
      </c>
      <c r="H44" s="11"/>
      <c r="I44" s="84"/>
      <c r="J44" s="11"/>
      <c r="K44" s="11">
        <v>0.21</v>
      </c>
      <c r="L44" s="11">
        <v>0.08</v>
      </c>
      <c r="M44" s="11"/>
      <c r="N44" s="11"/>
      <c r="O44" s="11">
        <v>1.38</v>
      </c>
      <c r="P44" s="11">
        <v>27.3</v>
      </c>
      <c r="Q44" s="11">
        <f t="shared" si="86"/>
        <v>100.60941372974777</v>
      </c>
      <c r="R44" s="56"/>
      <c r="S44" s="57">
        <f t="shared" si="87"/>
        <v>12.54250686445033</v>
      </c>
      <c r="T44" s="56"/>
      <c r="U44" s="57">
        <f t="shared" si="88"/>
        <v>8.182940786302794</v>
      </c>
      <c r="V44" s="57">
        <f t="shared" si="89"/>
        <v>0.007850960996190686</v>
      </c>
      <c r="W44" s="57">
        <f t="shared" si="90"/>
        <v>7.3561430708918945</v>
      </c>
      <c r="X44" s="57">
        <f t="shared" si="91"/>
        <v>0.3910458844429286</v>
      </c>
      <c r="Y44" s="57">
        <f t="shared" si="92"/>
        <v>0</v>
      </c>
      <c r="Z44" s="57">
        <f t="shared" si="93"/>
        <v>0</v>
      </c>
      <c r="AA44" s="57">
        <f t="shared" si="94"/>
        <v>0.06534986829263291</v>
      </c>
      <c r="AB44" s="57">
        <f t="shared" si="95"/>
        <v>0</v>
      </c>
      <c r="AC44" s="57">
        <f t="shared" si="96"/>
        <v>0.017893136078991293</v>
      </c>
      <c r="AD44" s="57">
        <f t="shared" si="97"/>
        <v>0</v>
      </c>
      <c r="AE44" s="57">
        <f t="shared" si="98"/>
        <v>0</v>
      </c>
      <c r="AF44" s="57">
        <f t="shared" si="99"/>
        <v>0.5585335752093035</v>
      </c>
      <c r="AG44" s="57">
        <f t="shared" si="100"/>
        <v>7.270246560847053</v>
      </c>
      <c r="AH44" s="57"/>
      <c r="AI44" s="57">
        <f t="shared" si="101"/>
        <v>1.0314237985286798</v>
      </c>
      <c r="AJ44" s="57">
        <f t="shared" si="102"/>
        <v>23.85000384306179</v>
      </c>
      <c r="AK44" s="57">
        <f t="shared" si="103"/>
        <v>16.00333057092644</v>
      </c>
      <c r="AL44" s="57">
        <f t="shared" si="104"/>
        <v>7.846673272135347</v>
      </c>
      <c r="AM44" s="57">
        <f t="shared" si="105"/>
        <v>7.864566408214339</v>
      </c>
      <c r="AN44" s="57">
        <f t="shared" si="106"/>
        <v>0.01332228370575006</v>
      </c>
      <c r="AO44" s="57">
        <f aca="true" t="shared" si="120" ref="AO44:AO67">AR44-AT44</f>
        <v>0.011682758300551654</v>
      </c>
      <c r="AP44" s="57">
        <f t="shared" si="107"/>
        <v>1.1403371843377936</v>
      </c>
      <c r="AQ44" s="56"/>
      <c r="AR44" s="57">
        <f>((U44+V44)*4+(W44+X44+Y44)*3+(Z44+AA44+AB44)*2)</f>
        <v>56.13543359178567</v>
      </c>
      <c r="AS44" s="57">
        <f>AR44/(U44+V44+W44+X44+Y44+Z44+AA44+AB44)</f>
        <v>3.50773442709282</v>
      </c>
      <c r="AT44" s="57">
        <f t="shared" si="108"/>
        <v>56.12375083348512</v>
      </c>
      <c r="AU44" s="59">
        <f t="shared" si="109"/>
        <v>0.011682758300551654</v>
      </c>
      <c r="AV44" s="59"/>
      <c r="AW44" s="57" t="s">
        <v>80</v>
      </c>
      <c r="AX44" s="57"/>
      <c r="AY44" s="57">
        <f>(U44+V44)-AC44*2-AD44*2-AE44*2-AF44-AG44-(Z44+AA44+AB44)</f>
        <v>0.2608754707920128</v>
      </c>
      <c r="AZ44" s="58">
        <f t="shared" si="110"/>
        <v>1.63047169245008</v>
      </c>
      <c r="BA44" s="57">
        <f aca="true" t="shared" si="121" ref="BA44:BA67">24-AF44*3-AG44*3-(AC44+AD44+AE44)*6-AY44</f>
        <v>0.1454253045649727</v>
      </c>
      <c r="BB44" s="58">
        <f aca="true" t="shared" si="122" ref="BB44:BB67">AN44*100/21.3333</f>
        <v>0.062448302446175975</v>
      </c>
      <c r="BC44" s="37"/>
      <c r="BD44" s="58">
        <f aca="true" t="shared" si="123" ref="BD44:BD67">AF44*3*100/24</f>
        <v>6.981669690116294</v>
      </c>
      <c r="BE44" s="58">
        <f aca="true" t="shared" si="124" ref="BE44:BE67">(AF44-X44-Y44)*3*100/24</f>
        <v>2.093596134579686</v>
      </c>
      <c r="BF44" s="58">
        <f aca="true" t="shared" si="125" ref="BF44:BF67">(X44+Y44)*3*100/24</f>
        <v>4.888073555536608</v>
      </c>
      <c r="BG44" s="58">
        <f aca="true" t="shared" si="126" ref="BG44:BG67">AG44*3*100/24</f>
        <v>90.87808201058816</v>
      </c>
      <c r="BH44" s="58">
        <f aca="true" t="shared" si="127" ref="BH44:BH67">(AG44-2*(Z44+AA44+AB44))*3*100/24</f>
        <v>89.24433530327235</v>
      </c>
      <c r="BI44" s="58">
        <f aca="true" t="shared" si="128" ref="BI44:BI67">(AC44+AD44+AE44)*6*100/24</f>
        <v>0.44732840197478235</v>
      </c>
      <c r="BJ44" s="58">
        <f aca="true" t="shared" si="129" ref="BJ44:BJ67">(Z44+AA44+AB44)*6*100/24</f>
        <v>1.633746707315823</v>
      </c>
      <c r="BK44" s="58"/>
      <c r="BL44" s="56" t="str">
        <f aca="true" t="shared" si="130" ref="BL44:BL67">A44</f>
        <v>Gallo et al. (1984)</v>
      </c>
      <c r="BM44" s="56"/>
      <c r="BN44" s="58">
        <f aca="true" t="shared" si="131" ref="BN44:BN67">(24-(AF44*3)-(AG44*3)-((AC44+AD44+AE44)*6))*100/24</f>
        <v>1.6929198973207729</v>
      </c>
      <c r="BO44" s="58">
        <f aca="true" t="shared" si="132" ref="BO44:BO67">AY44*100/16</f>
        <v>1.63047169245008</v>
      </c>
      <c r="BP44" s="58">
        <f aca="true" t="shared" si="133" ref="BP44:BP67">(24-AJ44-AC44-AD44-AE44)*100/8</f>
        <v>1.6512877607402534</v>
      </c>
      <c r="BQ44" s="58">
        <f aca="true" t="shared" si="134" ref="BQ44:BQ67">(8-AF44-AG44-(AC44+AD44+AE44)*2)*100/8</f>
        <v>1.6929198973207729</v>
      </c>
      <c r="BR44" s="58">
        <f>((U44+V44)-(W44+X44+Y44)-((Z44+AA44+AB44)*3))*100/16</f>
        <v>1.5472074192891403</v>
      </c>
      <c r="BS44" s="57"/>
      <c r="BT44" s="58">
        <f t="shared" si="111"/>
        <v>0.014987569168966298</v>
      </c>
      <c r="BU44" s="58">
        <f t="shared" si="112"/>
        <v>0.03688786750603138</v>
      </c>
      <c r="BV44" s="58"/>
      <c r="BW44" s="58">
        <f aca="true" t="shared" si="135" ref="BW44:BW67">BD44*100/(BD44+BG44+BN44)</f>
        <v>7.013041014415916</v>
      </c>
      <c r="BX44" s="58">
        <f aca="true" t="shared" si="136" ref="BX44:BX67">BG44*100/(BD44+BG44+BN44)</f>
        <v>91.28643214873888</v>
      </c>
      <c r="BY44" s="58">
        <f aca="true" t="shared" si="137" ref="BY44:BY67">BN44*100/(BD44+BG44+BN44)</f>
        <v>1.7005268368451847</v>
      </c>
      <c r="BZ44" s="57"/>
      <c r="CA44" s="58">
        <f aca="true" t="shared" si="138" ref="CA44:CA67">AF44*100/8</f>
        <v>6.981669690116293</v>
      </c>
      <c r="CB44" s="58">
        <f aca="true" t="shared" si="139" ref="CB44:CB67">AG44*100/8</f>
        <v>90.87808201058816</v>
      </c>
      <c r="CC44" s="58">
        <f aca="true" t="shared" si="140" ref="CC44:CC67">2*(AC44+AD44+AE44)*100/8</f>
        <v>0.44732840197478235</v>
      </c>
      <c r="CD44" s="58">
        <f aca="true" t="shared" si="141" ref="CD44:CD67">(8-AF44-AG44-2*(AC44+AD44+AE44))*100/8</f>
        <v>1.6929198973207729</v>
      </c>
      <c r="CE44" s="58">
        <f>((U44+V44)-(W44+X44+Y44)-((Z44+AA44+AB44)*3))*100/16</f>
        <v>1.5472074192891403</v>
      </c>
      <c r="CF44" s="58"/>
      <c r="CG44" s="58">
        <f t="shared" si="113"/>
        <v>7.013041014415916</v>
      </c>
      <c r="CH44" s="58">
        <f t="shared" si="114"/>
        <v>91.28643214873888</v>
      </c>
      <c r="CI44" s="58">
        <f t="shared" si="115"/>
        <v>1.7005268368451847</v>
      </c>
      <c r="CJ44" s="56"/>
      <c r="CK44" s="58">
        <f t="shared" si="116"/>
        <v>7.0233208539140195</v>
      </c>
      <c r="CL44" s="58">
        <f t="shared" si="117"/>
        <v>91.42024141477835</v>
      </c>
      <c r="CM44" s="58">
        <f t="shared" si="118"/>
        <v>1.556437731307639</v>
      </c>
      <c r="CN44" s="58"/>
      <c r="CO44" s="60">
        <f>CA44/(CA44+CB44)*100</f>
        <v>7.134362767922325</v>
      </c>
      <c r="CP44" s="60">
        <f t="shared" si="61"/>
        <v>92.86563723207767</v>
      </c>
      <c r="CQ44" s="31"/>
      <c r="CR44" s="7" t="str">
        <f aca="true" t="shared" si="142" ref="CR44:CR67">A44</f>
        <v>Gallo et al. (1984)</v>
      </c>
    </row>
    <row r="45" spans="1:96" s="5" customFormat="1" ht="12.75" customHeight="1">
      <c r="A45" s="18" t="s">
        <v>111</v>
      </c>
      <c r="B45" s="18"/>
      <c r="C45" s="20"/>
      <c r="D45" s="20">
        <v>39.2</v>
      </c>
      <c r="E45" s="20">
        <v>0.05</v>
      </c>
      <c r="F45" s="20">
        <v>29.9</v>
      </c>
      <c r="G45" s="20"/>
      <c r="H45" s="20"/>
      <c r="I45" s="20">
        <v>2.24</v>
      </c>
      <c r="J45" s="20"/>
      <c r="K45" s="20">
        <v>0.21</v>
      </c>
      <c r="L45" s="20">
        <v>0.08</v>
      </c>
      <c r="M45" s="20"/>
      <c r="N45" s="20"/>
      <c r="O45" s="20">
        <v>1.38</v>
      </c>
      <c r="P45" s="20">
        <v>27.3</v>
      </c>
      <c r="Q45" s="20">
        <f t="shared" si="86"/>
        <v>100.35999999999999</v>
      </c>
      <c r="R45" s="61"/>
      <c r="S45" s="62">
        <f t="shared" si="87"/>
        <v>12.619613132256674</v>
      </c>
      <c r="T45" s="61"/>
      <c r="U45" s="62">
        <f t="shared" si="88"/>
        <v>8.233246202160327</v>
      </c>
      <c r="V45" s="62">
        <f t="shared" si="89"/>
        <v>0.007899225534344955</v>
      </c>
      <c r="W45" s="62">
        <f t="shared" si="90"/>
        <v>7.401365668238333</v>
      </c>
      <c r="X45" s="62">
        <f t="shared" si="91"/>
        <v>0</v>
      </c>
      <c r="Y45" s="62">
        <f t="shared" si="92"/>
        <v>0</v>
      </c>
      <c r="Z45" s="62">
        <f t="shared" si="93"/>
        <v>0.39345173588306864</v>
      </c>
      <c r="AA45" s="62">
        <f t="shared" si="94"/>
        <v>0.06575161289601542</v>
      </c>
      <c r="AB45" s="62">
        <f t="shared" si="95"/>
        <v>0</v>
      </c>
      <c r="AC45" s="62">
        <f t="shared" si="96"/>
        <v>0.018003135854738877</v>
      </c>
      <c r="AD45" s="62">
        <f t="shared" si="97"/>
        <v>0</v>
      </c>
      <c r="AE45" s="62">
        <f t="shared" si="98"/>
        <v>0</v>
      </c>
      <c r="AF45" s="62">
        <f t="shared" si="99"/>
        <v>0.5619672141057659</v>
      </c>
      <c r="AG45" s="62">
        <f t="shared" si="100"/>
        <v>7.31494110113291</v>
      </c>
      <c r="AH45" s="62"/>
      <c r="AI45" s="62">
        <f t="shared" si="101"/>
        <v>0.9353551679981063</v>
      </c>
      <c r="AJ45" s="62">
        <f t="shared" si="102"/>
        <v>23.996625895805504</v>
      </c>
      <c r="AK45" s="62">
        <f t="shared" si="103"/>
        <v>16.10171444471209</v>
      </c>
      <c r="AL45" s="62">
        <f t="shared" si="104"/>
        <v>7.894911451093415</v>
      </c>
      <c r="AM45" s="62">
        <f t="shared" si="105"/>
        <v>7.912914586948154</v>
      </c>
      <c r="AN45" s="62">
        <f t="shared" si="106"/>
        <v>0.4068577788483472</v>
      </c>
      <c r="AO45" s="62">
        <f t="shared" si="120"/>
        <v>0.3543018209580566</v>
      </c>
      <c r="AP45" s="62">
        <f t="shared" si="107"/>
        <v>1.1483366857900295</v>
      </c>
      <c r="AQ45" s="61"/>
      <c r="AR45" s="62">
        <f>((U45+V45)*4+(W45+X45+Y45)*3+(Z45+AA45+AB45)*2)</f>
        <v>56.08708541305185</v>
      </c>
      <c r="AS45" s="62">
        <f>AR45/(U45+V45+W45+X45+Y45+Z45+AA45+AB45)</f>
        <v>3.4832989745058622</v>
      </c>
      <c r="AT45" s="62">
        <f t="shared" si="108"/>
        <v>55.732783592093796</v>
      </c>
      <c r="AU45" s="64">
        <f t="shared" si="109"/>
        <v>0.3543018209580566</v>
      </c>
      <c r="AV45" s="64"/>
      <c r="AW45" s="62" t="s">
        <v>111</v>
      </c>
      <c r="AX45" s="62"/>
      <c r="AY45" s="62">
        <f>(U45+V45)-AC45*2-AD45*2-AE45*2-AF45-AG45-(Z45+AA45+AB45)</f>
        <v>-0.13097250803256677</v>
      </c>
      <c r="AZ45" s="63">
        <f t="shared" si="110"/>
        <v>-0.8185781752035424</v>
      </c>
      <c r="BA45" s="62">
        <f t="shared" si="121"/>
        <v>0.39222874718810463</v>
      </c>
      <c r="BB45" s="63">
        <f t="shared" si="122"/>
        <v>1.907148818271656</v>
      </c>
      <c r="BC45" s="37"/>
      <c r="BD45" s="63">
        <f t="shared" si="123"/>
        <v>7.024590176322074</v>
      </c>
      <c r="BE45" s="63">
        <f t="shared" si="124"/>
        <v>7.024590176322074</v>
      </c>
      <c r="BF45" s="63">
        <f t="shared" si="125"/>
        <v>0</v>
      </c>
      <c r="BG45" s="63">
        <f t="shared" si="126"/>
        <v>91.43676376416137</v>
      </c>
      <c r="BH45" s="63">
        <f t="shared" si="127"/>
        <v>79.95668004468429</v>
      </c>
      <c r="BI45" s="63">
        <f t="shared" si="128"/>
        <v>0.45007839636847186</v>
      </c>
      <c r="BJ45" s="63">
        <f t="shared" si="129"/>
        <v>11.480083719477102</v>
      </c>
      <c r="BK45" s="63"/>
      <c r="BL45" s="61" t="str">
        <f t="shared" si="130"/>
        <v>All Fe2+</v>
      </c>
      <c r="BM45" s="61"/>
      <c r="BN45" s="63">
        <f t="shared" si="131"/>
        <v>1.0885676631480743</v>
      </c>
      <c r="BO45" s="63">
        <f t="shared" si="132"/>
        <v>-0.8185781752035424</v>
      </c>
      <c r="BP45" s="63">
        <f t="shared" si="133"/>
        <v>-0.18286289575303988</v>
      </c>
      <c r="BQ45" s="63">
        <f t="shared" si="134"/>
        <v>1.0885676631480743</v>
      </c>
      <c r="BR45" s="63">
        <f>((U45+V45)-(W45+X45+Y45)-((Z45+AA45+AB45)*3))*100/16</f>
        <v>-3.3614392930057093</v>
      </c>
      <c r="BS45" s="62"/>
      <c r="BT45" s="63">
        <f t="shared" si="111"/>
        <v>0.457715001204388</v>
      </c>
      <c r="BU45" s="63">
        <f t="shared" si="112"/>
        <v>1.7519773027578847</v>
      </c>
      <c r="BV45" s="63"/>
      <c r="BW45" s="63">
        <f t="shared" si="135"/>
        <v>7.056349280003674</v>
      </c>
      <c r="BX45" s="63">
        <f t="shared" si="136"/>
        <v>91.85016149809385</v>
      </c>
      <c r="BY45" s="63">
        <f t="shared" si="137"/>
        <v>1.0934892219024752</v>
      </c>
      <c r="BZ45" s="62"/>
      <c r="CA45" s="63">
        <f t="shared" si="138"/>
        <v>7.024590176322073</v>
      </c>
      <c r="CB45" s="63">
        <f t="shared" si="139"/>
        <v>91.43676376416138</v>
      </c>
      <c r="CC45" s="63">
        <f t="shared" si="140"/>
        <v>0.4500783963684719</v>
      </c>
      <c r="CD45" s="63">
        <f t="shared" si="141"/>
        <v>1.0885676631480743</v>
      </c>
      <c r="CE45" s="63">
        <f>((U45+V45)-(W45+X45+Y45)-((Z45+AA45+AB45)*3))*100/16</f>
        <v>-3.3614392930057093</v>
      </c>
      <c r="CF45" s="63"/>
      <c r="CG45" s="63">
        <f t="shared" si="113"/>
        <v>7.056349280003672</v>
      </c>
      <c r="CH45" s="63">
        <f t="shared" si="114"/>
        <v>91.85016149809385</v>
      </c>
      <c r="CI45" s="63">
        <f t="shared" si="115"/>
        <v>1.093489221902475</v>
      </c>
      <c r="CJ45" s="61"/>
      <c r="CK45" s="63">
        <f t="shared" si="116"/>
        <v>7.386536783299183</v>
      </c>
      <c r="CL45" s="63">
        <f t="shared" si="117"/>
        <v>96.14810286960281</v>
      </c>
      <c r="CM45" s="63">
        <f t="shared" si="118"/>
        <v>-3.534639652902003</v>
      </c>
      <c r="CN45" s="63"/>
      <c r="CO45" s="65">
        <f>CA45/(CA45+CB45)*100</f>
        <v>7.134362767922325</v>
      </c>
      <c r="CP45" s="65">
        <f t="shared" si="61"/>
        <v>92.86563723207767</v>
      </c>
      <c r="CQ45" s="31"/>
      <c r="CR45" s="7" t="str">
        <f t="shared" si="142"/>
        <v>All Fe2+</v>
      </c>
    </row>
    <row r="46" spans="1:96" s="5" customFormat="1" ht="12.75" customHeight="1">
      <c r="A46" s="14" t="s">
        <v>112</v>
      </c>
      <c r="B46" s="14"/>
      <c r="C46" s="16"/>
      <c r="D46" s="16">
        <v>39.2</v>
      </c>
      <c r="E46" s="16">
        <v>0.05</v>
      </c>
      <c r="F46" s="16">
        <v>29.9</v>
      </c>
      <c r="G46" s="16">
        <v>2.4894137297477874</v>
      </c>
      <c r="H46" s="16"/>
      <c r="I46" s="16"/>
      <c r="J46" s="16"/>
      <c r="K46" s="16">
        <v>0.21</v>
      </c>
      <c r="L46" s="16">
        <v>0.08</v>
      </c>
      <c r="M46" s="16"/>
      <c r="N46" s="16"/>
      <c r="O46" s="16">
        <v>1.38</v>
      </c>
      <c r="P46" s="16">
        <v>27.3</v>
      </c>
      <c r="Q46" s="16">
        <f t="shared" si="86"/>
        <v>100.60941372974777</v>
      </c>
      <c r="R46" s="46"/>
      <c r="S46" s="50">
        <f t="shared" si="87"/>
        <v>12.54250686445033</v>
      </c>
      <c r="T46" s="46"/>
      <c r="U46" s="50">
        <f t="shared" si="88"/>
        <v>8.182940786302794</v>
      </c>
      <c r="V46" s="50">
        <f t="shared" si="89"/>
        <v>0.007850960996190686</v>
      </c>
      <c r="W46" s="50">
        <f t="shared" si="90"/>
        <v>7.3561430708918945</v>
      </c>
      <c r="X46" s="50">
        <f t="shared" si="91"/>
        <v>0.3910458844429286</v>
      </c>
      <c r="Y46" s="50">
        <f t="shared" si="92"/>
        <v>0</v>
      </c>
      <c r="Z46" s="50">
        <f t="shared" si="93"/>
        <v>0</v>
      </c>
      <c r="AA46" s="50">
        <f t="shared" si="94"/>
        <v>0.06534986829263291</v>
      </c>
      <c r="AB46" s="50">
        <f t="shared" si="95"/>
        <v>0</v>
      </c>
      <c r="AC46" s="50">
        <f t="shared" si="96"/>
        <v>0.017893136078991293</v>
      </c>
      <c r="AD46" s="50">
        <f t="shared" si="97"/>
        <v>0</v>
      </c>
      <c r="AE46" s="50">
        <f t="shared" si="98"/>
        <v>0</v>
      </c>
      <c r="AF46" s="50">
        <f t="shared" si="99"/>
        <v>0.5585335752093035</v>
      </c>
      <c r="AG46" s="50">
        <f t="shared" si="100"/>
        <v>7.270246560847053</v>
      </c>
      <c r="AH46" s="50"/>
      <c r="AI46" s="50">
        <f>(U46+V46)/(W46+X46+Y46)</f>
        <v>1.05725983895858</v>
      </c>
      <c r="AJ46" s="50">
        <f t="shared" si="102"/>
        <v>23.85000384306179</v>
      </c>
      <c r="AK46" s="50">
        <f>SUM(U46:Y46)</f>
        <v>15.937980702633807</v>
      </c>
      <c r="AL46" s="50">
        <f t="shared" si="104"/>
        <v>7.846673272135347</v>
      </c>
      <c r="AM46" s="50">
        <f t="shared" si="105"/>
        <v>7.864566408214339</v>
      </c>
      <c r="AN46" s="50">
        <f>(W46+X46+Y46)-AM46</f>
        <v>-0.11737745287951551</v>
      </c>
      <c r="AO46" s="50">
        <f t="shared" si="120"/>
        <v>-0.21793063423061199</v>
      </c>
      <c r="AP46" s="50">
        <f t="shared" si="107"/>
        <v>0.538600060950164</v>
      </c>
      <c r="AQ46" s="46"/>
      <c r="AR46" s="50">
        <f>((U46+V46)*4+(W46+X46+Y46)*3)</f>
        <v>56.004733855200406</v>
      </c>
      <c r="AS46" s="50">
        <f>AR46/(U46+V46+W46+X46+Y46)</f>
        <v>3.5139165305894386</v>
      </c>
      <c r="AT46" s="50">
        <f t="shared" si="108"/>
        <v>56.22266448943102</v>
      </c>
      <c r="AU46" s="51">
        <f t="shared" si="109"/>
        <v>-0.21793063423061199</v>
      </c>
      <c r="AV46" s="51"/>
      <c r="AW46" s="50" t="s">
        <v>112</v>
      </c>
      <c r="AX46" s="50"/>
      <c r="AY46" s="50">
        <f>(U46+V46)-AC46*2-AD46*2-AE46*2-AF46-AG46</f>
        <v>0.3262253390846457</v>
      </c>
      <c r="AZ46" s="53">
        <f t="shared" si="110"/>
        <v>2.0389083692790355</v>
      </c>
      <c r="BA46" s="50">
        <f t="shared" si="121"/>
        <v>0.08007543627233982</v>
      </c>
      <c r="BB46" s="53">
        <f t="shared" si="122"/>
        <v>-0.5502076700722134</v>
      </c>
      <c r="BC46" s="37"/>
      <c r="BD46" s="53">
        <f t="shared" si="123"/>
        <v>6.981669690116294</v>
      </c>
      <c r="BE46" s="53">
        <f t="shared" si="124"/>
        <v>2.093596134579686</v>
      </c>
      <c r="BF46" s="53">
        <f t="shared" si="125"/>
        <v>4.888073555536608</v>
      </c>
      <c r="BG46" s="53">
        <f t="shared" si="126"/>
        <v>90.87808201058816</v>
      </c>
      <c r="BH46" s="53">
        <f t="shared" si="127"/>
        <v>89.24433530327235</v>
      </c>
      <c r="BI46" s="53">
        <f t="shared" si="128"/>
        <v>0.44732840197478235</v>
      </c>
      <c r="BJ46" s="53">
        <f t="shared" si="129"/>
        <v>1.633746707315823</v>
      </c>
      <c r="BK46" s="53"/>
      <c r="BL46" s="46" t="str">
        <f t="shared" si="130"/>
        <v>Old</v>
      </c>
      <c r="BM46" s="46"/>
      <c r="BN46" s="53">
        <f t="shared" si="131"/>
        <v>1.6929198973207729</v>
      </c>
      <c r="BO46" s="53">
        <f t="shared" si="132"/>
        <v>2.0389083692790355</v>
      </c>
      <c r="BP46" s="53">
        <f t="shared" si="133"/>
        <v>1.6512877607402534</v>
      </c>
      <c r="BQ46" s="53">
        <f t="shared" si="134"/>
        <v>1.6929198973207729</v>
      </c>
      <c r="BR46" s="53">
        <f>((U46+V46)-(W46+X46+Y46))*100/16</f>
        <v>2.7725174497760072</v>
      </c>
      <c r="BS46" s="50"/>
      <c r="BT46" s="53">
        <f t="shared" si="111"/>
        <v>-0.08303723326998304</v>
      </c>
      <c r="BU46" s="53">
        <f t="shared" si="112"/>
        <v>-0.20437379967346742</v>
      </c>
      <c r="BV46" s="53"/>
      <c r="BW46" s="53">
        <f t="shared" si="135"/>
        <v>7.013041014415916</v>
      </c>
      <c r="BX46" s="53">
        <f t="shared" si="136"/>
        <v>91.28643214873888</v>
      </c>
      <c r="BY46" s="53">
        <f t="shared" si="137"/>
        <v>1.7005268368451847</v>
      </c>
      <c r="BZ46" s="50"/>
      <c r="CA46" s="53">
        <f t="shared" si="138"/>
        <v>6.981669690116293</v>
      </c>
      <c r="CB46" s="53">
        <f t="shared" si="139"/>
        <v>90.87808201058816</v>
      </c>
      <c r="CC46" s="53">
        <f t="shared" si="140"/>
        <v>0.44732840197478235</v>
      </c>
      <c r="CD46" s="53">
        <f t="shared" si="141"/>
        <v>1.6929198973207729</v>
      </c>
      <c r="CE46" s="53">
        <f>((U46+V46)-(W46+X46+Y46))*100/16</f>
        <v>2.7725174497760072</v>
      </c>
      <c r="CF46" s="53"/>
      <c r="CG46" s="53">
        <f t="shared" si="113"/>
        <v>7.013041014415916</v>
      </c>
      <c r="CH46" s="53">
        <f t="shared" si="114"/>
        <v>91.28643214873888</v>
      </c>
      <c r="CI46" s="53">
        <f t="shared" si="115"/>
        <v>1.7005268368451847</v>
      </c>
      <c r="CJ46" s="46"/>
      <c r="CK46" s="53">
        <f t="shared" si="116"/>
        <v>6.937804095102193</v>
      </c>
      <c r="CL46" s="53">
        <f t="shared" si="117"/>
        <v>90.30709808867931</v>
      </c>
      <c r="CM46" s="53">
        <f t="shared" si="118"/>
        <v>2.755097816218497</v>
      </c>
      <c r="CN46" s="53"/>
      <c r="CO46" s="54">
        <f>CA46/(CA46+CB46)*100</f>
        <v>7.134362767922325</v>
      </c>
      <c r="CP46" s="54">
        <f t="shared" si="61"/>
        <v>92.86563723207767</v>
      </c>
      <c r="CQ46" s="31"/>
      <c r="CR46" s="7" t="str">
        <f t="shared" si="142"/>
        <v>Old</v>
      </c>
    </row>
    <row r="47" spans="1:96" s="5" customFormat="1" ht="12.75" customHeight="1">
      <c r="A47" s="12" t="s">
        <v>81</v>
      </c>
      <c r="B47" s="12" t="s">
        <v>96</v>
      </c>
      <c r="C47" s="11"/>
      <c r="D47" s="11">
        <v>39.07</v>
      </c>
      <c r="E47" s="11"/>
      <c r="F47" s="11">
        <v>28.77</v>
      </c>
      <c r="G47" s="11">
        <v>3.1</v>
      </c>
      <c r="H47" s="11"/>
      <c r="I47" s="84"/>
      <c r="J47" s="11">
        <v>0.02</v>
      </c>
      <c r="K47" s="11">
        <v>0.35</v>
      </c>
      <c r="L47" s="11">
        <v>0.11</v>
      </c>
      <c r="M47" s="11"/>
      <c r="N47" s="11"/>
      <c r="O47" s="11">
        <v>1.74</v>
      </c>
      <c r="P47" s="11">
        <v>27.26</v>
      </c>
      <c r="Q47" s="11">
        <f t="shared" si="86"/>
        <v>100.41999999999999</v>
      </c>
      <c r="R47" s="56"/>
      <c r="S47" s="57">
        <f t="shared" si="87"/>
        <v>12.63004107182499</v>
      </c>
      <c r="T47" s="56"/>
      <c r="U47" s="57">
        <f t="shared" si="88"/>
        <v>8.212722868972467</v>
      </c>
      <c r="V47" s="57">
        <f t="shared" si="89"/>
        <v>0</v>
      </c>
      <c r="W47" s="57">
        <f t="shared" si="90"/>
        <v>7.127533321689797</v>
      </c>
      <c r="X47" s="57">
        <f t="shared" si="91"/>
        <v>0.49035741661342847</v>
      </c>
      <c r="Y47" s="57">
        <f t="shared" si="92"/>
        <v>0</v>
      </c>
      <c r="Z47" s="57">
        <f t="shared" si="93"/>
        <v>0</v>
      </c>
      <c r="AA47" s="57">
        <f t="shared" si="94"/>
        <v>0.10967657549035471</v>
      </c>
      <c r="AB47" s="57">
        <f t="shared" si="95"/>
        <v>0.003560917735969943</v>
      </c>
      <c r="AC47" s="57">
        <f t="shared" si="96"/>
        <v>0.024774766981007484</v>
      </c>
      <c r="AD47" s="57">
        <f t="shared" si="97"/>
        <v>0</v>
      </c>
      <c r="AE47" s="57">
        <f t="shared" si="98"/>
        <v>0</v>
      </c>
      <c r="AF47" s="57">
        <f t="shared" si="99"/>
        <v>0.7091528659565808</v>
      </c>
      <c r="AG47" s="57">
        <f t="shared" si="100"/>
        <v>7.310258922829223</v>
      </c>
      <c r="AH47" s="57"/>
      <c r="AI47" s="57">
        <f t="shared" si="101"/>
        <v>1.0325226614798364</v>
      </c>
      <c r="AJ47" s="57">
        <f t="shared" si="102"/>
        <v>23.988037656268826</v>
      </c>
      <c r="AK47" s="57">
        <f t="shared" si="103"/>
        <v>15.943851100502014</v>
      </c>
      <c r="AL47" s="57">
        <f t="shared" si="104"/>
        <v>8.044186555766812</v>
      </c>
      <c r="AM47" s="57">
        <f t="shared" si="105"/>
        <v>8.06896132274782</v>
      </c>
      <c r="AN47" s="57">
        <f t="shared" si="106"/>
        <v>-0.22459559799194473</v>
      </c>
      <c r="AO47" s="57">
        <f t="shared" si="120"/>
        <v>-0.19697037119269822</v>
      </c>
      <c r="AP47" s="57">
        <f t="shared" si="107"/>
        <v>1.1402506713673217</v>
      </c>
      <c r="AQ47" s="56"/>
      <c r="AR47" s="57">
        <f>((U47+V47)*4+(W47+X47+Y47)*3+(Z47+AA47+AB47)*2)</f>
        <v>55.9310386772522</v>
      </c>
      <c r="AS47" s="57">
        <f>AR47/(U47+V47+W47+X47+Y47+Z47+AA47+AB47)</f>
        <v>3.508000565527806</v>
      </c>
      <c r="AT47" s="57">
        <f t="shared" si="108"/>
        <v>56.128009048444895</v>
      </c>
      <c r="AU47" s="59">
        <f t="shared" si="109"/>
        <v>-0.19697037119269822</v>
      </c>
      <c r="AV47" s="59"/>
      <c r="AW47" s="57" t="s">
        <v>81</v>
      </c>
      <c r="AX47" s="57"/>
      <c r="AY47" s="57">
        <f>(U47+V47)-AC47*2-AD47*2-AE47*2-AF47-AG47-(Z47+AA47+AB47)</f>
        <v>0.030524052998323545</v>
      </c>
      <c r="AZ47" s="58">
        <f t="shared" si="110"/>
        <v>0.19077533123952214</v>
      </c>
      <c r="BA47" s="57">
        <f t="shared" si="121"/>
        <v>-0.23740802124178023</v>
      </c>
      <c r="BB47" s="58">
        <f t="shared" si="122"/>
        <v>-1.0527935105771011</v>
      </c>
      <c r="BC47" s="37"/>
      <c r="BD47" s="58">
        <f t="shared" si="123"/>
        <v>8.864410824457261</v>
      </c>
      <c r="BE47" s="58">
        <f t="shared" si="124"/>
        <v>2.734943116789404</v>
      </c>
      <c r="BF47" s="58">
        <f t="shared" si="125"/>
        <v>6.129467707667856</v>
      </c>
      <c r="BG47" s="58">
        <f t="shared" si="126"/>
        <v>91.37823653536528</v>
      </c>
      <c r="BH47" s="58">
        <f t="shared" si="127"/>
        <v>88.54729920470719</v>
      </c>
      <c r="BI47" s="58">
        <f t="shared" si="128"/>
        <v>0.619369174525187</v>
      </c>
      <c r="BJ47" s="58">
        <f t="shared" si="129"/>
        <v>2.8309373306581165</v>
      </c>
      <c r="BK47" s="58"/>
      <c r="BL47" s="56" t="str">
        <f t="shared" si="130"/>
        <v>Lloyd et al. (1991)</v>
      </c>
      <c r="BM47" s="56"/>
      <c r="BN47" s="58">
        <f t="shared" si="131"/>
        <v>-0.8620165343477361</v>
      </c>
      <c r="BO47" s="58">
        <f t="shared" si="132"/>
        <v>0.19077533123952214</v>
      </c>
      <c r="BP47" s="58">
        <f t="shared" si="133"/>
        <v>-0.16015529062292136</v>
      </c>
      <c r="BQ47" s="58">
        <f t="shared" si="134"/>
        <v>-0.8620165343477325</v>
      </c>
      <c r="BR47" s="58">
        <f>((U47+V47)-(W47+X47+Y47)-((Z47+AA47+AB47)*3))*100/16</f>
        <v>1.5944978186891687</v>
      </c>
      <c r="BS47" s="57"/>
      <c r="BT47" s="58">
        <f t="shared" si="111"/>
        <v>-0.252670047740942</v>
      </c>
      <c r="BU47" s="58">
        <f t="shared" si="112"/>
        <v>1.2213128445197126</v>
      </c>
      <c r="BV47" s="58"/>
      <c r="BW47" s="58">
        <f t="shared" si="135"/>
        <v>8.919656426838655</v>
      </c>
      <c r="BX47" s="58">
        <f t="shared" si="136"/>
        <v>91.94773244681573</v>
      </c>
      <c r="BY47" s="58">
        <f t="shared" si="137"/>
        <v>-0.8673888736544128</v>
      </c>
      <c r="BZ47" s="57"/>
      <c r="CA47" s="58">
        <f t="shared" si="138"/>
        <v>8.86441082445726</v>
      </c>
      <c r="CB47" s="58">
        <f t="shared" si="139"/>
        <v>91.37823653536529</v>
      </c>
      <c r="CC47" s="58">
        <f t="shared" si="140"/>
        <v>0.6193691745251871</v>
      </c>
      <c r="CD47" s="58">
        <f t="shared" si="141"/>
        <v>-0.8620165343477325</v>
      </c>
      <c r="CE47" s="58">
        <f>((U47+V47)-(W47+X47+Y47)-((Z47+AA47+AB47)*3))*100/16</f>
        <v>1.5944978186891687</v>
      </c>
      <c r="CF47" s="58"/>
      <c r="CG47" s="58">
        <f t="shared" si="113"/>
        <v>8.919656426838653</v>
      </c>
      <c r="CH47" s="58">
        <f t="shared" si="114"/>
        <v>91.94773244681576</v>
      </c>
      <c r="CI47" s="58">
        <f t="shared" si="115"/>
        <v>-0.8673888736544091</v>
      </c>
      <c r="CJ47" s="56"/>
      <c r="CK47" s="58">
        <f t="shared" si="116"/>
        <v>8.70449658512983</v>
      </c>
      <c r="CL47" s="58">
        <f t="shared" si="117"/>
        <v>89.72977038504678</v>
      </c>
      <c r="CM47" s="58">
        <f t="shared" si="118"/>
        <v>1.565733029823403</v>
      </c>
      <c r="CN47" s="58"/>
      <c r="CO47" s="60">
        <f aca="true" t="shared" si="143" ref="CO47:CO55">CA47/(CA47+CB47)*100</f>
        <v>8.842953630941448</v>
      </c>
      <c r="CP47" s="60">
        <f t="shared" si="61"/>
        <v>91.15704636905855</v>
      </c>
      <c r="CQ47" s="31"/>
      <c r="CR47" s="7" t="str">
        <f t="shared" si="142"/>
        <v>Lloyd et al. (1991)</v>
      </c>
    </row>
    <row r="48" spans="1:96" s="5" customFormat="1" ht="12.75" customHeight="1">
      <c r="A48" s="18" t="s">
        <v>111</v>
      </c>
      <c r="B48" s="18"/>
      <c r="C48" s="20"/>
      <c r="D48" s="20">
        <v>39.07</v>
      </c>
      <c r="E48" s="20"/>
      <c r="F48" s="20">
        <v>28.77</v>
      </c>
      <c r="G48" s="20"/>
      <c r="H48" s="20"/>
      <c r="I48" s="20">
        <f>G47/1.1113</f>
        <v>2.789525780617295</v>
      </c>
      <c r="J48" s="20">
        <v>0.02</v>
      </c>
      <c r="K48" s="20">
        <v>0.35</v>
      </c>
      <c r="L48" s="20">
        <v>0.11</v>
      </c>
      <c r="M48" s="20"/>
      <c r="N48" s="20"/>
      <c r="O48" s="20">
        <v>1.74</v>
      </c>
      <c r="P48" s="20">
        <v>27.26</v>
      </c>
      <c r="Q48" s="20">
        <f t="shared" si="86"/>
        <v>100.10952578061729</v>
      </c>
      <c r="R48" s="61"/>
      <c r="S48" s="62">
        <f t="shared" si="87"/>
        <v>12.72754855214716</v>
      </c>
      <c r="T48" s="61"/>
      <c r="U48" s="62">
        <f t="shared" si="88"/>
        <v>8.276127406533647</v>
      </c>
      <c r="V48" s="62">
        <f t="shared" si="89"/>
        <v>0</v>
      </c>
      <c r="W48" s="62">
        <f t="shared" si="90"/>
        <v>7.182559889787082</v>
      </c>
      <c r="X48" s="62">
        <f t="shared" si="91"/>
        <v>0</v>
      </c>
      <c r="Y48" s="62">
        <f t="shared" si="92"/>
        <v>0</v>
      </c>
      <c r="Z48" s="62">
        <f t="shared" si="93"/>
        <v>0.4941656433242328</v>
      </c>
      <c r="AA48" s="62">
        <f t="shared" si="94"/>
        <v>0.11052330959562102</v>
      </c>
      <c r="AB48" s="62">
        <f t="shared" si="95"/>
        <v>0.003588409025514798</v>
      </c>
      <c r="AC48" s="62">
        <f t="shared" si="96"/>
        <v>0.024966035171676785</v>
      </c>
      <c r="AD48" s="62">
        <f t="shared" si="97"/>
        <v>0</v>
      </c>
      <c r="AE48" s="62">
        <f t="shared" si="98"/>
        <v>0</v>
      </c>
      <c r="AF48" s="62">
        <f t="shared" si="99"/>
        <v>0.7146277261513688</v>
      </c>
      <c r="AG48" s="62">
        <f t="shared" si="100"/>
        <v>7.366696184118725</v>
      </c>
      <c r="AH48" s="62"/>
      <c r="AI48" s="62">
        <f t="shared" si="101"/>
        <v>0.9129355172867044</v>
      </c>
      <c r="AJ48" s="62">
        <f t="shared" si="102"/>
        <v>24.173254603707868</v>
      </c>
      <c r="AK48" s="62">
        <f t="shared" si="103"/>
        <v>16.066964658266098</v>
      </c>
      <c r="AL48" s="62">
        <f t="shared" si="104"/>
        <v>8.10628994544177</v>
      </c>
      <c r="AM48" s="62">
        <f t="shared" si="105"/>
        <v>8.131255980613448</v>
      </c>
      <c r="AN48" s="62">
        <f t="shared" si="106"/>
        <v>0.2678586330643711</v>
      </c>
      <c r="AO48" s="62">
        <f t="shared" si="120"/>
        <v>0.2328524043332294</v>
      </c>
      <c r="AP48" s="62">
        <f t="shared" si="107"/>
        <v>1.1503365568905404</v>
      </c>
      <c r="AQ48" s="61"/>
      <c r="AR48" s="62">
        <f>((U48+V48)*4+(W48+X48+Y48)*3+(Z48+AA48+AB48)*2)</f>
        <v>55.86874401938657</v>
      </c>
      <c r="AS48" s="62">
        <f>AR48/(U48+V48+W48+X48+Y48+Z48+AA48+AB48)</f>
        <v>3.4772432259408337</v>
      </c>
      <c r="AT48" s="62">
        <f t="shared" si="108"/>
        <v>55.63589161505334</v>
      </c>
      <c r="AU48" s="64">
        <f t="shared" si="109"/>
        <v>0.2328524043332294</v>
      </c>
      <c r="AV48" s="64"/>
      <c r="AW48" s="62" t="s">
        <v>111</v>
      </c>
      <c r="AX48" s="62"/>
      <c r="AY48" s="62">
        <f>(U48+V48)-AC48*2-AD48*2-AE48*2-AF48-AG48-(Z48+AA48+AB48)</f>
        <v>-0.4634059360251698</v>
      </c>
      <c r="AZ48" s="63">
        <f t="shared" si="110"/>
        <v>-2.896287100157311</v>
      </c>
      <c r="BA48" s="62">
        <f t="shared" si="121"/>
        <v>0.06963799418482552</v>
      </c>
      <c r="BB48" s="63">
        <f t="shared" si="122"/>
        <v>1.2555893043475275</v>
      </c>
      <c r="BC48" s="37"/>
      <c r="BD48" s="63">
        <f t="shared" si="123"/>
        <v>8.932846576892109</v>
      </c>
      <c r="BE48" s="63">
        <f t="shared" si="124"/>
        <v>8.932846576892109</v>
      </c>
      <c r="BF48" s="63">
        <f t="shared" si="125"/>
        <v>0</v>
      </c>
      <c r="BG48" s="63">
        <f t="shared" si="126"/>
        <v>92.08370230148408</v>
      </c>
      <c r="BH48" s="63">
        <f t="shared" si="127"/>
        <v>76.87676825284984</v>
      </c>
      <c r="BI48" s="63">
        <f t="shared" si="128"/>
        <v>0.6241508792919196</v>
      </c>
      <c r="BJ48" s="63">
        <f t="shared" si="129"/>
        <v>15.206934048634217</v>
      </c>
      <c r="BK48" s="63"/>
      <c r="BL48" s="61" t="str">
        <f t="shared" si="130"/>
        <v>All Fe2+</v>
      </c>
      <c r="BM48" s="61"/>
      <c r="BN48" s="63">
        <f t="shared" si="131"/>
        <v>-1.640699757668101</v>
      </c>
      <c r="BO48" s="63">
        <f t="shared" si="132"/>
        <v>-2.896287100157311</v>
      </c>
      <c r="BP48" s="63">
        <f t="shared" si="133"/>
        <v>-2.477757985994306</v>
      </c>
      <c r="BQ48" s="63">
        <f t="shared" si="134"/>
        <v>-1.6406997576680862</v>
      </c>
      <c r="BR48" s="63">
        <f>((U48+V48)-(W48+X48+Y48)-((Z48+AA48+AB48)*3))*100/16</f>
        <v>-4.570403556809632</v>
      </c>
      <c r="BS48" s="62"/>
      <c r="BT48" s="63">
        <f t="shared" si="111"/>
        <v>0.3013409621974104</v>
      </c>
      <c r="BU48" s="63">
        <f t="shared" si="112"/>
        <v>-0.765275509197219</v>
      </c>
      <c r="BV48" s="63"/>
      <c r="BW48" s="63">
        <f t="shared" si="135"/>
        <v>8.98895119481366</v>
      </c>
      <c r="BX48" s="63">
        <f t="shared" si="136"/>
        <v>92.66205332206368</v>
      </c>
      <c r="BY48" s="63">
        <f t="shared" si="137"/>
        <v>-1.6510045168773402</v>
      </c>
      <c r="BZ48" s="62"/>
      <c r="CA48" s="63">
        <f t="shared" si="138"/>
        <v>8.93284657689211</v>
      </c>
      <c r="CB48" s="63">
        <f t="shared" si="139"/>
        <v>92.08370230148407</v>
      </c>
      <c r="CC48" s="63">
        <f t="shared" si="140"/>
        <v>0.6241508792919196</v>
      </c>
      <c r="CD48" s="63">
        <f t="shared" si="141"/>
        <v>-1.6406997576680862</v>
      </c>
      <c r="CE48" s="63">
        <f>((U48+V48)-(W48+X48+Y48)-((Z48+AA48+AB48)*3))*100/16</f>
        <v>-4.570403556809632</v>
      </c>
      <c r="CF48" s="63"/>
      <c r="CG48" s="63">
        <f t="shared" si="113"/>
        <v>8.98895119481366</v>
      </c>
      <c r="CH48" s="63">
        <f t="shared" si="114"/>
        <v>92.66205332206367</v>
      </c>
      <c r="CI48" s="63">
        <f t="shared" si="115"/>
        <v>-1.6510045168773253</v>
      </c>
      <c r="CJ48" s="61"/>
      <c r="CK48" s="63">
        <f t="shared" si="116"/>
        <v>9.2620047666069</v>
      </c>
      <c r="CL48" s="63">
        <f t="shared" si="117"/>
        <v>95.47680935766027</v>
      </c>
      <c r="CM48" s="63">
        <f t="shared" si="118"/>
        <v>-4.738814124267167</v>
      </c>
      <c r="CN48" s="63"/>
      <c r="CO48" s="65">
        <f t="shared" si="143"/>
        <v>8.842953630941452</v>
      </c>
      <c r="CP48" s="65">
        <f t="shared" si="61"/>
        <v>91.15704636905855</v>
      </c>
      <c r="CQ48" s="31"/>
      <c r="CR48" s="7" t="str">
        <f t="shared" si="142"/>
        <v>All Fe2+</v>
      </c>
    </row>
    <row r="49" spans="1:96" s="5" customFormat="1" ht="12.75" customHeight="1">
      <c r="A49" s="14" t="s">
        <v>112</v>
      </c>
      <c r="B49" s="14"/>
      <c r="C49" s="16"/>
      <c r="D49" s="16">
        <v>39.07</v>
      </c>
      <c r="E49" s="16"/>
      <c r="F49" s="16">
        <v>28.77</v>
      </c>
      <c r="G49" s="16">
        <v>3.1</v>
      </c>
      <c r="H49" s="16"/>
      <c r="I49" s="87"/>
      <c r="J49" s="16">
        <v>0.02</v>
      </c>
      <c r="K49" s="16">
        <v>0.35</v>
      </c>
      <c r="L49" s="16">
        <v>0.11</v>
      </c>
      <c r="M49" s="16"/>
      <c r="N49" s="16"/>
      <c r="O49" s="16">
        <v>1.74</v>
      </c>
      <c r="P49" s="16">
        <v>27.26</v>
      </c>
      <c r="Q49" s="16">
        <f t="shared" si="86"/>
        <v>100.41999999999999</v>
      </c>
      <c r="R49" s="46"/>
      <c r="S49" s="50">
        <f t="shared" si="87"/>
        <v>12.63004107182499</v>
      </c>
      <c r="T49" s="46"/>
      <c r="U49" s="50">
        <f t="shared" si="88"/>
        <v>8.212722868972467</v>
      </c>
      <c r="V49" s="50">
        <f t="shared" si="89"/>
        <v>0</v>
      </c>
      <c r="W49" s="50">
        <f t="shared" si="90"/>
        <v>7.127533321689797</v>
      </c>
      <c r="X49" s="50">
        <f t="shared" si="91"/>
        <v>0.49035741661342847</v>
      </c>
      <c r="Y49" s="50">
        <f t="shared" si="92"/>
        <v>0</v>
      </c>
      <c r="Z49" s="50">
        <f t="shared" si="93"/>
        <v>0</v>
      </c>
      <c r="AA49" s="50">
        <f t="shared" si="94"/>
        <v>0.10967657549035471</v>
      </c>
      <c r="AB49" s="50">
        <f t="shared" si="95"/>
        <v>0.003560917735969943</v>
      </c>
      <c r="AC49" s="50">
        <f t="shared" si="96"/>
        <v>0.024774766981007484</v>
      </c>
      <c r="AD49" s="50">
        <f t="shared" si="97"/>
        <v>0</v>
      </c>
      <c r="AE49" s="50">
        <f t="shared" si="98"/>
        <v>0</v>
      </c>
      <c r="AF49" s="50">
        <f t="shared" si="99"/>
        <v>0.7091528659565808</v>
      </c>
      <c r="AG49" s="50">
        <f t="shared" si="100"/>
        <v>7.310258922829223</v>
      </c>
      <c r="AH49" s="50"/>
      <c r="AI49" s="50">
        <f>(U49+V49)/(W49+X49+Y49)</f>
        <v>1.0780835734067946</v>
      </c>
      <c r="AJ49" s="50">
        <f t="shared" si="102"/>
        <v>23.988037656268826</v>
      </c>
      <c r="AK49" s="50">
        <f>SUM(U49:Y49)</f>
        <v>15.83061360727569</v>
      </c>
      <c r="AL49" s="50">
        <f t="shared" si="104"/>
        <v>8.044186555766812</v>
      </c>
      <c r="AM49" s="50">
        <f t="shared" si="105"/>
        <v>8.06896132274782</v>
      </c>
      <c r="AN49" s="50">
        <f>(W49+X49+Y49)-AM49</f>
        <v>-0.4510705844445937</v>
      </c>
      <c r="AO49" s="50">
        <f t="shared" si="120"/>
        <v>-0.5960347043989174</v>
      </c>
      <c r="AP49" s="50">
        <f t="shared" si="107"/>
        <v>0.7567857729014026</v>
      </c>
      <c r="AQ49" s="46"/>
      <c r="AR49" s="50">
        <f>((U49+V49)*4+(W49+X49+Y49)*3)</f>
        <v>55.704563690799546</v>
      </c>
      <c r="AS49" s="50">
        <f>AR49/(U49+V49+W49+X49+Y49)</f>
        <v>3.518787399699904</v>
      </c>
      <c r="AT49" s="50">
        <f t="shared" si="108"/>
        <v>56.30059839519846</v>
      </c>
      <c r="AU49" s="51">
        <f t="shared" si="109"/>
        <v>-0.5960347043989174</v>
      </c>
      <c r="AV49" s="51"/>
      <c r="AW49" s="50" t="s">
        <v>112</v>
      </c>
      <c r="AX49" s="50"/>
      <c r="AY49" s="50">
        <f>(U49+V49)-AC49*2-AD49*2-AE49*2-AF49-AG49</f>
        <v>0.1437615462246482</v>
      </c>
      <c r="AZ49" s="53">
        <f t="shared" si="110"/>
        <v>0.8985096639040513</v>
      </c>
      <c r="BA49" s="50">
        <f t="shared" si="121"/>
        <v>-0.3506455144681049</v>
      </c>
      <c r="BB49" s="53">
        <f t="shared" si="122"/>
        <v>-2.114396668328827</v>
      </c>
      <c r="BC49" s="37"/>
      <c r="BD49" s="53">
        <f t="shared" si="123"/>
        <v>8.864410824457261</v>
      </c>
      <c r="BE49" s="53">
        <f t="shared" si="124"/>
        <v>2.734943116789404</v>
      </c>
      <c r="BF49" s="53">
        <f t="shared" si="125"/>
        <v>6.129467707667856</v>
      </c>
      <c r="BG49" s="53">
        <f t="shared" si="126"/>
        <v>91.37823653536528</v>
      </c>
      <c r="BH49" s="53">
        <f t="shared" si="127"/>
        <v>88.54729920470719</v>
      </c>
      <c r="BI49" s="53">
        <f t="shared" si="128"/>
        <v>0.619369174525187</v>
      </c>
      <c r="BJ49" s="53">
        <f t="shared" si="129"/>
        <v>2.8309373306581165</v>
      </c>
      <c r="BK49" s="53"/>
      <c r="BL49" s="46" t="str">
        <f t="shared" si="130"/>
        <v>Old</v>
      </c>
      <c r="BM49" s="46"/>
      <c r="BN49" s="53">
        <f t="shared" si="131"/>
        <v>-0.8620165343477361</v>
      </c>
      <c r="BO49" s="53">
        <f t="shared" si="132"/>
        <v>0.8985096639040513</v>
      </c>
      <c r="BP49" s="53">
        <f t="shared" si="133"/>
        <v>-0.16015529062292136</v>
      </c>
      <c r="BQ49" s="53">
        <f t="shared" si="134"/>
        <v>-0.8620165343477325</v>
      </c>
      <c r="BR49" s="53">
        <f>((U49+V49)-(W49+X49+Y49))*100/16</f>
        <v>3.7177008166827563</v>
      </c>
      <c r="BS49" s="50"/>
      <c r="BT49" s="53">
        <f t="shared" si="111"/>
        <v>-0.42252628758042904</v>
      </c>
      <c r="BU49" s="53">
        <f t="shared" si="112"/>
        <v>2.0423346050826376</v>
      </c>
      <c r="BV49" s="53"/>
      <c r="BW49" s="53">
        <f t="shared" si="135"/>
        <v>8.919656426838655</v>
      </c>
      <c r="BX49" s="53">
        <f t="shared" si="136"/>
        <v>91.94773244681573</v>
      </c>
      <c r="BY49" s="53">
        <f t="shared" si="137"/>
        <v>-0.8673888736544128</v>
      </c>
      <c r="BZ49" s="50"/>
      <c r="CA49" s="53">
        <f t="shared" si="138"/>
        <v>8.86441082445726</v>
      </c>
      <c r="CB49" s="53">
        <f t="shared" si="139"/>
        <v>91.37823653536529</v>
      </c>
      <c r="CC49" s="53">
        <f t="shared" si="140"/>
        <v>0.6193691745251871</v>
      </c>
      <c r="CD49" s="53">
        <f t="shared" si="141"/>
        <v>-0.8620165343477325</v>
      </c>
      <c r="CE49" s="53">
        <f>((U49+V49)-(W49+X49+Y49))*100/16</f>
        <v>3.7177008166827563</v>
      </c>
      <c r="CF49" s="53"/>
      <c r="CG49" s="53">
        <f t="shared" si="113"/>
        <v>8.919656426838653</v>
      </c>
      <c r="CH49" s="53">
        <f t="shared" si="114"/>
        <v>91.94773244681576</v>
      </c>
      <c r="CI49" s="53">
        <f t="shared" si="115"/>
        <v>-0.8673888736544091</v>
      </c>
      <c r="CJ49" s="46"/>
      <c r="CK49" s="53">
        <f t="shared" si="116"/>
        <v>8.526722909206827</v>
      </c>
      <c r="CL49" s="53">
        <f t="shared" si="117"/>
        <v>87.89720132547274</v>
      </c>
      <c r="CM49" s="53">
        <f t="shared" si="118"/>
        <v>3.5760757653204407</v>
      </c>
      <c r="CN49" s="53"/>
      <c r="CO49" s="54">
        <f t="shared" si="143"/>
        <v>8.842953630941448</v>
      </c>
      <c r="CP49" s="54">
        <f t="shared" si="61"/>
        <v>91.15704636905855</v>
      </c>
      <c r="CQ49" s="31"/>
      <c r="CR49" s="7" t="str">
        <f t="shared" si="142"/>
        <v>Old</v>
      </c>
    </row>
    <row r="50" spans="1:96" s="5" customFormat="1" ht="12.75" customHeight="1">
      <c r="A50" s="12" t="s">
        <v>117</v>
      </c>
      <c r="B50" s="12" t="s">
        <v>97</v>
      </c>
      <c r="C50" s="11"/>
      <c r="D50" s="11">
        <v>37.85</v>
      </c>
      <c r="E50" s="11">
        <v>0.09</v>
      </c>
      <c r="F50" s="11">
        <v>23.57</v>
      </c>
      <c r="G50" s="11">
        <v>8.04614080507767</v>
      </c>
      <c r="H50" s="11">
        <v>0.01</v>
      </c>
      <c r="I50" s="84"/>
      <c r="J50" s="11"/>
      <c r="K50" s="11">
        <v>0.99</v>
      </c>
      <c r="L50" s="11">
        <v>0.02</v>
      </c>
      <c r="M50" s="11"/>
      <c r="N50" s="11">
        <v>0.26</v>
      </c>
      <c r="O50" s="11">
        <v>0.77</v>
      </c>
      <c r="P50" s="11">
        <v>27.64</v>
      </c>
      <c r="Q50" s="11">
        <f t="shared" si="86"/>
        <v>99.24614080507767</v>
      </c>
      <c r="R50" s="56"/>
      <c r="S50" s="57">
        <f t="shared" si="87"/>
        <v>13.1175819199919</v>
      </c>
      <c r="T50" s="56"/>
      <c r="U50" s="57">
        <f t="shared" si="88"/>
        <v>8.26339785387686</v>
      </c>
      <c r="V50" s="57">
        <f t="shared" si="89"/>
        <v>0.014779670861345828</v>
      </c>
      <c r="W50" s="57">
        <f t="shared" si="90"/>
        <v>6.064681518462576</v>
      </c>
      <c r="X50" s="57">
        <f t="shared" si="91"/>
        <v>1.3218668306954995</v>
      </c>
      <c r="Y50" s="57">
        <f t="shared" si="92"/>
        <v>0.0017261225378141707</v>
      </c>
      <c r="Z50" s="57">
        <f t="shared" si="93"/>
        <v>0</v>
      </c>
      <c r="AA50" s="57">
        <f t="shared" si="94"/>
        <v>0.3222033519610962</v>
      </c>
      <c r="AB50" s="57">
        <f t="shared" si="95"/>
        <v>0</v>
      </c>
      <c r="AC50" s="57">
        <f t="shared" si="96"/>
        <v>0.004678384490005564</v>
      </c>
      <c r="AD50" s="57">
        <f t="shared" si="97"/>
        <v>0</v>
      </c>
      <c r="AE50" s="57">
        <f t="shared" si="98"/>
        <v>0.022241889260453205</v>
      </c>
      <c r="AF50" s="57">
        <f t="shared" si="99"/>
        <v>0.32593452157761216</v>
      </c>
      <c r="AG50" s="57">
        <f t="shared" si="100"/>
        <v>7.698284712958781</v>
      </c>
      <c r="AH50" s="57"/>
      <c r="AI50" s="57">
        <f t="shared" si="101"/>
        <v>0.9904506352033735</v>
      </c>
      <c r="AJ50" s="57">
        <f t="shared" si="102"/>
        <v>24.039794856682047</v>
      </c>
      <c r="AK50" s="57">
        <f t="shared" si="103"/>
        <v>15.988655348395193</v>
      </c>
      <c r="AL50" s="57">
        <f t="shared" si="104"/>
        <v>8.051139508286852</v>
      </c>
      <c r="AM50" s="57">
        <f t="shared" si="105"/>
        <v>8.078059782037311</v>
      </c>
      <c r="AN50" s="57">
        <f t="shared" si="106"/>
        <v>-0.04537860641922897</v>
      </c>
      <c r="AO50" s="57">
        <f t="shared" si="120"/>
        <v>-0.03967906712688318</v>
      </c>
      <c r="AP50" s="57">
        <f t="shared" si="107"/>
        <v>1.1436409599580597</v>
      </c>
      <c r="AQ50" s="56"/>
      <c r="AR50" s="57">
        <f>((U50+V50)*4+(W50+X50+Y50)*3+(Z50+AA50+AB50)*2)</f>
        <v>55.92194021796269</v>
      </c>
      <c r="AS50" s="57">
        <f>AR50/(U50+V50+W50+X50+Y50+Z50+AA50+AB50)</f>
        <v>3.4976012053180985</v>
      </c>
      <c r="AT50" s="57">
        <f t="shared" si="108"/>
        <v>55.961619285089576</v>
      </c>
      <c r="AU50" s="59">
        <f t="shared" si="109"/>
        <v>-0.03967906712688318</v>
      </c>
      <c r="AV50" s="59"/>
      <c r="AW50" s="57" t="s">
        <v>117</v>
      </c>
      <c r="AX50" s="57"/>
      <c r="AY50" s="57">
        <f>(U50+V50)-AC50*2-AD50*2-AE50*2-AF50-AG50-(Z50+AA50+AB50)</f>
        <v>-0.12208560926020018</v>
      </c>
      <c r="AZ50" s="58">
        <f t="shared" si="110"/>
        <v>-0.7630350578762511</v>
      </c>
      <c r="BA50" s="57">
        <f t="shared" si="121"/>
        <v>-0.11209373685173354</v>
      </c>
      <c r="BB50" s="58">
        <f t="shared" si="122"/>
        <v>-0.2127125499534951</v>
      </c>
      <c r="BC50" s="37"/>
      <c r="BD50" s="58">
        <f t="shared" si="123"/>
        <v>4.074181519720152</v>
      </c>
      <c r="BE50" s="58">
        <f t="shared" si="124"/>
        <v>-12.47073039569627</v>
      </c>
      <c r="BF50" s="58">
        <f t="shared" si="125"/>
        <v>16.54491191541642</v>
      </c>
      <c r="BG50" s="58">
        <f t="shared" si="126"/>
        <v>96.22855891198476</v>
      </c>
      <c r="BH50" s="58">
        <f t="shared" si="127"/>
        <v>88.17347511295736</v>
      </c>
      <c r="BI50" s="58">
        <f t="shared" si="128"/>
        <v>0.6730068437614692</v>
      </c>
      <c r="BJ50" s="58">
        <f t="shared" si="129"/>
        <v>8.055083799027404</v>
      </c>
      <c r="BK50" s="58"/>
      <c r="BL50" s="56" t="str">
        <f t="shared" si="130"/>
        <v>Tappe et al. (2003)</v>
      </c>
      <c r="BM50" s="56"/>
      <c r="BN50" s="58">
        <f t="shared" si="131"/>
        <v>-0.9757472754663906</v>
      </c>
      <c r="BO50" s="58">
        <f t="shared" si="132"/>
        <v>-0.7630350578762511</v>
      </c>
      <c r="BP50" s="58">
        <f t="shared" si="133"/>
        <v>-0.833939130406319</v>
      </c>
      <c r="BQ50" s="58">
        <f t="shared" si="134"/>
        <v>-0.975747275466387</v>
      </c>
      <c r="BR50" s="58">
        <f>((U50+V50)-(W50+X50+Y50)-((Z50+AA50+AB50)*3))*100/16</f>
        <v>-0.4794187677560797</v>
      </c>
      <c r="BS50" s="57"/>
      <c r="BT50" s="58">
        <f t="shared" si="111"/>
        <v>-0.051050932221633476</v>
      </c>
      <c r="BU50" s="58">
        <f t="shared" si="112"/>
        <v>0.21799929442638377</v>
      </c>
      <c r="BV50" s="58"/>
      <c r="BW50" s="58">
        <f t="shared" si="135"/>
        <v>4.101786825774118</v>
      </c>
      <c r="BX50" s="58">
        <f t="shared" si="136"/>
        <v>96.88057179040946</v>
      </c>
      <c r="BY50" s="58">
        <f t="shared" si="137"/>
        <v>-0.9823586161835867</v>
      </c>
      <c r="BZ50" s="57"/>
      <c r="CA50" s="58">
        <f t="shared" si="138"/>
        <v>4.074181519720152</v>
      </c>
      <c r="CB50" s="58">
        <f t="shared" si="139"/>
        <v>96.22855891198476</v>
      </c>
      <c r="CC50" s="58">
        <f t="shared" si="140"/>
        <v>0.6730068437614692</v>
      </c>
      <c r="CD50" s="58">
        <f t="shared" si="141"/>
        <v>-0.975747275466387</v>
      </c>
      <c r="CE50" s="58">
        <f>((U50+V50)-(W50+X50+Y50)-((Z50+AA50+AB50)*3))*100/16</f>
        <v>-0.4794187677560797</v>
      </c>
      <c r="CF50" s="58"/>
      <c r="CG50" s="58">
        <f t="shared" si="113"/>
        <v>4.101786825774118</v>
      </c>
      <c r="CH50" s="58">
        <f t="shared" si="114"/>
        <v>96.88057179040946</v>
      </c>
      <c r="CI50" s="58">
        <f t="shared" si="115"/>
        <v>-0.982358616183583</v>
      </c>
      <c r="CJ50" s="56"/>
      <c r="CK50" s="58">
        <f t="shared" si="116"/>
        <v>4.081392455999128</v>
      </c>
      <c r="CL50" s="58">
        <f t="shared" si="117"/>
        <v>96.39887484002415</v>
      </c>
      <c r="CM50" s="58">
        <f t="shared" si="118"/>
        <v>-0.48026729602329155</v>
      </c>
      <c r="CN50" s="58"/>
      <c r="CO50" s="60">
        <f t="shared" si="143"/>
        <v>4.061884552889379</v>
      </c>
      <c r="CP50" s="60">
        <f t="shared" si="61"/>
        <v>95.93811544711062</v>
      </c>
      <c r="CQ50" s="31"/>
      <c r="CR50" s="7" t="str">
        <f t="shared" si="142"/>
        <v>Tappe et al. (2003)</v>
      </c>
    </row>
    <row r="51" spans="1:96" s="5" customFormat="1" ht="12.75" customHeight="1">
      <c r="A51" s="18" t="s">
        <v>111</v>
      </c>
      <c r="B51" s="18"/>
      <c r="C51" s="20"/>
      <c r="D51" s="20">
        <v>37.85</v>
      </c>
      <c r="E51" s="20">
        <v>0.09</v>
      </c>
      <c r="F51" s="20">
        <v>23.57</v>
      </c>
      <c r="G51" s="20"/>
      <c r="H51" s="20">
        <v>0.01</v>
      </c>
      <c r="I51" s="20">
        <v>7.24</v>
      </c>
      <c r="J51" s="20"/>
      <c r="K51" s="20">
        <v>0.99</v>
      </c>
      <c r="L51" s="20">
        <v>0.02</v>
      </c>
      <c r="M51" s="20"/>
      <c r="N51" s="20">
        <v>0.26</v>
      </c>
      <c r="O51" s="20">
        <v>0.77</v>
      </c>
      <c r="P51" s="20">
        <v>27.64</v>
      </c>
      <c r="Q51" s="20">
        <f t="shared" si="86"/>
        <v>98.44</v>
      </c>
      <c r="R51" s="61"/>
      <c r="S51" s="62">
        <f t="shared" si="87"/>
        <v>13.394225914147755</v>
      </c>
      <c r="T51" s="61"/>
      <c r="U51" s="62">
        <f t="shared" si="88"/>
        <v>8.437669255537513</v>
      </c>
      <c r="V51" s="62">
        <f t="shared" si="89"/>
        <v>0.015091367575292792</v>
      </c>
      <c r="W51" s="62">
        <f t="shared" si="90"/>
        <v>6.192582966212918</v>
      </c>
      <c r="X51" s="62">
        <f t="shared" si="91"/>
        <v>0</v>
      </c>
      <c r="Y51" s="62">
        <f t="shared" si="92"/>
        <v>0.0017625256978002033</v>
      </c>
      <c r="Z51" s="62">
        <f t="shared" si="93"/>
        <v>1.3497507950119665</v>
      </c>
      <c r="AA51" s="62">
        <f t="shared" si="94"/>
        <v>0.3289984779805552</v>
      </c>
      <c r="AB51" s="62">
        <f t="shared" si="95"/>
        <v>0</v>
      </c>
      <c r="AC51" s="62">
        <f t="shared" si="96"/>
        <v>0.004777049547285629</v>
      </c>
      <c r="AD51" s="62">
        <f t="shared" si="97"/>
        <v>0</v>
      </c>
      <c r="AE51" s="62">
        <f t="shared" si="98"/>
        <v>0.022710960856126363</v>
      </c>
      <c r="AF51" s="62">
        <f t="shared" si="99"/>
        <v>0.3328083363121012</v>
      </c>
      <c r="AG51" s="62">
        <f t="shared" si="100"/>
        <v>7.860638128712649</v>
      </c>
      <c r="AH51" s="62"/>
      <c r="AI51" s="62">
        <f t="shared" si="101"/>
        <v>0.7091836218478055</v>
      </c>
      <c r="AJ51" s="62">
        <f t="shared" si="102"/>
        <v>24.54678986344421</v>
      </c>
      <c r="AK51" s="62">
        <f t="shared" si="103"/>
        <v>16.325855388016045</v>
      </c>
      <c r="AL51" s="62">
        <f t="shared" si="104"/>
        <v>8.220934475428162</v>
      </c>
      <c r="AM51" s="62">
        <f t="shared" si="105"/>
        <v>8.248422485831574</v>
      </c>
      <c r="AN51" s="62">
        <f t="shared" si="106"/>
        <v>1.3034215520641883</v>
      </c>
      <c r="AO51" s="62">
        <f t="shared" si="120"/>
        <v>1.112771826750432</v>
      </c>
      <c r="AP51" s="62">
        <f t="shared" si="107"/>
        <v>1.1713286773897758</v>
      </c>
      <c r="AQ51" s="61"/>
      <c r="AR51" s="62">
        <f>((U51+V51)*4+(W51+X51+Y51)*3+(Z51+AA51+AB51)*2)</f>
        <v>55.751577514168424</v>
      </c>
      <c r="AS51" s="62">
        <f>AR51/(U51+V51+W51+X51+Y51+Z51+AA51+AB51)</f>
        <v>3.4149253554636245</v>
      </c>
      <c r="AT51" s="62">
        <f t="shared" si="108"/>
        <v>54.63880568741799</v>
      </c>
      <c r="AU51" s="64">
        <f t="shared" si="109"/>
        <v>1.112771826750432</v>
      </c>
      <c r="AV51" s="64"/>
      <c r="AW51" s="62" t="s">
        <v>111</v>
      </c>
      <c r="AX51" s="62"/>
      <c r="AY51" s="62">
        <f>(U51+V51)-AC51*2-AD51*2-AE51*2-AF51-AG51-(Z51+AA51+AB51)</f>
        <v>-1.4744111357112901</v>
      </c>
      <c r="AZ51" s="63">
        <f t="shared" si="110"/>
        <v>-9.215069598195564</v>
      </c>
      <c r="BA51" s="62">
        <f t="shared" si="121"/>
        <v>0.7291436782165671</v>
      </c>
      <c r="BB51" s="63">
        <f t="shared" si="122"/>
        <v>6.109798071860369</v>
      </c>
      <c r="BC51" s="37"/>
      <c r="BD51" s="63">
        <f t="shared" si="123"/>
        <v>4.160104203901265</v>
      </c>
      <c r="BE51" s="63">
        <f t="shared" si="124"/>
        <v>4.138072632678762</v>
      </c>
      <c r="BF51" s="63">
        <f t="shared" si="125"/>
        <v>0.022031571222502544</v>
      </c>
      <c r="BG51" s="63">
        <f t="shared" si="126"/>
        <v>98.25797660890811</v>
      </c>
      <c r="BH51" s="63">
        <f t="shared" si="127"/>
        <v>56.289244784095075</v>
      </c>
      <c r="BI51" s="63">
        <f t="shared" si="128"/>
        <v>0.6872002600852998</v>
      </c>
      <c r="BJ51" s="63">
        <f t="shared" si="129"/>
        <v>41.96873182481304</v>
      </c>
      <c r="BK51" s="63"/>
      <c r="BL51" s="61" t="str">
        <f t="shared" si="130"/>
        <v>All Fe2+</v>
      </c>
      <c r="BM51" s="61"/>
      <c r="BN51" s="63">
        <f t="shared" si="131"/>
        <v>-3.105281072894679</v>
      </c>
      <c r="BO51" s="63">
        <f t="shared" si="132"/>
        <v>-9.215069598195564</v>
      </c>
      <c r="BP51" s="63">
        <f t="shared" si="133"/>
        <v>-7.1784734230952845</v>
      </c>
      <c r="BQ51" s="63">
        <f t="shared" si="134"/>
        <v>-3.1052810728946754</v>
      </c>
      <c r="BR51" s="63">
        <f>((U51+V51)-(W51+X51+Y51)-((Z51+AA51+AB51)*3))*100/16</f>
        <v>-17.36145429859674</v>
      </c>
      <c r="BS51" s="62"/>
      <c r="BT51" s="63">
        <f t="shared" si="111"/>
        <v>1.4663492460722125</v>
      </c>
      <c r="BU51" s="63">
        <f t="shared" si="112"/>
        <v>-1.9675476653729984</v>
      </c>
      <c r="BV51" s="63"/>
      <c r="BW51" s="63">
        <f t="shared" si="135"/>
        <v>4.188890268722615</v>
      </c>
      <c r="BX51" s="63">
        <f t="shared" si="136"/>
        <v>98.93787796359682</v>
      </c>
      <c r="BY51" s="63">
        <f t="shared" si="137"/>
        <v>-3.1267682323194426</v>
      </c>
      <c r="BZ51" s="62"/>
      <c r="CA51" s="63">
        <f t="shared" si="138"/>
        <v>4.160104203901265</v>
      </c>
      <c r="CB51" s="63">
        <f t="shared" si="139"/>
        <v>98.25797660890811</v>
      </c>
      <c r="CC51" s="63">
        <f t="shared" si="140"/>
        <v>0.6872002600852998</v>
      </c>
      <c r="CD51" s="63">
        <f t="shared" si="141"/>
        <v>-3.1052810728946754</v>
      </c>
      <c r="CE51" s="63">
        <f>((U51+V51)-(W51+X51+Y51)-((Z51+AA51+AB51)*3))*100/16</f>
        <v>-17.36145429859674</v>
      </c>
      <c r="CF51" s="63"/>
      <c r="CG51" s="63">
        <f t="shared" si="113"/>
        <v>4.188890268722615</v>
      </c>
      <c r="CH51" s="63">
        <f t="shared" si="114"/>
        <v>98.9378779635968</v>
      </c>
      <c r="CI51" s="63">
        <f t="shared" si="115"/>
        <v>-3.1267682323194386</v>
      </c>
      <c r="CJ51" s="61"/>
      <c r="CK51" s="63">
        <f t="shared" si="116"/>
        <v>4.890981895697601</v>
      </c>
      <c r="CL51" s="63">
        <f t="shared" si="117"/>
        <v>115.52066033619329</v>
      </c>
      <c r="CM51" s="63">
        <f t="shared" si="118"/>
        <v>-20.4116422318909</v>
      </c>
      <c r="CN51" s="63"/>
      <c r="CO51" s="65">
        <f t="shared" si="143"/>
        <v>4.061884552889379</v>
      </c>
      <c r="CP51" s="65">
        <f t="shared" si="61"/>
        <v>95.93811544711062</v>
      </c>
      <c r="CQ51" s="31"/>
      <c r="CR51" s="7" t="str">
        <f t="shared" si="142"/>
        <v>All Fe2+</v>
      </c>
    </row>
    <row r="52" spans="1:96" s="5" customFormat="1" ht="12.75" customHeight="1">
      <c r="A52" s="14" t="s">
        <v>112</v>
      </c>
      <c r="B52" s="14"/>
      <c r="C52" s="16"/>
      <c r="D52" s="16">
        <v>37.85</v>
      </c>
      <c r="E52" s="16">
        <v>0.09</v>
      </c>
      <c r="F52" s="16">
        <v>23.57</v>
      </c>
      <c r="G52" s="16">
        <v>8.04614080507767</v>
      </c>
      <c r="H52" s="16">
        <v>0.01</v>
      </c>
      <c r="I52" s="16"/>
      <c r="J52" s="16"/>
      <c r="K52" s="16">
        <v>0.99</v>
      </c>
      <c r="L52" s="16">
        <v>0.02</v>
      </c>
      <c r="M52" s="16"/>
      <c r="N52" s="16">
        <v>0.26</v>
      </c>
      <c r="O52" s="16">
        <v>0.77</v>
      </c>
      <c r="P52" s="16">
        <v>27.64</v>
      </c>
      <c r="Q52" s="16">
        <f t="shared" si="86"/>
        <v>99.24614080507767</v>
      </c>
      <c r="R52" s="46"/>
      <c r="S52" s="50">
        <f t="shared" si="87"/>
        <v>13.1175819199919</v>
      </c>
      <c r="T52" s="46"/>
      <c r="U52" s="50">
        <f t="shared" si="88"/>
        <v>8.26339785387686</v>
      </c>
      <c r="V52" s="50">
        <f t="shared" si="89"/>
        <v>0.014779670861345828</v>
      </c>
      <c r="W52" s="50">
        <f t="shared" si="90"/>
        <v>6.064681518462576</v>
      </c>
      <c r="X52" s="50">
        <f t="shared" si="91"/>
        <v>1.3218668306954995</v>
      </c>
      <c r="Y52" s="50">
        <f t="shared" si="92"/>
        <v>0.0017261225378141707</v>
      </c>
      <c r="Z52" s="50">
        <f t="shared" si="93"/>
        <v>0</v>
      </c>
      <c r="AA52" s="50">
        <f t="shared" si="94"/>
        <v>0.3222033519610962</v>
      </c>
      <c r="AB52" s="50">
        <f t="shared" si="95"/>
        <v>0</v>
      </c>
      <c r="AC52" s="50">
        <f t="shared" si="96"/>
        <v>0.004678384490005564</v>
      </c>
      <c r="AD52" s="50">
        <f t="shared" si="97"/>
        <v>0</v>
      </c>
      <c r="AE52" s="50">
        <f t="shared" si="98"/>
        <v>0.022241889260453205</v>
      </c>
      <c r="AF52" s="50">
        <f t="shared" si="99"/>
        <v>0.32593452157761216</v>
      </c>
      <c r="AG52" s="50">
        <f t="shared" si="100"/>
        <v>7.698284712958781</v>
      </c>
      <c r="AH52" s="50"/>
      <c r="AI52" s="50">
        <f>(U52+V52)/(W52+X52+Y52)</f>
        <v>1.1204480229384397</v>
      </c>
      <c r="AJ52" s="50">
        <f t="shared" si="102"/>
        <v>24.039794856682047</v>
      </c>
      <c r="AK52" s="50">
        <f>SUM(U52:Y52)</f>
        <v>15.666451996434096</v>
      </c>
      <c r="AL52" s="50">
        <f t="shared" si="104"/>
        <v>8.051139508286852</v>
      </c>
      <c r="AM52" s="50">
        <f t="shared" si="105"/>
        <v>8.078059782037311</v>
      </c>
      <c r="AN52" s="50">
        <f>(W52+X52+Y52)-AM52</f>
        <v>-0.6897853103414207</v>
      </c>
      <c r="AO52" s="50">
        <f t="shared" si="120"/>
        <v>-1.1768912929265838</v>
      </c>
      <c r="AP52" s="50">
        <f t="shared" si="107"/>
        <v>0.58610792219061</v>
      </c>
      <c r="AQ52" s="46"/>
      <c r="AR52" s="50">
        <f>((U52+V52)*4+(W52+X52+Y52)*3)</f>
        <v>55.2775335140405</v>
      </c>
      <c r="AS52" s="50">
        <f>AR52/(U52+V52+W52+X52+Y52)</f>
        <v>3.5284015504354427</v>
      </c>
      <c r="AT52" s="50">
        <f t="shared" si="108"/>
        <v>56.45442480696708</v>
      </c>
      <c r="AU52" s="51">
        <f t="shared" si="109"/>
        <v>-1.1768912929265838</v>
      </c>
      <c r="AV52" s="51"/>
      <c r="AW52" s="50" t="s">
        <v>112</v>
      </c>
      <c r="AX52" s="50"/>
      <c r="AY52" s="50">
        <f>(U52+V52)-AC52*2-AD52*2-AE52*2-AF52-AG52</f>
        <v>0.200117742700896</v>
      </c>
      <c r="AZ52" s="53">
        <f t="shared" si="110"/>
        <v>1.2507358918806</v>
      </c>
      <c r="BA52" s="50">
        <f t="shared" si="121"/>
        <v>-0.4342970888128297</v>
      </c>
      <c r="BB52" s="53">
        <f t="shared" si="122"/>
        <v>-3.2333736943718066</v>
      </c>
      <c r="BC52" s="37"/>
      <c r="BD52" s="53">
        <f t="shared" si="123"/>
        <v>4.074181519720152</v>
      </c>
      <c r="BE52" s="53">
        <f t="shared" si="124"/>
        <v>-12.47073039569627</v>
      </c>
      <c r="BF52" s="53">
        <f t="shared" si="125"/>
        <v>16.54491191541642</v>
      </c>
      <c r="BG52" s="53">
        <f t="shared" si="126"/>
        <v>96.22855891198476</v>
      </c>
      <c r="BH52" s="53">
        <f t="shared" si="127"/>
        <v>88.17347511295736</v>
      </c>
      <c r="BI52" s="53">
        <f t="shared" si="128"/>
        <v>0.6730068437614692</v>
      </c>
      <c r="BJ52" s="53">
        <f t="shared" si="129"/>
        <v>8.055083799027404</v>
      </c>
      <c r="BK52" s="53"/>
      <c r="BL52" s="46" t="str">
        <f t="shared" si="130"/>
        <v>Old</v>
      </c>
      <c r="BM52" s="46"/>
      <c r="BN52" s="53">
        <f t="shared" si="131"/>
        <v>-0.9757472754663906</v>
      </c>
      <c r="BO52" s="53">
        <f t="shared" si="132"/>
        <v>1.2507358918806</v>
      </c>
      <c r="BP52" s="53">
        <f t="shared" si="133"/>
        <v>-0.833939130406319</v>
      </c>
      <c r="BQ52" s="53">
        <f t="shared" si="134"/>
        <v>-0.975747275466387</v>
      </c>
      <c r="BR52" s="53">
        <f>((U52+V52)-(W52+X52+Y52))*100/16</f>
        <v>5.561894081514474</v>
      </c>
      <c r="BS52" s="50"/>
      <c r="BT52" s="53">
        <f t="shared" si="111"/>
        <v>-0.5343559601632777</v>
      </c>
      <c r="BU52" s="53">
        <f t="shared" si="112"/>
        <v>2.281823606714935</v>
      </c>
      <c r="BV52" s="53"/>
      <c r="BW52" s="53">
        <f t="shared" si="135"/>
        <v>4.101786825774118</v>
      </c>
      <c r="BX52" s="53">
        <f t="shared" si="136"/>
        <v>96.88057179040946</v>
      </c>
      <c r="BY52" s="53">
        <f t="shared" si="137"/>
        <v>-0.9823586161835867</v>
      </c>
      <c r="BZ52" s="50"/>
      <c r="CA52" s="53">
        <f t="shared" si="138"/>
        <v>4.074181519720152</v>
      </c>
      <c r="CB52" s="53">
        <f t="shared" si="139"/>
        <v>96.22855891198476</v>
      </c>
      <c r="CC52" s="53">
        <f t="shared" si="140"/>
        <v>0.6730068437614692</v>
      </c>
      <c r="CD52" s="53">
        <f t="shared" si="141"/>
        <v>-0.975747275466387</v>
      </c>
      <c r="CE52" s="53">
        <f>((U52+V52)-(W52+X52+Y52))*100/16</f>
        <v>5.561894081514474</v>
      </c>
      <c r="CF52" s="53"/>
      <c r="CG52" s="53">
        <f t="shared" si="113"/>
        <v>4.101786825774118</v>
      </c>
      <c r="CH52" s="53">
        <f t="shared" si="114"/>
        <v>96.88057179040946</v>
      </c>
      <c r="CI52" s="53">
        <f t="shared" si="115"/>
        <v>-0.982358616183583</v>
      </c>
      <c r="CJ52" s="46"/>
      <c r="CK52" s="53">
        <f t="shared" si="116"/>
        <v>3.848482109680741</v>
      </c>
      <c r="CL52" s="53">
        <f t="shared" si="117"/>
        <v>90.89773875332148</v>
      </c>
      <c r="CM52" s="53">
        <f t="shared" si="118"/>
        <v>5.253779136997783</v>
      </c>
      <c r="CN52" s="53"/>
      <c r="CO52" s="54">
        <f t="shared" si="143"/>
        <v>4.061884552889379</v>
      </c>
      <c r="CP52" s="54">
        <f t="shared" si="61"/>
        <v>95.93811544711062</v>
      </c>
      <c r="CQ52" s="31"/>
      <c r="CR52" s="7" t="str">
        <f t="shared" si="142"/>
        <v>Old</v>
      </c>
    </row>
    <row r="53" spans="1:96" s="5" customFormat="1" ht="12.75" customHeight="1">
      <c r="A53" s="12" t="s">
        <v>86</v>
      </c>
      <c r="B53" s="12" t="s">
        <v>98</v>
      </c>
      <c r="C53" s="11"/>
      <c r="D53" s="11">
        <v>37.95</v>
      </c>
      <c r="E53" s="11">
        <v>0.08</v>
      </c>
      <c r="F53" s="11">
        <v>29.9</v>
      </c>
      <c r="G53" s="11">
        <v>2.48</v>
      </c>
      <c r="H53" s="11"/>
      <c r="I53" s="84"/>
      <c r="J53" s="11">
        <v>0.01</v>
      </c>
      <c r="K53" s="11">
        <v>0.18</v>
      </c>
      <c r="L53" s="11">
        <v>0.04</v>
      </c>
      <c r="M53" s="11"/>
      <c r="N53" s="11">
        <v>0.13</v>
      </c>
      <c r="O53" s="11">
        <v>1.94</v>
      </c>
      <c r="P53" s="11">
        <v>27.2</v>
      </c>
      <c r="Q53" s="11">
        <f t="shared" si="86"/>
        <v>99.91000000000003</v>
      </c>
      <c r="R53" s="56"/>
      <c r="S53" s="57">
        <f t="shared" si="87"/>
        <v>12.709533465036625</v>
      </c>
      <c r="T53" s="56"/>
      <c r="U53" s="57">
        <f t="shared" si="88"/>
        <v>8.027501277341</v>
      </c>
      <c r="V53" s="57">
        <f t="shared" si="89"/>
        <v>0.012728817623736585</v>
      </c>
      <c r="W53" s="57">
        <f t="shared" si="90"/>
        <v>7.454103676681154</v>
      </c>
      <c r="X53" s="57">
        <f t="shared" si="91"/>
        <v>0.39475494724589966</v>
      </c>
      <c r="Y53" s="57">
        <f t="shared" si="92"/>
        <v>0</v>
      </c>
      <c r="Z53" s="57">
        <f t="shared" si="93"/>
        <v>0</v>
      </c>
      <c r="AA53" s="57">
        <f t="shared" si="94"/>
        <v>0.05676010479361351</v>
      </c>
      <c r="AB53" s="57">
        <f t="shared" si="95"/>
        <v>0.0017916649231059425</v>
      </c>
      <c r="AC53" s="57">
        <f t="shared" si="96"/>
        <v>0.00906570808563637</v>
      </c>
      <c r="AD53" s="57">
        <f t="shared" si="97"/>
        <v>0</v>
      </c>
      <c r="AE53" s="57">
        <f t="shared" si="98"/>
        <v>0.010775005546202955</v>
      </c>
      <c r="AF53" s="57">
        <f t="shared" si="99"/>
        <v>0.7956410652447767</v>
      </c>
      <c r="AG53" s="57">
        <f t="shared" si="100"/>
        <v>7.340077716417989</v>
      </c>
      <c r="AH53" s="57"/>
      <c r="AI53" s="57">
        <f t="shared" si="101"/>
        <v>1.0019729144534246</v>
      </c>
      <c r="AJ53" s="57">
        <f t="shared" si="102"/>
        <v>24.103199983903117</v>
      </c>
      <c r="AK53" s="57">
        <f t="shared" si="103"/>
        <v>15.947640488608512</v>
      </c>
      <c r="AL53" s="57">
        <f t="shared" si="104"/>
        <v>8.155559495294606</v>
      </c>
      <c r="AM53" s="57">
        <f t="shared" si="105"/>
        <v>8.175400208926444</v>
      </c>
      <c r="AN53" s="57">
        <f t="shared" si="106"/>
        <v>-0.20943804556595236</v>
      </c>
      <c r="AO53" s="57">
        <f t="shared" si="120"/>
        <v>-0.18328408962904774</v>
      </c>
      <c r="AP53" s="57">
        <f t="shared" si="107"/>
        <v>1.1426962699808703</v>
      </c>
      <c r="AQ53" s="56"/>
      <c r="AR53" s="57">
        <f>((U53+V53)*4+(W53+X53+Y53)*3+(Z53+AA53+AB53)*2)</f>
        <v>55.824599791073545</v>
      </c>
      <c r="AS53" s="57">
        <f>AR53/(U53+V53+W53+X53+Y53+Z53+AA53+AB53)</f>
        <v>3.500492742543912</v>
      </c>
      <c r="AT53" s="57">
        <f t="shared" si="108"/>
        <v>56.00788388070259</v>
      </c>
      <c r="AU53" s="59">
        <f t="shared" si="109"/>
        <v>-0.18328408962904774</v>
      </c>
      <c r="AV53" s="59"/>
      <c r="AW53" s="57" t="s">
        <v>86</v>
      </c>
      <c r="AX53" s="57"/>
      <c r="AY53" s="57">
        <f>(U53+V53)-AC53*2-AD53*2-AE53*2-AF53-AG53-(Z53+AA53+AB53)</f>
        <v>-0.19372188367842574</v>
      </c>
      <c r="AZ53" s="58">
        <f t="shared" si="110"/>
        <v>-1.210761772990161</v>
      </c>
      <c r="BA53" s="57">
        <f t="shared" si="121"/>
        <v>-0.33247874310090825</v>
      </c>
      <c r="BB53" s="58">
        <f t="shared" si="122"/>
        <v>-0.9817423725628588</v>
      </c>
      <c r="BC53" s="37"/>
      <c r="BD53" s="58">
        <f t="shared" si="123"/>
        <v>9.94551331555971</v>
      </c>
      <c r="BE53" s="58">
        <f t="shared" si="124"/>
        <v>5.0110764749859635</v>
      </c>
      <c r="BF53" s="58">
        <f t="shared" si="125"/>
        <v>4.9344368405737455</v>
      </c>
      <c r="BG53" s="58">
        <f t="shared" si="126"/>
        <v>91.75097145522487</v>
      </c>
      <c r="BH53" s="58">
        <f t="shared" si="127"/>
        <v>90.28717721230687</v>
      </c>
      <c r="BI53" s="58">
        <f t="shared" si="128"/>
        <v>0.49601784079598316</v>
      </c>
      <c r="BJ53" s="58">
        <f t="shared" si="129"/>
        <v>1.4637942429179864</v>
      </c>
      <c r="BK53" s="58"/>
      <c r="BL53" s="56" t="str">
        <f t="shared" si="130"/>
        <v>Brod et al. (2005)</v>
      </c>
      <c r="BM53" s="56"/>
      <c r="BN53" s="58">
        <f t="shared" si="131"/>
        <v>-2.1925026115805584</v>
      </c>
      <c r="BO53" s="58">
        <f t="shared" si="132"/>
        <v>-1.210761772990161</v>
      </c>
      <c r="BP53" s="58">
        <f t="shared" si="133"/>
        <v>-1.538008719186957</v>
      </c>
      <c r="BQ53" s="58">
        <f t="shared" si="134"/>
        <v>-2.192502611580551</v>
      </c>
      <c r="BR53" s="58">
        <f>((U53+V53)-(W53+X53+Y53)-((Z53+AA53+AB53)*3))*100/16</f>
        <v>0.09822601179703891</v>
      </c>
      <c r="BS53" s="57"/>
      <c r="BT53" s="58">
        <f t="shared" si="111"/>
        <v>-0.23561780126169538</v>
      </c>
      <c r="BU53" s="58">
        <f t="shared" si="112"/>
        <v>0.4477717989501814</v>
      </c>
      <c r="BV53" s="58"/>
      <c r="BW53" s="58">
        <f t="shared" si="135"/>
        <v>9.995090748877894</v>
      </c>
      <c r="BX53" s="58">
        <f t="shared" si="136"/>
        <v>92.20834127866911</v>
      </c>
      <c r="BY53" s="58">
        <f t="shared" si="137"/>
        <v>-2.2034320275470045</v>
      </c>
      <c r="BZ53" s="57"/>
      <c r="CA53" s="58">
        <f t="shared" si="138"/>
        <v>9.94551331555971</v>
      </c>
      <c r="CB53" s="58">
        <f t="shared" si="139"/>
        <v>91.75097145522486</v>
      </c>
      <c r="CC53" s="58">
        <f t="shared" si="140"/>
        <v>0.49601784079598316</v>
      </c>
      <c r="CD53" s="58">
        <f t="shared" si="141"/>
        <v>-2.192502611580551</v>
      </c>
      <c r="CE53" s="58">
        <f>((U53+V53)-(W53+X53+Y53)-((Z53+AA53+AB53)*3))*100/16</f>
        <v>0.09822601179703891</v>
      </c>
      <c r="CF53" s="58"/>
      <c r="CG53" s="58">
        <f t="shared" si="113"/>
        <v>9.995090748877894</v>
      </c>
      <c r="CH53" s="58">
        <f t="shared" si="114"/>
        <v>92.20834127866911</v>
      </c>
      <c r="CI53" s="58">
        <f t="shared" si="115"/>
        <v>-2.2034320275469965</v>
      </c>
      <c r="CJ53" s="56"/>
      <c r="CK53" s="58">
        <f t="shared" si="116"/>
        <v>9.770167073613335</v>
      </c>
      <c r="CL53" s="58">
        <f t="shared" si="117"/>
        <v>90.13333870675395</v>
      </c>
      <c r="CM53" s="58">
        <f t="shared" si="118"/>
        <v>0.09649421963272246</v>
      </c>
      <c r="CN53" s="58"/>
      <c r="CO53" s="60">
        <f t="shared" si="143"/>
        <v>9.779603826008412</v>
      </c>
      <c r="CP53" s="60">
        <f t="shared" si="61"/>
        <v>90.22039617399159</v>
      </c>
      <c r="CQ53" s="31"/>
      <c r="CR53" s="7" t="str">
        <f t="shared" si="142"/>
        <v>Brod et al. (2005)</v>
      </c>
    </row>
    <row r="54" spans="1:96" s="5" customFormat="1" ht="12.75" customHeight="1">
      <c r="A54" s="18" t="s">
        <v>111</v>
      </c>
      <c r="B54" s="18"/>
      <c r="C54" s="20"/>
      <c r="D54" s="20">
        <v>37.95</v>
      </c>
      <c r="E54" s="20">
        <v>0.08</v>
      </c>
      <c r="F54" s="20">
        <v>29.9</v>
      </c>
      <c r="G54" s="20"/>
      <c r="H54" s="20"/>
      <c r="I54" s="20">
        <v>2.231620624493836</v>
      </c>
      <c r="J54" s="20">
        <v>0.01</v>
      </c>
      <c r="K54" s="20">
        <v>0.18</v>
      </c>
      <c r="L54" s="20">
        <v>0.04</v>
      </c>
      <c r="M54" s="20"/>
      <c r="N54" s="20">
        <v>0.13</v>
      </c>
      <c r="O54" s="20">
        <v>1.94</v>
      </c>
      <c r="P54" s="20">
        <v>27.2</v>
      </c>
      <c r="Q54" s="20">
        <f t="shared" si="86"/>
        <v>99.66162062449386</v>
      </c>
      <c r="R54" s="61"/>
      <c r="S54" s="62">
        <f t="shared" si="87"/>
        <v>12.788405748014936</v>
      </c>
      <c r="T54" s="61"/>
      <c r="U54" s="62">
        <f t="shared" si="88"/>
        <v>8.077318003824075</v>
      </c>
      <c r="V54" s="62">
        <f t="shared" si="89"/>
        <v>0.01280780957952792</v>
      </c>
      <c r="W54" s="62">
        <f t="shared" si="90"/>
        <v>7.500362036687382</v>
      </c>
      <c r="X54" s="62">
        <f t="shared" si="91"/>
        <v>0</v>
      </c>
      <c r="Y54" s="62">
        <f t="shared" si="92"/>
        <v>0</v>
      </c>
      <c r="Z54" s="62">
        <f t="shared" si="93"/>
        <v>0.39722281020050737</v>
      </c>
      <c r="AA54" s="62">
        <f t="shared" si="94"/>
        <v>0.05711234424122785</v>
      </c>
      <c r="AB54" s="62">
        <f t="shared" si="95"/>
        <v>0.001802783561190202</v>
      </c>
      <c r="AC54" s="62">
        <f t="shared" si="96"/>
        <v>0.009121967671835667</v>
      </c>
      <c r="AD54" s="62">
        <f t="shared" si="97"/>
        <v>0</v>
      </c>
      <c r="AE54" s="62">
        <f t="shared" si="98"/>
        <v>0.010841872617985795</v>
      </c>
      <c r="AF54" s="62">
        <f t="shared" si="99"/>
        <v>0.8005786207750237</v>
      </c>
      <c r="AG54" s="62">
        <f t="shared" si="100"/>
        <v>7.385628458962923</v>
      </c>
      <c r="AH54" s="62"/>
      <c r="AI54" s="62">
        <f t="shared" si="101"/>
        <v>0.9074428205072625</v>
      </c>
      <c r="AJ54" s="62">
        <f t="shared" si="102"/>
        <v>24.252796708121675</v>
      </c>
      <c r="AK54" s="62">
        <f t="shared" si="103"/>
        <v>16.04662578809391</v>
      </c>
      <c r="AL54" s="62">
        <f t="shared" si="104"/>
        <v>8.206170920027768</v>
      </c>
      <c r="AM54" s="62">
        <f t="shared" si="105"/>
        <v>8.22613476031759</v>
      </c>
      <c r="AN54" s="62">
        <f t="shared" si="106"/>
        <v>0.18650315237564286</v>
      </c>
      <c r="AO54" s="62">
        <f t="shared" si="120"/>
        <v>0.16205901827493108</v>
      </c>
      <c r="AP54" s="62">
        <f t="shared" si="107"/>
        <v>1.1508347660063114</v>
      </c>
      <c r="AQ54" s="61"/>
      <c r="AR54" s="62">
        <f>((U54+V54)*4+(W54+X54+Y54)*3+(Z54+AA54+AB54)*2)</f>
        <v>55.77386523968241</v>
      </c>
      <c r="AS54" s="62">
        <f>AR54/(U54+V54+W54+X54+Y54+Z54+AA54+AB54)</f>
        <v>3.4757378888379673</v>
      </c>
      <c r="AT54" s="62">
        <f t="shared" si="108"/>
        <v>55.61180622140748</v>
      </c>
      <c r="AU54" s="64">
        <f t="shared" si="109"/>
        <v>0.16205901827493108</v>
      </c>
      <c r="AV54" s="64"/>
      <c r="AW54" s="62" t="s">
        <v>111</v>
      </c>
      <c r="AX54" s="62"/>
      <c r="AY54" s="62">
        <f>(U54+V54)-AC54*2-AD54*2-AE54*2-AF54-AG54-(Z54+AA54+AB54)</f>
        <v>-0.5921468849169129</v>
      </c>
      <c r="AZ54" s="63">
        <f t="shared" si="110"/>
        <v>-3.7009180307307057</v>
      </c>
      <c r="BA54" s="62">
        <f t="shared" si="121"/>
        <v>-0.08625739603585791</v>
      </c>
      <c r="BB54" s="63">
        <f t="shared" si="122"/>
        <v>0.8742348927528457</v>
      </c>
      <c r="BC54" s="37"/>
      <c r="BD54" s="63">
        <f t="shared" si="123"/>
        <v>10.007232759687797</v>
      </c>
      <c r="BE54" s="63">
        <f t="shared" si="124"/>
        <v>10.007232759687797</v>
      </c>
      <c r="BF54" s="63">
        <f t="shared" si="125"/>
        <v>0</v>
      </c>
      <c r="BG54" s="63">
        <f t="shared" si="126"/>
        <v>92.32035573703655</v>
      </c>
      <c r="BH54" s="63">
        <f t="shared" si="127"/>
        <v>80.9169072869634</v>
      </c>
      <c r="BI54" s="63">
        <f t="shared" si="128"/>
        <v>0.49909600724553654</v>
      </c>
      <c r="BJ54" s="63">
        <f t="shared" si="129"/>
        <v>11.403448450073135</v>
      </c>
      <c r="BK54" s="63"/>
      <c r="BL54" s="61" t="str">
        <f t="shared" si="130"/>
        <v>All Fe2+</v>
      </c>
      <c r="BM54" s="61"/>
      <c r="BN54" s="63">
        <f t="shared" si="131"/>
        <v>-2.826684503969878</v>
      </c>
      <c r="BO54" s="63">
        <f t="shared" si="132"/>
        <v>-3.7009180307307057</v>
      </c>
      <c r="BP54" s="63">
        <f t="shared" si="133"/>
        <v>-3.409506855143707</v>
      </c>
      <c r="BQ54" s="63">
        <f t="shared" si="134"/>
        <v>-2.8266845039698785</v>
      </c>
      <c r="BR54" s="63">
        <f>((U54+V54)-(W54+X54+Y54)-((Z54+AA54+AB54)*3))*100/16</f>
        <v>-4.866562733078473</v>
      </c>
      <c r="BS54" s="62"/>
      <c r="BT54" s="63">
        <f t="shared" si="111"/>
        <v>0.20981604642259863</v>
      </c>
      <c r="BU54" s="63">
        <f t="shared" si="112"/>
        <v>-0.3092787771443996</v>
      </c>
      <c r="BV54" s="63"/>
      <c r="BW54" s="63">
        <f t="shared" si="135"/>
        <v>10.057428986189423</v>
      </c>
      <c r="BX54" s="63">
        <f t="shared" si="136"/>
        <v>92.78343415227585</v>
      </c>
      <c r="BY54" s="63">
        <f t="shared" si="137"/>
        <v>-2.840863138465268</v>
      </c>
      <c r="BZ54" s="62"/>
      <c r="CA54" s="63">
        <f t="shared" si="138"/>
        <v>10.007232759687797</v>
      </c>
      <c r="CB54" s="63">
        <f t="shared" si="139"/>
        <v>92.32035573703654</v>
      </c>
      <c r="CC54" s="63">
        <f t="shared" si="140"/>
        <v>0.49909600724553654</v>
      </c>
      <c r="CD54" s="63">
        <f t="shared" si="141"/>
        <v>-2.8266845039698785</v>
      </c>
      <c r="CE54" s="63">
        <f>((U54+V54)-(W54+X54+Y54)-((Z54+AA54+AB54)*3))*100/16</f>
        <v>-4.866562733078473</v>
      </c>
      <c r="CF54" s="63"/>
      <c r="CG54" s="63">
        <f t="shared" si="113"/>
        <v>10.057428986189425</v>
      </c>
      <c r="CH54" s="63">
        <f t="shared" si="114"/>
        <v>92.78343415227585</v>
      </c>
      <c r="CI54" s="63">
        <f t="shared" si="115"/>
        <v>-2.840863138465269</v>
      </c>
      <c r="CJ54" s="61"/>
      <c r="CK54" s="63">
        <f t="shared" si="116"/>
        <v>10.267932931422743</v>
      </c>
      <c r="CL54" s="63">
        <f t="shared" si="117"/>
        <v>94.72540947898902</v>
      </c>
      <c r="CM54" s="63">
        <f t="shared" si="118"/>
        <v>-4.993342410411772</v>
      </c>
      <c r="CN54" s="63"/>
      <c r="CO54" s="65">
        <f t="shared" si="143"/>
        <v>9.779603826008412</v>
      </c>
      <c r="CP54" s="65">
        <f t="shared" si="61"/>
        <v>90.22039617399159</v>
      </c>
      <c r="CQ54" s="31"/>
      <c r="CR54" s="7" t="str">
        <f t="shared" si="142"/>
        <v>All Fe2+</v>
      </c>
    </row>
    <row r="55" spans="1:96" s="5" customFormat="1" ht="12.75" customHeight="1">
      <c r="A55" s="14" t="s">
        <v>112</v>
      </c>
      <c r="B55" s="14"/>
      <c r="C55" s="16"/>
      <c r="D55" s="16">
        <v>37.95</v>
      </c>
      <c r="E55" s="16">
        <v>0.08</v>
      </c>
      <c r="F55" s="16">
        <v>29.9</v>
      </c>
      <c r="G55" s="16">
        <v>2.48</v>
      </c>
      <c r="H55" s="16"/>
      <c r="I55" s="87"/>
      <c r="J55" s="16">
        <v>0.01</v>
      </c>
      <c r="K55" s="16">
        <v>0.18</v>
      </c>
      <c r="L55" s="16">
        <v>0.04</v>
      </c>
      <c r="M55" s="16"/>
      <c r="N55" s="16">
        <v>0.13</v>
      </c>
      <c r="O55" s="16">
        <v>1.94</v>
      </c>
      <c r="P55" s="16">
        <v>27.2</v>
      </c>
      <c r="Q55" s="16">
        <f t="shared" si="86"/>
        <v>99.91000000000003</v>
      </c>
      <c r="R55" s="46"/>
      <c r="S55" s="50">
        <f t="shared" si="87"/>
        <v>12.709533465036625</v>
      </c>
      <c r="T55" s="46"/>
      <c r="U55" s="50">
        <f t="shared" si="88"/>
        <v>8.027501277341</v>
      </c>
      <c r="V55" s="50">
        <f t="shared" si="89"/>
        <v>0.012728817623736585</v>
      </c>
      <c r="W55" s="50">
        <f t="shared" si="90"/>
        <v>7.454103676681154</v>
      </c>
      <c r="X55" s="50">
        <f t="shared" si="91"/>
        <v>0.39475494724589966</v>
      </c>
      <c r="Y55" s="50">
        <f t="shared" si="92"/>
        <v>0</v>
      </c>
      <c r="Z55" s="50">
        <f t="shared" si="93"/>
        <v>0</v>
      </c>
      <c r="AA55" s="50">
        <f t="shared" si="94"/>
        <v>0.05676010479361351</v>
      </c>
      <c r="AB55" s="50">
        <f t="shared" si="95"/>
        <v>0.0017916649231059425</v>
      </c>
      <c r="AC55" s="50">
        <f t="shared" si="96"/>
        <v>0.00906570808563637</v>
      </c>
      <c r="AD55" s="50">
        <f t="shared" si="97"/>
        <v>0</v>
      </c>
      <c r="AE55" s="50">
        <f t="shared" si="98"/>
        <v>0.010775005546202955</v>
      </c>
      <c r="AF55" s="50">
        <f t="shared" si="99"/>
        <v>0.7956410652447767</v>
      </c>
      <c r="AG55" s="50">
        <f t="shared" si="100"/>
        <v>7.340077716417989</v>
      </c>
      <c r="AH55" s="50"/>
      <c r="AI55" s="50">
        <f>(U55+V55)/(W55+X55+Y55)</f>
        <v>1.0243820764530391</v>
      </c>
      <c r="AJ55" s="50">
        <f t="shared" si="102"/>
        <v>24.103199983903117</v>
      </c>
      <c r="AK55" s="50">
        <f>SUM(U55:Y55)</f>
        <v>15.889088718891792</v>
      </c>
      <c r="AL55" s="50">
        <f t="shared" si="104"/>
        <v>8.155559495294606</v>
      </c>
      <c r="AM55" s="50">
        <f t="shared" si="105"/>
        <v>8.175400208926444</v>
      </c>
      <c r="AN55" s="50">
        <f>(W55+X55+Y55)-AM55</f>
        <v>-0.3265415849993909</v>
      </c>
      <c r="AO55" s="50">
        <f t="shared" si="120"/>
        <v>-0.3888574030840388</v>
      </c>
      <c r="AP55" s="50">
        <f t="shared" si="107"/>
        <v>0.8397463502291086</v>
      </c>
      <c r="AQ55" s="46"/>
      <c r="AR55" s="50">
        <f>((U55+V55)*4+(W55+X55+Y55)*3)</f>
        <v>55.70749625164011</v>
      </c>
      <c r="AS55" s="50">
        <f>AR55/(U55+V55+W55+X55+Y55)</f>
        <v>3.506022103420259</v>
      </c>
      <c r="AT55" s="50">
        <f t="shared" si="108"/>
        <v>56.09635365472415</v>
      </c>
      <c r="AU55" s="51">
        <f t="shared" si="109"/>
        <v>-0.3888574030840388</v>
      </c>
      <c r="AV55" s="51"/>
      <c r="AW55" s="50" t="s">
        <v>112</v>
      </c>
      <c r="AX55" s="50"/>
      <c r="AY55" s="50">
        <f>(U55+V55)-AC55*2-AD55*2-AE55*2-AF55-AG55</f>
        <v>-0.1351701139617063</v>
      </c>
      <c r="AZ55" s="53">
        <f t="shared" si="110"/>
        <v>-0.8448132122606644</v>
      </c>
      <c r="BA55" s="50">
        <f t="shared" si="121"/>
        <v>-0.3910305128176277</v>
      </c>
      <c r="BB55" s="53">
        <f t="shared" si="122"/>
        <v>-1.530666071350381</v>
      </c>
      <c r="BC55" s="37"/>
      <c r="BD55" s="53">
        <f t="shared" si="123"/>
        <v>9.94551331555971</v>
      </c>
      <c r="BE55" s="53">
        <f t="shared" si="124"/>
        <v>5.0110764749859635</v>
      </c>
      <c r="BF55" s="53">
        <f t="shared" si="125"/>
        <v>4.9344368405737455</v>
      </c>
      <c r="BG55" s="53">
        <f t="shared" si="126"/>
        <v>91.75097145522487</v>
      </c>
      <c r="BH55" s="53">
        <f t="shared" si="127"/>
        <v>90.28717721230687</v>
      </c>
      <c r="BI55" s="53">
        <f t="shared" si="128"/>
        <v>0.49601784079598316</v>
      </c>
      <c r="BJ55" s="53">
        <f t="shared" si="129"/>
        <v>1.4637942429179864</v>
      </c>
      <c r="BK55" s="53"/>
      <c r="BL55" s="46" t="str">
        <f t="shared" si="130"/>
        <v>Old</v>
      </c>
      <c r="BM55" s="46"/>
      <c r="BN55" s="53">
        <f t="shared" si="131"/>
        <v>-2.1925026115805584</v>
      </c>
      <c r="BO55" s="53">
        <f t="shared" si="132"/>
        <v>-0.8448132122606644</v>
      </c>
      <c r="BP55" s="53">
        <f t="shared" si="133"/>
        <v>-1.538008719186957</v>
      </c>
      <c r="BQ55" s="53">
        <f t="shared" si="134"/>
        <v>-2.192502611580551</v>
      </c>
      <c r="BR55" s="53">
        <f>((U55+V55)-(W55+X55+Y55))*100/16</f>
        <v>1.1960716939855287</v>
      </c>
      <c r="BS55" s="50"/>
      <c r="BT55" s="53">
        <f t="shared" si="111"/>
        <v>-0.3234454558367746</v>
      </c>
      <c r="BU55" s="53">
        <f t="shared" si="112"/>
        <v>0.614680863868324</v>
      </c>
      <c r="BV55" s="53"/>
      <c r="BW55" s="53">
        <f t="shared" si="135"/>
        <v>9.995090748877894</v>
      </c>
      <c r="BX55" s="53">
        <f t="shared" si="136"/>
        <v>92.20834127866911</v>
      </c>
      <c r="BY55" s="53">
        <f t="shared" si="137"/>
        <v>-2.2034320275470045</v>
      </c>
      <c r="BZ55" s="50"/>
      <c r="CA55" s="53">
        <f t="shared" si="138"/>
        <v>9.94551331555971</v>
      </c>
      <c r="CB55" s="53">
        <f t="shared" si="139"/>
        <v>91.75097145522486</v>
      </c>
      <c r="CC55" s="53">
        <f t="shared" si="140"/>
        <v>0.49601784079598316</v>
      </c>
      <c r="CD55" s="53">
        <f t="shared" si="141"/>
        <v>-2.192502611580551</v>
      </c>
      <c r="CE55" s="53">
        <f>((U55+V55)-(W55+X55+Y55))*100/16</f>
        <v>1.1960716939855287</v>
      </c>
      <c r="CF55" s="53"/>
      <c r="CG55" s="53">
        <f t="shared" si="113"/>
        <v>9.995090748877894</v>
      </c>
      <c r="CH55" s="53">
        <f t="shared" si="114"/>
        <v>92.20834127866911</v>
      </c>
      <c r="CI55" s="53">
        <f t="shared" si="115"/>
        <v>-2.2034320275469965</v>
      </c>
      <c r="CJ55" s="46"/>
      <c r="CK55" s="53">
        <f t="shared" si="116"/>
        <v>9.665921090185961</v>
      </c>
      <c r="CL55" s="53">
        <f t="shared" si="117"/>
        <v>89.1716316589334</v>
      </c>
      <c r="CM55" s="53">
        <f t="shared" si="118"/>
        <v>1.1624472508806385</v>
      </c>
      <c r="CN55" s="53"/>
      <c r="CO55" s="54">
        <f t="shared" si="143"/>
        <v>9.779603826008412</v>
      </c>
      <c r="CP55" s="54">
        <f t="shared" si="61"/>
        <v>90.22039617399159</v>
      </c>
      <c r="CQ55" s="31"/>
      <c r="CR55" s="7" t="str">
        <f t="shared" si="142"/>
        <v>Old</v>
      </c>
    </row>
    <row r="56" spans="1:96" s="5" customFormat="1" ht="12.75" customHeight="1">
      <c r="A56" s="12" t="s">
        <v>82</v>
      </c>
      <c r="B56" s="12" t="s">
        <v>93</v>
      </c>
      <c r="C56" s="11"/>
      <c r="D56" s="11">
        <v>37.25</v>
      </c>
      <c r="E56" s="11">
        <v>0</v>
      </c>
      <c r="F56" s="11">
        <v>27.1209</v>
      </c>
      <c r="G56" s="11">
        <v>4.469275586687824</v>
      </c>
      <c r="H56" s="11"/>
      <c r="I56" s="84"/>
      <c r="J56" s="11">
        <v>0</v>
      </c>
      <c r="K56" s="11">
        <v>0.4052</v>
      </c>
      <c r="L56" s="11"/>
      <c r="M56" s="11"/>
      <c r="N56" s="11"/>
      <c r="O56" s="11">
        <v>0.6853</v>
      </c>
      <c r="P56" s="11">
        <v>28.6505</v>
      </c>
      <c r="Q56" s="11">
        <f t="shared" si="86"/>
        <v>98.58117558668783</v>
      </c>
      <c r="R56" s="56"/>
      <c r="S56" s="57">
        <f t="shared" si="87"/>
        <v>13.076525602693668</v>
      </c>
      <c r="T56" s="56"/>
      <c r="U56" s="57">
        <f t="shared" si="88"/>
        <v>8.106952709781742</v>
      </c>
      <c r="V56" s="57">
        <f t="shared" si="89"/>
        <v>0</v>
      </c>
      <c r="W56" s="57">
        <f t="shared" si="90"/>
        <v>6.956504933108831</v>
      </c>
      <c r="X56" s="57">
        <f t="shared" si="91"/>
        <v>0.7319405285269673</v>
      </c>
      <c r="Y56" s="57">
        <f t="shared" si="92"/>
        <v>0</v>
      </c>
      <c r="Z56" s="57">
        <f t="shared" si="93"/>
        <v>0</v>
      </c>
      <c r="AA56" s="57">
        <f t="shared" si="94"/>
        <v>0.1314628005014632</v>
      </c>
      <c r="AB56" s="57">
        <f t="shared" si="95"/>
        <v>0</v>
      </c>
      <c r="AC56" s="57">
        <f t="shared" si="96"/>
        <v>0</v>
      </c>
      <c r="AD56" s="57">
        <f t="shared" si="97"/>
        <v>0</v>
      </c>
      <c r="AE56" s="57">
        <f t="shared" si="98"/>
        <v>0</v>
      </c>
      <c r="AF56" s="57">
        <f t="shared" si="99"/>
        <v>0.28917380631311124</v>
      </c>
      <c r="AG56" s="57">
        <f t="shared" si="100"/>
        <v>7.954753368649609</v>
      </c>
      <c r="AH56" s="57"/>
      <c r="AI56" s="57">
        <f t="shared" si="101"/>
        <v>1.0030332940635713</v>
      </c>
      <c r="AJ56" s="57">
        <f t="shared" si="102"/>
        <v>24.170788146881723</v>
      </c>
      <c r="AK56" s="57">
        <f t="shared" si="103"/>
        <v>15.926860971919004</v>
      </c>
      <c r="AL56" s="57">
        <f t="shared" si="104"/>
        <v>8.24392717496272</v>
      </c>
      <c r="AM56" s="57">
        <f t="shared" si="105"/>
        <v>8.24392717496272</v>
      </c>
      <c r="AN56" s="57">
        <f t="shared" si="106"/>
        <v>-0.2925561123239948</v>
      </c>
      <c r="AO56" s="57">
        <f t="shared" si="120"/>
        <v>-0.25604197733792944</v>
      </c>
      <c r="AP56" s="57">
        <f t="shared" si="107"/>
        <v>1.1426099554678617</v>
      </c>
      <c r="AQ56" s="56"/>
      <c r="AR56" s="57">
        <f>((U56+V56)*4+(W56+X56+Y56)*3+(Z56+AA56+AB56)*2)</f>
        <v>55.756072825037286</v>
      </c>
      <c r="AS56" s="57">
        <f>AR56/(U56+V56+W56+X56+Y56+Z56+AA56+AB56)</f>
        <v>3.500757175148451</v>
      </c>
      <c r="AT56" s="57">
        <f t="shared" si="108"/>
        <v>56.012114802375216</v>
      </c>
      <c r="AU56" s="59">
        <f t="shared" si="109"/>
        <v>-0.25604197733792944</v>
      </c>
      <c r="AV56" s="59"/>
      <c r="AW56" s="57" t="s">
        <v>82</v>
      </c>
      <c r="AX56" s="57"/>
      <c r="AY56" s="57">
        <f>(U56+V56)-AC56*2-AD56*2-AE56*2-AF56-AG56-(Z56+AA56+AB56)</f>
        <v>-0.26843726568244086</v>
      </c>
      <c r="AZ56" s="58">
        <f t="shared" si="110"/>
        <v>-1.6777329105152554</v>
      </c>
      <c r="BA56" s="57">
        <f t="shared" si="121"/>
        <v>-0.46334425920571853</v>
      </c>
      <c r="BB56" s="58">
        <f t="shared" si="122"/>
        <v>-1.371358919267037</v>
      </c>
      <c r="BC56" s="37"/>
      <c r="BD56" s="58">
        <f t="shared" si="123"/>
        <v>3.6146725789138903</v>
      </c>
      <c r="BE56" s="58">
        <f t="shared" si="124"/>
        <v>-5.534584027673201</v>
      </c>
      <c r="BF56" s="58">
        <f t="shared" si="125"/>
        <v>9.149256606587093</v>
      </c>
      <c r="BG56" s="58">
        <f t="shared" si="126"/>
        <v>99.4344171081201</v>
      </c>
      <c r="BH56" s="58">
        <f t="shared" si="127"/>
        <v>96.14784709558353</v>
      </c>
      <c r="BI56" s="58">
        <f t="shared" si="128"/>
        <v>0</v>
      </c>
      <c r="BJ56" s="58">
        <f t="shared" si="129"/>
        <v>3.2865700125365795</v>
      </c>
      <c r="BK56" s="58"/>
      <c r="BL56" s="56" t="str">
        <f t="shared" si="130"/>
        <v>Andersen et al. (2012)</v>
      </c>
      <c r="BM56" s="56"/>
      <c r="BN56" s="58">
        <f t="shared" si="131"/>
        <v>-3.0490896870339976</v>
      </c>
      <c r="BO56" s="58">
        <f t="shared" si="132"/>
        <v>-1.6777329105152554</v>
      </c>
      <c r="BP56" s="58">
        <f t="shared" si="133"/>
        <v>-2.134851836021534</v>
      </c>
      <c r="BQ56" s="58">
        <f t="shared" si="134"/>
        <v>-3.049089687034001</v>
      </c>
      <c r="BR56" s="58">
        <f>((U56+V56)-(W56+X56+Y56)-((Z56+AA56+AB56)*3))*100/16</f>
        <v>0.15074279150971912</v>
      </c>
      <c r="BS56" s="57"/>
      <c r="BT56" s="58">
        <f t="shared" si="111"/>
        <v>-0.32912562636449816</v>
      </c>
      <c r="BU56" s="58">
        <f t="shared" si="112"/>
        <v>0.44975940929200076</v>
      </c>
      <c r="BV56" s="58"/>
      <c r="BW56" s="58">
        <f t="shared" si="135"/>
        <v>3.6146725789138903</v>
      </c>
      <c r="BX56" s="58">
        <f t="shared" si="136"/>
        <v>99.4344171081201</v>
      </c>
      <c r="BY56" s="58">
        <f t="shared" si="137"/>
        <v>-3.0490896870339976</v>
      </c>
      <c r="BZ56" s="57"/>
      <c r="CA56" s="58">
        <f t="shared" si="138"/>
        <v>3.6146725789138903</v>
      </c>
      <c r="CB56" s="58">
        <f t="shared" si="139"/>
        <v>99.43441710812012</v>
      </c>
      <c r="CC56" s="58">
        <f t="shared" si="140"/>
        <v>0</v>
      </c>
      <c r="CD56" s="58">
        <f t="shared" si="141"/>
        <v>-3.049089687034001</v>
      </c>
      <c r="CE56" s="58">
        <f>((U56+V56)-(W56+X56+Y56)-((Z56+AA56+AB56)*3))*100/16</f>
        <v>0.15074279150971912</v>
      </c>
      <c r="CF56" s="58"/>
      <c r="CG56" s="58">
        <f t="shared" si="113"/>
        <v>3.6146725789138894</v>
      </c>
      <c r="CH56" s="58">
        <f t="shared" si="114"/>
        <v>99.43441710812012</v>
      </c>
      <c r="CI56" s="58">
        <f t="shared" si="115"/>
        <v>-3.0490896870340003</v>
      </c>
      <c r="CJ56" s="56"/>
      <c r="CK56" s="58">
        <f t="shared" si="116"/>
        <v>3.502595393907656</v>
      </c>
      <c r="CL56" s="58">
        <f t="shared" si="117"/>
        <v>96.35133577255905</v>
      </c>
      <c r="CM56" s="58">
        <f t="shared" si="118"/>
        <v>0.1460688335332909</v>
      </c>
      <c r="CN56" s="58"/>
      <c r="CO56" s="60">
        <f aca="true" t="shared" si="144" ref="CO56:CO67">CA56/(CA56+CB56)*100</f>
        <v>3.507719078248879</v>
      </c>
      <c r="CP56" s="60">
        <f t="shared" si="61"/>
        <v>96.49228092175112</v>
      </c>
      <c r="CQ56" s="31"/>
      <c r="CR56" s="7" t="str">
        <f t="shared" si="142"/>
        <v>Andersen et al. (2012)</v>
      </c>
    </row>
    <row r="57" spans="1:96" s="5" customFormat="1" ht="12.75" customHeight="1">
      <c r="A57" s="18" t="s">
        <v>111</v>
      </c>
      <c r="B57" s="18"/>
      <c r="C57" s="20"/>
      <c r="D57" s="20">
        <v>37.25</v>
      </c>
      <c r="E57" s="20">
        <v>0</v>
      </c>
      <c r="F57" s="20">
        <v>27.1209</v>
      </c>
      <c r="G57" s="20"/>
      <c r="H57" s="20"/>
      <c r="I57" s="20">
        <v>4.02</v>
      </c>
      <c r="J57" s="20">
        <v>0</v>
      </c>
      <c r="K57" s="20">
        <v>0.4052</v>
      </c>
      <c r="L57" s="20"/>
      <c r="M57" s="20"/>
      <c r="N57" s="20"/>
      <c r="O57" s="20">
        <v>0.6853</v>
      </c>
      <c r="P57" s="20">
        <v>28.6505</v>
      </c>
      <c r="Q57" s="20">
        <f t="shared" si="86"/>
        <v>98.1319</v>
      </c>
      <c r="R57" s="61"/>
      <c r="S57" s="62">
        <f t="shared" si="87"/>
        <v>13.227919060718362</v>
      </c>
      <c r="T57" s="61"/>
      <c r="U57" s="62">
        <f t="shared" si="88"/>
        <v>8.200810944152781</v>
      </c>
      <c r="V57" s="62">
        <f t="shared" si="89"/>
        <v>0</v>
      </c>
      <c r="W57" s="62">
        <f t="shared" si="90"/>
        <v>7.037043859853427</v>
      </c>
      <c r="X57" s="62">
        <f t="shared" si="91"/>
        <v>0</v>
      </c>
      <c r="Y57" s="62">
        <f t="shared" si="92"/>
        <v>0</v>
      </c>
      <c r="Z57" s="62">
        <f t="shared" si="93"/>
        <v>0.7401418954999277</v>
      </c>
      <c r="AA57" s="62">
        <f t="shared" si="94"/>
        <v>0.13298481090194963</v>
      </c>
      <c r="AB57" s="62">
        <f t="shared" si="95"/>
        <v>0</v>
      </c>
      <c r="AC57" s="62">
        <f t="shared" si="96"/>
        <v>0</v>
      </c>
      <c r="AD57" s="62">
        <f t="shared" si="97"/>
        <v>0</v>
      </c>
      <c r="AE57" s="62">
        <f t="shared" si="98"/>
        <v>0</v>
      </c>
      <c r="AF57" s="62">
        <f t="shared" si="99"/>
        <v>0.292521715676657</v>
      </c>
      <c r="AG57" s="62">
        <f t="shared" si="100"/>
        <v>8.046849515348192</v>
      </c>
      <c r="AH57" s="62"/>
      <c r="AI57" s="62">
        <f t="shared" si="101"/>
        <v>0.8342748754004183</v>
      </c>
      <c r="AJ57" s="62">
        <f t="shared" si="102"/>
        <v>24.450352741432933</v>
      </c>
      <c r="AK57" s="62">
        <f t="shared" si="103"/>
        <v>16.110981510408084</v>
      </c>
      <c r="AL57" s="62">
        <f t="shared" si="104"/>
        <v>8.339371231024849</v>
      </c>
      <c r="AM57" s="62">
        <f t="shared" si="105"/>
        <v>8.339371231024849</v>
      </c>
      <c r="AN57" s="62">
        <f t="shared" si="106"/>
        <v>0.4439260416323325</v>
      </c>
      <c r="AO57" s="62">
        <f t="shared" si="120"/>
        <v>0.3834217454134503</v>
      </c>
      <c r="AP57" s="62">
        <f t="shared" si="107"/>
        <v>1.1578008992516566</v>
      </c>
      <c r="AQ57" s="61"/>
      <c r="AR57" s="62">
        <f>((U57+V57)*4+(W57+X57+Y57)*3+(Z57+AA57+AB57)*2)</f>
        <v>55.66062876897516</v>
      </c>
      <c r="AS57" s="62">
        <f>AR57/(U57+V57+W57+X57+Y57+Z57+AA57+AB57)</f>
        <v>3.4548254389726067</v>
      </c>
      <c r="AT57" s="62">
        <f t="shared" si="108"/>
        <v>55.27720702356171</v>
      </c>
      <c r="AU57" s="64">
        <f t="shared" si="109"/>
        <v>0.3834217454134503</v>
      </c>
      <c r="AV57" s="64"/>
      <c r="AW57" s="62" t="s">
        <v>111</v>
      </c>
      <c r="AX57" s="62"/>
      <c r="AY57" s="62">
        <f>(U57+V57)-AC57*2-AD57*2-AE57*2-AF57-AG57-(Z57+AA57+AB57)</f>
        <v>-1.0116869932739456</v>
      </c>
      <c r="AZ57" s="63">
        <f t="shared" si="110"/>
        <v>-6.32304370796216</v>
      </c>
      <c r="BA57" s="62">
        <f t="shared" si="121"/>
        <v>-0.006426699800601066</v>
      </c>
      <c r="BB57" s="63">
        <f t="shared" si="122"/>
        <v>2.0809065715680766</v>
      </c>
      <c r="BC57" s="37"/>
      <c r="BD57" s="63">
        <f t="shared" si="123"/>
        <v>3.6565214459582123</v>
      </c>
      <c r="BE57" s="63">
        <f t="shared" si="124"/>
        <v>3.6565214459582123</v>
      </c>
      <c r="BF57" s="63">
        <f t="shared" si="125"/>
        <v>0</v>
      </c>
      <c r="BG57" s="63">
        <f t="shared" si="126"/>
        <v>100.58561894185242</v>
      </c>
      <c r="BH57" s="63">
        <f t="shared" si="127"/>
        <v>78.75745128180546</v>
      </c>
      <c r="BI57" s="63">
        <f t="shared" si="128"/>
        <v>0</v>
      </c>
      <c r="BJ57" s="63">
        <f t="shared" si="129"/>
        <v>21.82816766004693</v>
      </c>
      <c r="BK57" s="63"/>
      <c r="BL57" s="61" t="str">
        <f t="shared" si="130"/>
        <v>All Fe2+</v>
      </c>
      <c r="BM57" s="61"/>
      <c r="BN57" s="63">
        <f t="shared" si="131"/>
        <v>-4.242140387810611</v>
      </c>
      <c r="BO57" s="63">
        <f t="shared" si="132"/>
        <v>-6.32304370796216</v>
      </c>
      <c r="BP57" s="63">
        <f t="shared" si="133"/>
        <v>-5.629409267911667</v>
      </c>
      <c r="BQ57" s="63">
        <f t="shared" si="134"/>
        <v>-4.242140387810622</v>
      </c>
      <c r="BR57" s="63">
        <f>((U57+V57)-(W57+X57+Y57)-((Z57+AA57+AB57)*3))*100/16</f>
        <v>-9.097581468164234</v>
      </c>
      <c r="BS57" s="62"/>
      <c r="BT57" s="63">
        <f t="shared" si="111"/>
        <v>0.49941679683637175</v>
      </c>
      <c r="BU57" s="63">
        <f t="shared" si="112"/>
        <v>-0.4905314605171549</v>
      </c>
      <c r="BV57" s="63"/>
      <c r="BW57" s="63">
        <f t="shared" si="135"/>
        <v>3.656521445958212</v>
      </c>
      <c r="BX57" s="63">
        <f t="shared" si="136"/>
        <v>100.58561894185239</v>
      </c>
      <c r="BY57" s="63">
        <f t="shared" si="137"/>
        <v>-4.24214038781061</v>
      </c>
      <c r="BZ57" s="62"/>
      <c r="CA57" s="63">
        <f t="shared" si="138"/>
        <v>3.6565214459582127</v>
      </c>
      <c r="CB57" s="63">
        <f t="shared" si="139"/>
        <v>100.5856189418524</v>
      </c>
      <c r="CC57" s="63">
        <f t="shared" si="140"/>
        <v>0</v>
      </c>
      <c r="CD57" s="63">
        <f t="shared" si="141"/>
        <v>-4.242140387810622</v>
      </c>
      <c r="CE57" s="63">
        <f>((U57+V57)-(W57+X57+Y57)-((Z57+AA57+AB57)*3))*100/16</f>
        <v>-9.097581468164234</v>
      </c>
      <c r="CF57" s="63"/>
      <c r="CG57" s="63">
        <f t="shared" si="113"/>
        <v>3.6565214459582127</v>
      </c>
      <c r="CH57" s="63">
        <f t="shared" si="114"/>
        <v>100.5856189418524</v>
      </c>
      <c r="CI57" s="63">
        <f t="shared" si="115"/>
        <v>-4.242140387810622</v>
      </c>
      <c r="CJ57" s="61"/>
      <c r="CK57" s="63">
        <f t="shared" si="116"/>
        <v>3.8431219687993927</v>
      </c>
      <c r="CL57" s="63">
        <f t="shared" si="117"/>
        <v>105.71872956687017</v>
      </c>
      <c r="CM57" s="63">
        <f t="shared" si="118"/>
        <v>-9.561851535669556</v>
      </c>
      <c r="CN57" s="63"/>
      <c r="CO57" s="65">
        <f t="shared" si="144"/>
        <v>3.5077190782488783</v>
      </c>
      <c r="CP57" s="65">
        <f t="shared" si="61"/>
        <v>96.49228092175112</v>
      </c>
      <c r="CQ57" s="31"/>
      <c r="CR57" s="7" t="str">
        <f t="shared" si="142"/>
        <v>All Fe2+</v>
      </c>
    </row>
    <row r="58" spans="1:96" s="5" customFormat="1" ht="12.75" customHeight="1">
      <c r="A58" s="14" t="s">
        <v>112</v>
      </c>
      <c r="B58" s="14"/>
      <c r="C58" s="16"/>
      <c r="D58" s="16">
        <v>37.25</v>
      </c>
      <c r="E58" s="16">
        <v>0</v>
      </c>
      <c r="F58" s="16">
        <v>27.1209</v>
      </c>
      <c r="G58" s="16">
        <v>4.469275586687824</v>
      </c>
      <c r="H58" s="16"/>
      <c r="I58" s="16"/>
      <c r="J58" s="16">
        <v>0</v>
      </c>
      <c r="K58" s="16">
        <v>0.4052</v>
      </c>
      <c r="L58" s="16"/>
      <c r="M58" s="16"/>
      <c r="N58" s="16"/>
      <c r="O58" s="16">
        <v>0.6853</v>
      </c>
      <c r="P58" s="16">
        <v>28.6505</v>
      </c>
      <c r="Q58" s="16">
        <f t="shared" si="86"/>
        <v>98.58117558668783</v>
      </c>
      <c r="R58" s="46"/>
      <c r="S58" s="50">
        <f t="shared" si="87"/>
        <v>13.076525602693668</v>
      </c>
      <c r="T58" s="46"/>
      <c r="U58" s="50">
        <f t="shared" si="88"/>
        <v>8.106952709781742</v>
      </c>
      <c r="V58" s="50">
        <f t="shared" si="89"/>
        <v>0</v>
      </c>
      <c r="W58" s="50">
        <f t="shared" si="90"/>
        <v>6.956504933108831</v>
      </c>
      <c r="X58" s="50">
        <f t="shared" si="91"/>
        <v>0.7319405285269673</v>
      </c>
      <c r="Y58" s="50">
        <f t="shared" si="92"/>
        <v>0</v>
      </c>
      <c r="Z58" s="50">
        <f t="shared" si="93"/>
        <v>0</v>
      </c>
      <c r="AA58" s="50">
        <f t="shared" si="94"/>
        <v>0.1314628005014632</v>
      </c>
      <c r="AB58" s="50">
        <f t="shared" si="95"/>
        <v>0</v>
      </c>
      <c r="AC58" s="50">
        <f t="shared" si="96"/>
        <v>0</v>
      </c>
      <c r="AD58" s="50">
        <f t="shared" si="97"/>
        <v>0</v>
      </c>
      <c r="AE58" s="50">
        <f t="shared" si="98"/>
        <v>0</v>
      </c>
      <c r="AF58" s="50">
        <f t="shared" si="99"/>
        <v>0.28917380631311124</v>
      </c>
      <c r="AG58" s="50">
        <f t="shared" si="100"/>
        <v>7.954753368649609</v>
      </c>
      <c r="AH58" s="50"/>
      <c r="AI58" s="50">
        <f>(U58+V58)/(W58+X58+Y58)</f>
        <v>1.054433272660154</v>
      </c>
      <c r="AJ58" s="50">
        <f t="shared" si="102"/>
        <v>24.170788146881723</v>
      </c>
      <c r="AK58" s="50">
        <f>SUM(U58:Y58)</f>
        <v>15.79539817141754</v>
      </c>
      <c r="AL58" s="50">
        <f t="shared" si="104"/>
        <v>8.24392717496272</v>
      </c>
      <c r="AM58" s="50">
        <f t="shared" si="105"/>
        <v>8.24392717496272</v>
      </c>
      <c r="AN58" s="50">
        <f>(W58+X58+Y58)-AM58</f>
        <v>-0.5554817133269214</v>
      </c>
      <c r="AO58" s="50">
        <f t="shared" si="120"/>
        <v>-0.7188169157000814</v>
      </c>
      <c r="AP58" s="50">
        <f t="shared" si="107"/>
        <v>0.7727721777191595</v>
      </c>
      <c r="AQ58" s="46"/>
      <c r="AR58" s="50">
        <f>((U58+V58)*4+(W58+X58+Y58)*3)</f>
        <v>55.49314722403436</v>
      </c>
      <c r="AS58" s="50">
        <f>AR58/(U58+V58+W58+X58+Y58)</f>
        <v>3.5132477587334026</v>
      </c>
      <c r="AT58" s="50">
        <f t="shared" si="108"/>
        <v>56.21196413973444</v>
      </c>
      <c r="AU58" s="51">
        <f t="shared" si="109"/>
        <v>-0.7188169157000814</v>
      </c>
      <c r="AV58" s="51"/>
      <c r="AW58" s="50" t="s">
        <v>112</v>
      </c>
      <c r="AX58" s="50"/>
      <c r="AY58" s="50">
        <f>(U58+V58)-AC58*2-AD58*2-AE58*2-AF58-AG58</f>
        <v>-0.13697446518097767</v>
      </c>
      <c r="AZ58" s="53">
        <f t="shared" si="110"/>
        <v>-0.8560904073811104</v>
      </c>
      <c r="BA58" s="50">
        <f t="shared" si="121"/>
        <v>-0.5948070597071817</v>
      </c>
      <c r="BB58" s="53">
        <f t="shared" si="122"/>
        <v>-2.603824599695881</v>
      </c>
      <c r="BC58" s="37"/>
      <c r="BD58" s="53">
        <f t="shared" si="123"/>
        <v>3.6146725789138903</v>
      </c>
      <c r="BE58" s="53">
        <f t="shared" si="124"/>
        <v>-5.534584027673201</v>
      </c>
      <c r="BF58" s="53">
        <f t="shared" si="125"/>
        <v>9.149256606587093</v>
      </c>
      <c r="BG58" s="53">
        <f t="shared" si="126"/>
        <v>99.4344171081201</v>
      </c>
      <c r="BH58" s="53">
        <f t="shared" si="127"/>
        <v>96.14784709558353</v>
      </c>
      <c r="BI58" s="53">
        <f t="shared" si="128"/>
        <v>0</v>
      </c>
      <c r="BJ58" s="53">
        <f t="shared" si="129"/>
        <v>3.2865700125365795</v>
      </c>
      <c r="BK58" s="53"/>
      <c r="BL58" s="46" t="str">
        <f t="shared" si="130"/>
        <v>Old</v>
      </c>
      <c r="BM58" s="46"/>
      <c r="BN58" s="53">
        <f t="shared" si="131"/>
        <v>-3.0490896870339976</v>
      </c>
      <c r="BO58" s="53">
        <f t="shared" si="132"/>
        <v>-0.8560904073811104</v>
      </c>
      <c r="BP58" s="53">
        <f t="shared" si="133"/>
        <v>-2.134851836021534</v>
      </c>
      <c r="BQ58" s="53">
        <f t="shared" si="134"/>
        <v>-3.049089687034001</v>
      </c>
      <c r="BR58" s="53">
        <f>((U58+V58)-(W58+X58+Y58))*100/16</f>
        <v>2.615670300912154</v>
      </c>
      <c r="BS58" s="50"/>
      <c r="BT58" s="53">
        <f t="shared" si="111"/>
        <v>-0.5263198271166929</v>
      </c>
      <c r="BU58" s="53">
        <f t="shared" si="112"/>
        <v>0.719230821244267</v>
      </c>
      <c r="BV58" s="53"/>
      <c r="BW58" s="53">
        <f t="shared" si="135"/>
        <v>3.6146725789138903</v>
      </c>
      <c r="BX58" s="53">
        <f t="shared" si="136"/>
        <v>99.4344171081201</v>
      </c>
      <c r="BY58" s="53">
        <f t="shared" si="137"/>
        <v>-3.0490896870339976</v>
      </c>
      <c r="BZ58" s="50"/>
      <c r="CA58" s="53">
        <f t="shared" si="138"/>
        <v>3.6146725789138903</v>
      </c>
      <c r="CB58" s="53">
        <f t="shared" si="139"/>
        <v>99.43441710812012</v>
      </c>
      <c r="CC58" s="53">
        <f t="shared" si="140"/>
        <v>0</v>
      </c>
      <c r="CD58" s="53">
        <f t="shared" si="141"/>
        <v>-3.049089687034001</v>
      </c>
      <c r="CE58" s="53">
        <f>((U58+V58)-(W58+X58+Y58))*100/16</f>
        <v>2.615670300912154</v>
      </c>
      <c r="CF58" s="53"/>
      <c r="CG58" s="53">
        <f t="shared" si="113"/>
        <v>3.6146725789138894</v>
      </c>
      <c r="CH58" s="53">
        <f t="shared" si="114"/>
        <v>99.43441710812012</v>
      </c>
      <c r="CI58" s="53">
        <f t="shared" si="115"/>
        <v>-3.0490896870340003</v>
      </c>
      <c r="CJ58" s="46"/>
      <c r="CK58" s="53">
        <f t="shared" si="116"/>
        <v>3.4208875119067494</v>
      </c>
      <c r="CL58" s="53">
        <f t="shared" si="117"/>
        <v>94.10367005940601</v>
      </c>
      <c r="CM58" s="53">
        <f t="shared" si="118"/>
        <v>2.475442428687237</v>
      </c>
      <c r="CN58" s="53"/>
      <c r="CO58" s="54">
        <f t="shared" si="144"/>
        <v>3.507719078248879</v>
      </c>
      <c r="CP58" s="54">
        <f t="shared" si="61"/>
        <v>96.49228092175112</v>
      </c>
      <c r="CQ58" s="31"/>
      <c r="CR58" s="7" t="str">
        <f t="shared" si="142"/>
        <v>Old</v>
      </c>
    </row>
    <row r="59" spans="1:96" s="5" customFormat="1" ht="12.75" customHeight="1">
      <c r="A59" s="12" t="s">
        <v>84</v>
      </c>
      <c r="B59" s="12" t="s">
        <v>100</v>
      </c>
      <c r="C59" s="11"/>
      <c r="D59" s="11">
        <v>38.914</v>
      </c>
      <c r="E59" s="11">
        <v>0.049</v>
      </c>
      <c r="F59" s="11">
        <v>26.619</v>
      </c>
      <c r="G59" s="11">
        <v>5.8812399365291474</v>
      </c>
      <c r="H59" s="11"/>
      <c r="I59" s="84"/>
      <c r="J59" s="11"/>
      <c r="K59" s="11">
        <v>0.604</v>
      </c>
      <c r="L59" s="11">
        <v>0.006</v>
      </c>
      <c r="M59" s="11"/>
      <c r="N59" s="11">
        <v>0.274660889827423</v>
      </c>
      <c r="O59" s="11">
        <v>2.329</v>
      </c>
      <c r="P59" s="11">
        <v>25.481</v>
      </c>
      <c r="Q59" s="11">
        <f t="shared" si="86"/>
        <v>100.15790082635655</v>
      </c>
      <c r="R59" s="56"/>
      <c r="S59" s="57">
        <f t="shared" si="87"/>
        <v>12.722598304102341</v>
      </c>
      <c r="T59" s="56"/>
      <c r="U59" s="57">
        <f t="shared" si="88"/>
        <v>8.239876147443484</v>
      </c>
      <c r="V59" s="57">
        <f t="shared" si="89"/>
        <v>0.00780441515021526</v>
      </c>
      <c r="W59" s="57">
        <f t="shared" si="90"/>
        <v>6.642968346949288</v>
      </c>
      <c r="X59" s="57">
        <f t="shared" si="91"/>
        <v>0.9371109326880672</v>
      </c>
      <c r="Y59" s="57">
        <f t="shared" si="92"/>
        <v>0</v>
      </c>
      <c r="Z59" s="57">
        <f t="shared" si="93"/>
        <v>0</v>
      </c>
      <c r="AA59" s="57">
        <f t="shared" si="94"/>
        <v>0.19065747117424175</v>
      </c>
      <c r="AB59" s="57">
        <f t="shared" si="95"/>
        <v>0</v>
      </c>
      <c r="AC59" s="57">
        <f t="shared" si="96"/>
        <v>0.001361254084972093</v>
      </c>
      <c r="AD59" s="57">
        <f t="shared" si="97"/>
        <v>0</v>
      </c>
      <c r="AE59" s="57">
        <f t="shared" si="98"/>
        <v>0.02278857552577026</v>
      </c>
      <c r="AF59" s="57">
        <f t="shared" si="99"/>
        <v>0.9561612847930072</v>
      </c>
      <c r="AG59" s="57">
        <f t="shared" si="100"/>
        <v>6.883264024350163</v>
      </c>
      <c r="AH59" s="57"/>
      <c r="AI59" s="57">
        <f t="shared" si="101"/>
        <v>1.0120115731952493</v>
      </c>
      <c r="AJ59" s="57">
        <f t="shared" si="102"/>
        <v>23.88199245215921</v>
      </c>
      <c r="AK59" s="57">
        <f t="shared" si="103"/>
        <v>16.018417313405294</v>
      </c>
      <c r="AL59" s="57">
        <f t="shared" si="104"/>
        <v>7.863575138753912</v>
      </c>
      <c r="AM59" s="57">
        <f t="shared" si="105"/>
        <v>7.887724968364655</v>
      </c>
      <c r="AN59" s="57">
        <f t="shared" si="106"/>
        <v>0.07366925362118337</v>
      </c>
      <c r="AO59" s="57">
        <f t="shared" si="120"/>
        <v>0.06451557197706848</v>
      </c>
      <c r="AP59" s="57">
        <f t="shared" si="107"/>
        <v>1.1418832905545424</v>
      </c>
      <c r="AQ59" s="56"/>
      <c r="AR59" s="57">
        <f>((U59+V59)*4+(W59+X59+Y59)*3+(Z59+AA59+AB59)*2)</f>
        <v>56.11227503163534</v>
      </c>
      <c r="AS59" s="57">
        <f>AR59/(U59+V59+W59+X59+Y59+Z59+AA59+AB59)</f>
        <v>3.502984966228642</v>
      </c>
      <c r="AT59" s="57">
        <f t="shared" si="108"/>
        <v>56.04775945965827</v>
      </c>
      <c r="AU59" s="59">
        <f t="shared" si="109"/>
        <v>0.06451557197706848</v>
      </c>
      <c r="AV59" s="59"/>
      <c r="AW59" s="57" t="s">
        <v>84</v>
      </c>
      <c r="AX59" s="57"/>
      <c r="AY59" s="57">
        <f>(U59+V59)-AC59*2-AD59*2-AE59*2-AF59-AG59-(Z59+AA59+AB59)</f>
        <v>0.16929812305480224</v>
      </c>
      <c r="AZ59" s="58">
        <f t="shared" si="110"/>
        <v>1.058113269092514</v>
      </c>
      <c r="BA59" s="57">
        <f t="shared" si="121"/>
        <v>0.16752697185122994</v>
      </c>
      <c r="BB59" s="58">
        <f t="shared" si="122"/>
        <v>0.3453251659198688</v>
      </c>
      <c r="BC59" s="37"/>
      <c r="BD59" s="58">
        <f t="shared" si="123"/>
        <v>11.952016059912589</v>
      </c>
      <c r="BE59" s="58">
        <f t="shared" si="124"/>
        <v>0.23812940131174995</v>
      </c>
      <c r="BF59" s="58">
        <f t="shared" si="125"/>
        <v>11.71388665860084</v>
      </c>
      <c r="BG59" s="58">
        <f t="shared" si="126"/>
        <v>86.04080030437706</v>
      </c>
      <c r="BH59" s="58">
        <f t="shared" si="127"/>
        <v>81.274363525021</v>
      </c>
      <c r="BI59" s="58">
        <f t="shared" si="128"/>
        <v>0.6037457402685588</v>
      </c>
      <c r="BJ59" s="58">
        <f t="shared" si="129"/>
        <v>4.766436779356044</v>
      </c>
      <c r="BK59" s="58"/>
      <c r="BL59" s="56" t="str">
        <f t="shared" si="130"/>
        <v>Gurenko &amp; Sobolev (2018)</v>
      </c>
      <c r="BM59" s="56"/>
      <c r="BN59" s="58">
        <f t="shared" si="131"/>
        <v>1.4034378954418008</v>
      </c>
      <c r="BO59" s="58">
        <f t="shared" si="132"/>
        <v>1.058113269092514</v>
      </c>
      <c r="BP59" s="58">
        <f t="shared" si="133"/>
        <v>1.173221477875596</v>
      </c>
      <c r="BQ59" s="58">
        <f t="shared" si="134"/>
        <v>1.4034378954418156</v>
      </c>
      <c r="BR59" s="58">
        <f>((U59+V59)-(W59+X59+Y59)-((Z59+AA59+AB59)*3))*100/16</f>
        <v>0.5976804339601169</v>
      </c>
      <c r="BS59" s="57"/>
      <c r="BT59" s="58">
        <f t="shared" si="111"/>
        <v>0.08287791032382884</v>
      </c>
      <c r="BU59" s="58">
        <f t="shared" si="112"/>
        <v>0.24605622198948748</v>
      </c>
      <c r="BV59" s="58"/>
      <c r="BW59" s="58">
        <f t="shared" si="135"/>
        <v>12.024614155661123</v>
      </c>
      <c r="BX59" s="58">
        <f t="shared" si="136"/>
        <v>86.56342328509143</v>
      </c>
      <c r="BY59" s="58">
        <f t="shared" si="137"/>
        <v>1.411962559247444</v>
      </c>
      <c r="BZ59" s="57"/>
      <c r="CA59" s="58">
        <f t="shared" si="138"/>
        <v>11.95201605991259</v>
      </c>
      <c r="CB59" s="58">
        <f t="shared" si="139"/>
        <v>86.04080030437704</v>
      </c>
      <c r="CC59" s="58">
        <f t="shared" si="140"/>
        <v>0.6037457402685589</v>
      </c>
      <c r="CD59" s="58">
        <f t="shared" si="141"/>
        <v>1.4034378954418156</v>
      </c>
      <c r="CE59" s="58">
        <f>((U59+V59)-(W59+X59+Y59)-((Z59+AA59+AB59)*3))*100/16</f>
        <v>0.5976804339601169</v>
      </c>
      <c r="CF59" s="58"/>
      <c r="CG59" s="58">
        <f t="shared" si="113"/>
        <v>12.024614155661125</v>
      </c>
      <c r="CH59" s="58">
        <f t="shared" si="114"/>
        <v>86.56342328509142</v>
      </c>
      <c r="CI59" s="58">
        <f t="shared" si="115"/>
        <v>1.411962559247459</v>
      </c>
      <c r="CJ59" s="56"/>
      <c r="CK59" s="58">
        <f t="shared" si="116"/>
        <v>12.122888562343435</v>
      </c>
      <c r="CL59" s="58">
        <f t="shared" si="117"/>
        <v>87.27088624012745</v>
      </c>
      <c r="CM59" s="58">
        <f t="shared" si="118"/>
        <v>0.6062251975291064</v>
      </c>
      <c r="CN59" s="58"/>
      <c r="CO59" s="60">
        <f t="shared" si="144"/>
        <v>12.196828811900668</v>
      </c>
      <c r="CP59" s="60">
        <f t="shared" si="61"/>
        <v>87.80317118809933</v>
      </c>
      <c r="CQ59" s="31"/>
      <c r="CR59" s="7" t="str">
        <f t="shared" si="142"/>
        <v>Gurenko &amp; Sobolev (2018)</v>
      </c>
    </row>
    <row r="60" spans="1:96" s="5" customFormat="1" ht="12.75" customHeight="1">
      <c r="A60" s="18" t="s">
        <v>111</v>
      </c>
      <c r="B60" s="18"/>
      <c r="C60" s="20"/>
      <c r="D60" s="20">
        <v>38.914</v>
      </c>
      <c r="E60" s="20">
        <v>0.049</v>
      </c>
      <c r="F60" s="20">
        <v>26.619</v>
      </c>
      <c r="G60" s="20"/>
      <c r="H60" s="20"/>
      <c r="I60" s="20">
        <v>5.29</v>
      </c>
      <c r="J60" s="20"/>
      <c r="K60" s="20">
        <v>0.604</v>
      </c>
      <c r="L60" s="20">
        <v>0.006</v>
      </c>
      <c r="M60" s="20"/>
      <c r="N60" s="20">
        <v>0.274660889827423</v>
      </c>
      <c r="O60" s="20">
        <v>2.329</v>
      </c>
      <c r="P60" s="20">
        <v>25.481</v>
      </c>
      <c r="Q60" s="20">
        <f t="shared" si="86"/>
        <v>99.5666608898274</v>
      </c>
      <c r="R60" s="61"/>
      <c r="S60" s="62">
        <f t="shared" si="87"/>
        <v>12.911798601585684</v>
      </c>
      <c r="T60" s="61"/>
      <c r="U60" s="62">
        <f t="shared" si="88"/>
        <v>8.362412989451576</v>
      </c>
      <c r="V60" s="62">
        <f t="shared" si="89"/>
        <v>0.007920476164860996</v>
      </c>
      <c r="W60" s="62">
        <f t="shared" si="90"/>
        <v>6.74175725448007</v>
      </c>
      <c r="X60" s="62">
        <f t="shared" si="91"/>
        <v>0</v>
      </c>
      <c r="Y60" s="62">
        <f t="shared" si="92"/>
        <v>0</v>
      </c>
      <c r="Z60" s="62">
        <f t="shared" si="93"/>
        <v>0.9506919606155982</v>
      </c>
      <c r="AA60" s="62">
        <f t="shared" si="94"/>
        <v>0.19349277646341032</v>
      </c>
      <c r="AB60" s="62">
        <f t="shared" si="95"/>
        <v>0</v>
      </c>
      <c r="AC60" s="62">
        <f t="shared" si="96"/>
        <v>0.0013814975660339836</v>
      </c>
      <c r="AD60" s="62">
        <f t="shared" si="97"/>
        <v>0</v>
      </c>
      <c r="AE60" s="62">
        <f t="shared" si="98"/>
        <v>0.02312746897863571</v>
      </c>
      <c r="AF60" s="62">
        <f t="shared" si="99"/>
        <v>0.9703805500091824</v>
      </c>
      <c r="AG60" s="62">
        <f t="shared" si="100"/>
        <v>6.985626416837515</v>
      </c>
      <c r="AH60" s="62"/>
      <c r="AI60" s="62">
        <f t="shared" si="101"/>
        <v>0.8002267239085875</v>
      </c>
      <c r="AJ60" s="62">
        <f t="shared" si="102"/>
        <v>24.236791390566882</v>
      </c>
      <c r="AK60" s="62">
        <f t="shared" si="103"/>
        <v>16.256275457175516</v>
      </c>
      <c r="AL60" s="62">
        <f t="shared" si="104"/>
        <v>7.9805159333913664</v>
      </c>
      <c r="AM60" s="62">
        <f t="shared" si="105"/>
        <v>8.005024899936036</v>
      </c>
      <c r="AN60" s="62">
        <f t="shared" si="106"/>
        <v>1.0251018287020521</v>
      </c>
      <c r="AO60" s="62">
        <f t="shared" si="120"/>
        <v>0.8827445057204883</v>
      </c>
      <c r="AP60" s="62">
        <f t="shared" si="107"/>
        <v>1.1612667335327937</v>
      </c>
      <c r="AQ60" s="61"/>
      <c r="AR60" s="62">
        <f>((U60+V60)*4+(W60+X60+Y60)*3+(Z60+AA60+AB60)*2)</f>
        <v>55.99497510006397</v>
      </c>
      <c r="AS60" s="62">
        <f>AR60/(U60+V60+W60+X60+Y60+Z60+AA60+AB60)</f>
        <v>3.4445144121464675</v>
      </c>
      <c r="AT60" s="62">
        <f t="shared" si="108"/>
        <v>55.11223059434348</v>
      </c>
      <c r="AU60" s="64">
        <f t="shared" si="109"/>
        <v>0.8827445057204883</v>
      </c>
      <c r="AV60" s="64"/>
      <c r="AW60" s="62" t="s">
        <v>111</v>
      </c>
      <c r="AX60" s="62"/>
      <c r="AY60" s="62">
        <f>(U60+V60)-AC60*2-AD60*2-AE60*2-AF60-AG60-(Z60+AA60+AB60)</f>
        <v>-0.7788761713986094</v>
      </c>
      <c r="AZ60" s="63">
        <f t="shared" si="110"/>
        <v>-4.8679760712413085</v>
      </c>
      <c r="BA60" s="62">
        <f t="shared" si="121"/>
        <v>0.763801471590503</v>
      </c>
      <c r="BB60" s="63">
        <f t="shared" si="122"/>
        <v>4.805172330122635</v>
      </c>
      <c r="BC60" s="37"/>
      <c r="BD60" s="63">
        <f t="shared" si="123"/>
        <v>12.12975687511478</v>
      </c>
      <c r="BE60" s="63">
        <f t="shared" si="124"/>
        <v>12.12975687511478</v>
      </c>
      <c r="BF60" s="63">
        <f t="shared" si="125"/>
        <v>0</v>
      </c>
      <c r="BG60" s="63">
        <f t="shared" si="126"/>
        <v>87.32033021046892</v>
      </c>
      <c r="BH60" s="63">
        <f t="shared" si="127"/>
        <v>58.71571178349371</v>
      </c>
      <c r="BI60" s="63">
        <f t="shared" si="128"/>
        <v>0.6127241636167423</v>
      </c>
      <c r="BJ60" s="63">
        <f t="shared" si="129"/>
        <v>28.604618426975218</v>
      </c>
      <c r="BK60" s="63"/>
      <c r="BL60" s="61" t="str">
        <f t="shared" si="130"/>
        <v>All Fe2+</v>
      </c>
      <c r="BM60" s="61"/>
      <c r="BN60" s="63">
        <f t="shared" si="131"/>
        <v>-0.0628112492004435</v>
      </c>
      <c r="BO60" s="63">
        <f t="shared" si="132"/>
        <v>-4.8679760712413085</v>
      </c>
      <c r="BP60" s="63">
        <f t="shared" si="133"/>
        <v>-3.2662544638943976</v>
      </c>
      <c r="BQ60" s="63">
        <f t="shared" si="134"/>
        <v>-0.0628112492004583</v>
      </c>
      <c r="BR60" s="63">
        <f>((U60+V60)-(W60+X60+Y60)-((Z60+AA60+AB60)*3))*100/16</f>
        <v>-11.274862500629117</v>
      </c>
      <c r="BS60" s="62"/>
      <c r="BT60" s="63">
        <f t="shared" si="111"/>
        <v>1.1532395572898075</v>
      </c>
      <c r="BU60" s="63">
        <f t="shared" si="112"/>
        <v>-76.50165986520352</v>
      </c>
      <c r="BV60" s="63"/>
      <c r="BW60" s="63">
        <f t="shared" si="135"/>
        <v>12.204537022509244</v>
      </c>
      <c r="BX60" s="63">
        <f t="shared" si="136"/>
        <v>87.85866145905882</v>
      </c>
      <c r="BY60" s="63">
        <f t="shared" si="137"/>
        <v>-0.06319848156804982</v>
      </c>
      <c r="BZ60" s="62"/>
      <c r="CA60" s="63">
        <f t="shared" si="138"/>
        <v>12.129756875114781</v>
      </c>
      <c r="CB60" s="63">
        <f t="shared" si="139"/>
        <v>87.32033021046894</v>
      </c>
      <c r="CC60" s="63">
        <f t="shared" si="140"/>
        <v>0.6127241636167423</v>
      </c>
      <c r="CD60" s="63">
        <f t="shared" si="141"/>
        <v>-0.0628112492004583</v>
      </c>
      <c r="CE60" s="63">
        <f>((U60+V60)-(W60+X60+Y60)-((Z60+AA60+AB60)*3))*100/16</f>
        <v>-11.274862500629117</v>
      </c>
      <c r="CF60" s="63"/>
      <c r="CG60" s="63">
        <f t="shared" si="113"/>
        <v>12.204537022509246</v>
      </c>
      <c r="CH60" s="63">
        <f t="shared" si="114"/>
        <v>87.85866145905884</v>
      </c>
      <c r="CI60" s="63">
        <f t="shared" si="115"/>
        <v>-0.06319848156806471</v>
      </c>
      <c r="CJ60" s="61"/>
      <c r="CK60" s="63">
        <f t="shared" si="116"/>
        <v>13.756423000009562</v>
      </c>
      <c r="CL60" s="63">
        <f t="shared" si="117"/>
        <v>99.03045965744948</v>
      </c>
      <c r="CM60" s="63">
        <f t="shared" si="118"/>
        <v>-12.786882657459037</v>
      </c>
      <c r="CN60" s="63"/>
      <c r="CO60" s="65">
        <f t="shared" si="144"/>
        <v>12.19682881190067</v>
      </c>
      <c r="CP60" s="65">
        <f t="shared" si="61"/>
        <v>87.80317118809933</v>
      </c>
      <c r="CQ60" s="31"/>
      <c r="CR60" s="7" t="str">
        <f t="shared" si="142"/>
        <v>All Fe2+</v>
      </c>
    </row>
    <row r="61" spans="1:96" s="5" customFormat="1" ht="12.75" customHeight="1">
      <c r="A61" s="14" t="s">
        <v>112</v>
      </c>
      <c r="B61" s="14"/>
      <c r="C61" s="16"/>
      <c r="D61" s="16">
        <v>38.914</v>
      </c>
      <c r="E61" s="16">
        <v>0.049</v>
      </c>
      <c r="F61" s="16">
        <v>26.619</v>
      </c>
      <c r="G61" s="16">
        <v>5.8812399365291474</v>
      </c>
      <c r="H61" s="16"/>
      <c r="I61" s="16"/>
      <c r="J61" s="16"/>
      <c r="K61" s="16">
        <v>0.604</v>
      </c>
      <c r="L61" s="16">
        <v>0.006</v>
      </c>
      <c r="M61" s="16"/>
      <c r="N61" s="16">
        <v>0.274660889827423</v>
      </c>
      <c r="O61" s="16">
        <v>2.329</v>
      </c>
      <c r="P61" s="16">
        <v>25.481</v>
      </c>
      <c r="Q61" s="16">
        <f t="shared" si="86"/>
        <v>100.15790082635655</v>
      </c>
      <c r="R61" s="46"/>
      <c r="S61" s="50">
        <f t="shared" si="87"/>
        <v>12.722598304102341</v>
      </c>
      <c r="T61" s="46"/>
      <c r="U61" s="50">
        <f t="shared" si="88"/>
        <v>8.239876147443484</v>
      </c>
      <c r="V61" s="50">
        <f t="shared" si="89"/>
        <v>0.00780441515021526</v>
      </c>
      <c r="W61" s="50">
        <f t="shared" si="90"/>
        <v>6.642968346949288</v>
      </c>
      <c r="X61" s="50">
        <f t="shared" si="91"/>
        <v>0.9371109326880672</v>
      </c>
      <c r="Y61" s="50">
        <f t="shared" si="92"/>
        <v>0</v>
      </c>
      <c r="Z61" s="50">
        <f t="shared" si="93"/>
        <v>0</v>
      </c>
      <c r="AA61" s="50">
        <f t="shared" si="94"/>
        <v>0.19065747117424175</v>
      </c>
      <c r="AB61" s="50">
        <f t="shared" si="95"/>
        <v>0</v>
      </c>
      <c r="AC61" s="50">
        <f t="shared" si="96"/>
        <v>0.001361254084972093</v>
      </c>
      <c r="AD61" s="50">
        <f t="shared" si="97"/>
        <v>0</v>
      </c>
      <c r="AE61" s="50">
        <f t="shared" si="98"/>
        <v>0.02278857552577026</v>
      </c>
      <c r="AF61" s="50">
        <f t="shared" si="99"/>
        <v>0.9561612847930072</v>
      </c>
      <c r="AG61" s="50">
        <f t="shared" si="100"/>
        <v>6.883264024350163</v>
      </c>
      <c r="AH61" s="50"/>
      <c r="AI61" s="50">
        <f>(U61+V61)/(W61+X61+Y61)</f>
        <v>1.088073126721741</v>
      </c>
      <c r="AJ61" s="50">
        <f t="shared" si="102"/>
        <v>23.88199245215921</v>
      </c>
      <c r="AK61" s="50">
        <f>SUM(U61:Y61)</f>
        <v>15.827759842231053</v>
      </c>
      <c r="AL61" s="50">
        <f t="shared" si="104"/>
        <v>7.863575138753912</v>
      </c>
      <c r="AM61" s="50">
        <f t="shared" si="105"/>
        <v>7.887724968364655</v>
      </c>
      <c r="AN61" s="50">
        <f>(W61+X61+Y61)-AM61</f>
        <v>-0.3076456887273</v>
      </c>
      <c r="AO61" s="50">
        <f t="shared" si="120"/>
        <v>-0.606473022972061</v>
      </c>
      <c r="AP61" s="50">
        <f t="shared" si="107"/>
        <v>0.5072701951682238</v>
      </c>
      <c r="AQ61" s="46"/>
      <c r="AR61" s="50">
        <f>((U61+V61)*4+(W61+X61+Y61)*3)</f>
        <v>55.73096008928686</v>
      </c>
      <c r="AS61" s="50">
        <f>AR61/(U61+V61+W61+X61+Y61)</f>
        <v>3.5210895695161826</v>
      </c>
      <c r="AT61" s="50">
        <f t="shared" si="108"/>
        <v>56.33743311225892</v>
      </c>
      <c r="AU61" s="51">
        <f t="shared" si="109"/>
        <v>-0.606473022972061</v>
      </c>
      <c r="AV61" s="51"/>
      <c r="AW61" s="50" t="s">
        <v>112</v>
      </c>
      <c r="AX61" s="50"/>
      <c r="AY61" s="50">
        <f>(U61+V61)-AC61*2-AD61*2-AE61*2-AF61-AG61</f>
        <v>0.359955594229044</v>
      </c>
      <c r="AZ61" s="53">
        <f t="shared" si="110"/>
        <v>2.249722463931525</v>
      </c>
      <c r="BA61" s="50">
        <f t="shared" si="121"/>
        <v>-0.02313049932301181</v>
      </c>
      <c r="BB61" s="53">
        <f t="shared" si="122"/>
        <v>-1.4420914191770613</v>
      </c>
      <c r="BC61" s="37"/>
      <c r="BD61" s="53">
        <f t="shared" si="123"/>
        <v>11.952016059912589</v>
      </c>
      <c r="BE61" s="53">
        <f t="shared" si="124"/>
        <v>0.23812940131174995</v>
      </c>
      <c r="BF61" s="53">
        <f t="shared" si="125"/>
        <v>11.71388665860084</v>
      </c>
      <c r="BG61" s="53">
        <f t="shared" si="126"/>
        <v>86.04080030437706</v>
      </c>
      <c r="BH61" s="53">
        <f t="shared" si="127"/>
        <v>81.274363525021</v>
      </c>
      <c r="BI61" s="53">
        <f t="shared" si="128"/>
        <v>0.6037457402685588</v>
      </c>
      <c r="BJ61" s="53">
        <f t="shared" si="129"/>
        <v>4.766436779356044</v>
      </c>
      <c r="BK61" s="53"/>
      <c r="BL61" s="46" t="str">
        <f t="shared" si="130"/>
        <v>Old</v>
      </c>
      <c r="BM61" s="46"/>
      <c r="BN61" s="53">
        <f t="shared" si="131"/>
        <v>1.4034378954418008</v>
      </c>
      <c r="BO61" s="53">
        <f t="shared" si="132"/>
        <v>2.249722463931525</v>
      </c>
      <c r="BP61" s="53">
        <f t="shared" si="133"/>
        <v>1.173221477875596</v>
      </c>
      <c r="BQ61" s="53">
        <f t="shared" si="134"/>
        <v>1.4034378954418156</v>
      </c>
      <c r="BR61" s="53">
        <f>((U61+V61)-(W61+X61+Y61))*100/16</f>
        <v>4.17250801847715</v>
      </c>
      <c r="BS61" s="50"/>
      <c r="BT61" s="53">
        <f t="shared" si="111"/>
        <v>-0.2031082964375338</v>
      </c>
      <c r="BU61" s="53">
        <f t="shared" si="112"/>
        <v>-0.603008206660484</v>
      </c>
      <c r="BV61" s="53"/>
      <c r="BW61" s="53">
        <f t="shared" si="135"/>
        <v>12.024614155661123</v>
      </c>
      <c r="BX61" s="53">
        <f t="shared" si="136"/>
        <v>86.56342328509143</v>
      </c>
      <c r="BY61" s="53">
        <f t="shared" si="137"/>
        <v>1.411962559247444</v>
      </c>
      <c r="BZ61" s="50"/>
      <c r="CA61" s="53">
        <f t="shared" si="138"/>
        <v>11.95201605991259</v>
      </c>
      <c r="CB61" s="53">
        <f t="shared" si="139"/>
        <v>86.04080030437704</v>
      </c>
      <c r="CC61" s="53">
        <f t="shared" si="140"/>
        <v>0.6037457402685589</v>
      </c>
      <c r="CD61" s="53">
        <f t="shared" si="141"/>
        <v>1.4034378954418156</v>
      </c>
      <c r="CE61" s="53">
        <f>((U61+V61)-(W61+X61+Y61))*100/16</f>
        <v>4.17250801847715</v>
      </c>
      <c r="CF61" s="53"/>
      <c r="CG61" s="53">
        <f t="shared" si="113"/>
        <v>12.024614155661125</v>
      </c>
      <c r="CH61" s="53">
        <f t="shared" si="114"/>
        <v>86.56342328509142</v>
      </c>
      <c r="CI61" s="53">
        <f t="shared" si="115"/>
        <v>1.411962559247459</v>
      </c>
      <c r="CJ61" s="46"/>
      <c r="CK61" s="53">
        <f t="shared" si="116"/>
        <v>11.698701229718461</v>
      </c>
      <c r="CL61" s="53">
        <f t="shared" si="117"/>
        <v>84.21722421398232</v>
      </c>
      <c r="CM61" s="53">
        <f t="shared" si="118"/>
        <v>4.084074556299229</v>
      </c>
      <c r="CN61" s="53"/>
      <c r="CO61" s="54">
        <f t="shared" si="144"/>
        <v>12.196828811900668</v>
      </c>
      <c r="CP61" s="54">
        <f t="shared" si="61"/>
        <v>87.80317118809933</v>
      </c>
      <c r="CQ61" s="31"/>
      <c r="CR61" s="7" t="str">
        <f t="shared" si="142"/>
        <v>Old</v>
      </c>
    </row>
    <row r="62" spans="1:96" s="5" customFormat="1" ht="12.75" customHeight="1">
      <c r="A62" s="12" t="s">
        <v>85</v>
      </c>
      <c r="B62" s="12" t="s">
        <v>101</v>
      </c>
      <c r="C62" s="11"/>
      <c r="D62" s="11">
        <v>38.817</v>
      </c>
      <c r="E62" s="11">
        <v>0.026</v>
      </c>
      <c r="F62" s="11">
        <v>30.148</v>
      </c>
      <c r="G62" s="11">
        <v>1.865369</v>
      </c>
      <c r="H62" s="11"/>
      <c r="I62" s="84"/>
      <c r="J62" s="11">
        <v>0.01</v>
      </c>
      <c r="K62" s="11">
        <v>0.135</v>
      </c>
      <c r="L62" s="11"/>
      <c r="M62" s="11"/>
      <c r="N62" s="11"/>
      <c r="O62" s="11">
        <v>1.596</v>
      </c>
      <c r="P62" s="11">
        <v>27.478</v>
      </c>
      <c r="Q62" s="11">
        <f t="shared" si="86"/>
        <v>100.07536900000002</v>
      </c>
      <c r="R62" s="56"/>
      <c r="S62" s="57">
        <f t="shared" si="87"/>
        <v>12.619409996791147</v>
      </c>
      <c r="T62" s="56"/>
      <c r="U62" s="57">
        <f t="shared" si="88"/>
        <v>8.15267279215106</v>
      </c>
      <c r="V62" s="57">
        <f t="shared" si="89"/>
        <v>0.004107531158662496</v>
      </c>
      <c r="W62" s="57">
        <f t="shared" si="90"/>
        <v>7.462634795422567</v>
      </c>
      <c r="X62" s="57">
        <f t="shared" si="91"/>
        <v>0.29481535361532124</v>
      </c>
      <c r="Y62" s="57">
        <f t="shared" si="92"/>
        <v>0</v>
      </c>
      <c r="Z62" s="57">
        <f t="shared" si="93"/>
        <v>0</v>
      </c>
      <c r="AA62" s="57">
        <f t="shared" si="94"/>
        <v>0.042268213610390896</v>
      </c>
      <c r="AB62" s="57">
        <f t="shared" si="95"/>
        <v>0.0017789602036724344</v>
      </c>
      <c r="AC62" s="57">
        <f t="shared" si="96"/>
        <v>0</v>
      </c>
      <c r="AD62" s="57">
        <f t="shared" si="97"/>
        <v>0</v>
      </c>
      <c r="AE62" s="57">
        <f t="shared" si="98"/>
        <v>0</v>
      </c>
      <c r="AF62" s="57">
        <f t="shared" si="99"/>
        <v>0.6499168380381681</v>
      </c>
      <c r="AG62" s="57">
        <f t="shared" si="100"/>
        <v>7.362517073981149</v>
      </c>
      <c r="AH62" s="57"/>
      <c r="AI62" s="57">
        <f t="shared" si="101"/>
        <v>1.0340561006241424</v>
      </c>
      <c r="AJ62" s="57">
        <f t="shared" si="102"/>
        <v>23.970711558180994</v>
      </c>
      <c r="AK62" s="57">
        <f t="shared" si="103"/>
        <v>15.958277646161678</v>
      </c>
      <c r="AL62" s="57">
        <f t="shared" si="104"/>
        <v>8.012433912019317</v>
      </c>
      <c r="AM62" s="57">
        <f t="shared" si="105"/>
        <v>8.012433912019317</v>
      </c>
      <c r="AN62" s="57">
        <f t="shared" si="106"/>
        <v>-0.16688941535330137</v>
      </c>
      <c r="AO62" s="57">
        <f t="shared" si="120"/>
        <v>-0.14637751608683658</v>
      </c>
      <c r="AP62" s="57">
        <f t="shared" si="107"/>
        <v>1.1401301225407894</v>
      </c>
      <c r="AQ62" s="56"/>
      <c r="AR62" s="57">
        <f>((U62+V62)*4+(W62+X62+Y62)*3+(Z62+AA62+AB62)*2)</f>
        <v>55.98756608798069</v>
      </c>
      <c r="AS62" s="57">
        <f>AR62/(U62+V62+W62+X62+Y62+Z62+AA62+AB62)</f>
        <v>3.5083714752542203</v>
      </c>
      <c r="AT62" s="57">
        <f t="shared" si="108"/>
        <v>56.133943604067525</v>
      </c>
      <c r="AU62" s="59">
        <f t="shared" si="109"/>
        <v>-0.14637751608683658</v>
      </c>
      <c r="AV62" s="59"/>
      <c r="AW62" s="57" t="s">
        <v>85</v>
      </c>
      <c r="AX62" s="57"/>
      <c r="AY62" s="57">
        <f>(U62+V62)-AC62*2-AD62*2-AE62*2-AF62-AG62-(Z62+AA62+AB62)</f>
        <v>0.10029923747634337</v>
      </c>
      <c r="AZ62" s="58">
        <f t="shared" si="110"/>
        <v>0.626870234227146</v>
      </c>
      <c r="BA62" s="57">
        <f t="shared" si="121"/>
        <v>-0.1376009735342951</v>
      </c>
      <c r="BB62" s="58">
        <f t="shared" si="122"/>
        <v>-0.7822953568050951</v>
      </c>
      <c r="BC62" s="37"/>
      <c r="BD62" s="58">
        <f t="shared" si="123"/>
        <v>8.123960475477102</v>
      </c>
      <c r="BE62" s="58">
        <f t="shared" si="124"/>
        <v>4.438768555285587</v>
      </c>
      <c r="BF62" s="58">
        <f t="shared" si="125"/>
        <v>3.6851919201915155</v>
      </c>
      <c r="BG62" s="58">
        <f t="shared" si="126"/>
        <v>92.03146342476435</v>
      </c>
      <c r="BH62" s="58">
        <f t="shared" si="127"/>
        <v>90.93028407941277</v>
      </c>
      <c r="BI62" s="58">
        <f t="shared" si="128"/>
        <v>0</v>
      </c>
      <c r="BJ62" s="58">
        <f t="shared" si="129"/>
        <v>1.1011793453515832</v>
      </c>
      <c r="BK62" s="58"/>
      <c r="BL62" s="56" t="str">
        <f t="shared" si="130"/>
        <v>Lustrino et al. (2020)</v>
      </c>
      <c r="BM62" s="56"/>
      <c r="BN62" s="58">
        <f t="shared" si="131"/>
        <v>-0.15542390024146555</v>
      </c>
      <c r="BO62" s="58">
        <f t="shared" si="132"/>
        <v>0.626870234227146</v>
      </c>
      <c r="BP62" s="58">
        <f t="shared" si="133"/>
        <v>0.3661055227375698</v>
      </c>
      <c r="BQ62" s="58">
        <f t="shared" si="134"/>
        <v>-0.15542390024145813</v>
      </c>
      <c r="BR62" s="58">
        <f>((U62+V62)-(W62+X62+Y62)-((Z62+AA62+AB62)*3))*100/16</f>
        <v>1.6699290801852822</v>
      </c>
      <c r="BS62" s="57"/>
      <c r="BT62" s="58">
        <f t="shared" si="111"/>
        <v>-0.1877505922724668</v>
      </c>
      <c r="BU62" s="58">
        <f t="shared" si="112"/>
        <v>5.033293677827185</v>
      </c>
      <c r="BV62" s="58"/>
      <c r="BW62" s="58">
        <f t="shared" si="135"/>
        <v>8.123960475477102</v>
      </c>
      <c r="BX62" s="58">
        <f t="shared" si="136"/>
        <v>92.03146342476435</v>
      </c>
      <c r="BY62" s="58">
        <f t="shared" si="137"/>
        <v>-0.15542390024146555</v>
      </c>
      <c r="BZ62" s="57"/>
      <c r="CA62" s="58">
        <f t="shared" si="138"/>
        <v>8.123960475477102</v>
      </c>
      <c r="CB62" s="58">
        <f t="shared" si="139"/>
        <v>92.03146342476435</v>
      </c>
      <c r="CC62" s="58">
        <f t="shared" si="140"/>
        <v>0</v>
      </c>
      <c r="CD62" s="58">
        <f t="shared" si="141"/>
        <v>-0.15542390024145813</v>
      </c>
      <c r="CE62" s="58">
        <f>((U62+V62)-(W62+X62+Y62)-((Z62+AA62+AB62)*3))*100/16</f>
        <v>1.6699290801852822</v>
      </c>
      <c r="CF62" s="58"/>
      <c r="CG62" s="58">
        <f t="shared" si="113"/>
        <v>8.123960475477102</v>
      </c>
      <c r="CH62" s="58">
        <f t="shared" si="114"/>
        <v>92.03146342476435</v>
      </c>
      <c r="CI62" s="58">
        <f t="shared" si="115"/>
        <v>-0.15542390024145813</v>
      </c>
      <c r="CJ62" s="56"/>
      <c r="CK62" s="58">
        <f t="shared" si="116"/>
        <v>7.978327830632436</v>
      </c>
      <c r="CL62" s="58">
        <f t="shared" si="117"/>
        <v>90.38167875779914</v>
      </c>
      <c r="CM62" s="58">
        <f t="shared" si="118"/>
        <v>1.639993411568416</v>
      </c>
      <c r="CN62" s="58"/>
      <c r="CO62" s="60">
        <f t="shared" si="144"/>
        <v>8.111353493515109</v>
      </c>
      <c r="CP62" s="60">
        <f t="shared" si="61"/>
        <v>91.88864650648489</v>
      </c>
      <c r="CQ62" s="31"/>
      <c r="CR62" s="7" t="str">
        <f t="shared" si="142"/>
        <v>Lustrino et al. (2020)</v>
      </c>
    </row>
    <row r="63" spans="1:96" s="5" customFormat="1" ht="12.75" customHeight="1">
      <c r="A63" s="18" t="s">
        <v>111</v>
      </c>
      <c r="B63" s="18"/>
      <c r="C63" s="20"/>
      <c r="D63" s="20">
        <v>38.817</v>
      </c>
      <c r="E63" s="20">
        <v>0.026</v>
      </c>
      <c r="F63" s="20">
        <v>30.148</v>
      </c>
      <c r="G63" s="20"/>
      <c r="H63" s="20"/>
      <c r="I63" s="20">
        <v>1.678546747053001</v>
      </c>
      <c r="J63" s="20">
        <v>0.01</v>
      </c>
      <c r="K63" s="20">
        <v>0.135</v>
      </c>
      <c r="L63" s="20"/>
      <c r="M63" s="20"/>
      <c r="N63" s="20"/>
      <c r="O63" s="20">
        <v>1.596</v>
      </c>
      <c r="P63" s="20">
        <v>27.478</v>
      </c>
      <c r="Q63" s="20">
        <f t="shared" si="86"/>
        <v>99.88854674705303</v>
      </c>
      <c r="R63" s="61"/>
      <c r="S63" s="62">
        <f t="shared" si="87"/>
        <v>12.677804851602223</v>
      </c>
      <c r="T63" s="61"/>
      <c r="U63" s="62">
        <f t="shared" si="88"/>
        <v>8.190398339077655</v>
      </c>
      <c r="V63" s="62">
        <f t="shared" si="89"/>
        <v>0.004126538282268359</v>
      </c>
      <c r="W63" s="62">
        <f t="shared" si="90"/>
        <v>7.497167271623721</v>
      </c>
      <c r="X63" s="62">
        <f t="shared" si="91"/>
        <v>0</v>
      </c>
      <c r="Y63" s="62">
        <f t="shared" si="92"/>
        <v>0</v>
      </c>
      <c r="Z63" s="62">
        <f t="shared" si="93"/>
        <v>0.2961930809429845</v>
      </c>
      <c r="AA63" s="62">
        <f t="shared" si="94"/>
        <v>0.04246380486208411</v>
      </c>
      <c r="AB63" s="62">
        <f t="shared" si="95"/>
        <v>0.001787192135500828</v>
      </c>
      <c r="AC63" s="62">
        <f t="shared" si="96"/>
        <v>0</v>
      </c>
      <c r="AD63" s="62">
        <f t="shared" si="97"/>
        <v>0</v>
      </c>
      <c r="AE63" s="62">
        <f t="shared" si="98"/>
        <v>0</v>
      </c>
      <c r="AF63" s="62">
        <f t="shared" si="99"/>
        <v>0.652924252759313</v>
      </c>
      <c r="AG63" s="62">
        <f t="shared" si="100"/>
        <v>7.396586267048696</v>
      </c>
      <c r="AH63" s="62"/>
      <c r="AI63" s="62">
        <f t="shared" si="101"/>
        <v>0.9603848823283957</v>
      </c>
      <c r="AJ63" s="62">
        <f t="shared" si="102"/>
        <v>24.081646746732225</v>
      </c>
      <c r="AK63" s="62">
        <f t="shared" si="103"/>
        <v>16.032136226924216</v>
      </c>
      <c r="AL63" s="62">
        <f t="shared" si="104"/>
        <v>8.04951051980801</v>
      </c>
      <c r="AM63" s="62">
        <f t="shared" si="105"/>
        <v>8.04951051980801</v>
      </c>
      <c r="AN63" s="62">
        <f t="shared" si="106"/>
        <v>0.12854490769685079</v>
      </c>
      <c r="AO63" s="62">
        <f t="shared" si="120"/>
        <v>0.11215209258494241</v>
      </c>
      <c r="AP63" s="62">
        <f t="shared" si="107"/>
        <v>1.1461659317635353</v>
      </c>
      <c r="AQ63" s="61"/>
      <c r="AR63" s="62">
        <f>((U63+V63)*4+(W63+X63+Y63)*3+(Z63+AA63+AB63)*2)</f>
        <v>55.950489480192</v>
      </c>
      <c r="AS63" s="62">
        <f>AR63/(U63+V63+W63+X63+Y63+Z63+AA63+AB63)</f>
        <v>3.489896086725441</v>
      </c>
      <c r="AT63" s="62">
        <f t="shared" si="108"/>
        <v>55.838337387607055</v>
      </c>
      <c r="AU63" s="64">
        <f t="shared" si="109"/>
        <v>0.11215209258494241</v>
      </c>
      <c r="AV63" s="64"/>
      <c r="AW63" s="62" t="s">
        <v>111</v>
      </c>
      <c r="AX63" s="62"/>
      <c r="AY63" s="62">
        <f>(U63+V63)-AC63*2-AD63*2-AE63*2-AF63-AG63-(Z63+AA63+AB63)</f>
        <v>-0.19542972038865541</v>
      </c>
      <c r="AZ63" s="63">
        <f t="shared" si="110"/>
        <v>-1.2214357524290964</v>
      </c>
      <c r="BA63" s="62">
        <f t="shared" si="121"/>
        <v>0.0468981609646299</v>
      </c>
      <c r="BB63" s="63">
        <f t="shared" si="122"/>
        <v>0.6025551963214822</v>
      </c>
      <c r="BC63" s="37"/>
      <c r="BD63" s="63">
        <f t="shared" si="123"/>
        <v>8.161553159491412</v>
      </c>
      <c r="BE63" s="63">
        <f t="shared" si="124"/>
        <v>8.161553159491412</v>
      </c>
      <c r="BF63" s="63">
        <f t="shared" si="125"/>
        <v>0</v>
      </c>
      <c r="BG63" s="63">
        <f t="shared" si="126"/>
        <v>92.4573283381087</v>
      </c>
      <c r="BH63" s="63">
        <f t="shared" si="127"/>
        <v>83.94622638959446</v>
      </c>
      <c r="BI63" s="63">
        <f t="shared" si="128"/>
        <v>0</v>
      </c>
      <c r="BJ63" s="63">
        <f t="shared" si="129"/>
        <v>8.511101948514236</v>
      </c>
      <c r="BK63" s="63"/>
      <c r="BL63" s="61" t="str">
        <f t="shared" si="130"/>
        <v>All Fe2+</v>
      </c>
      <c r="BM63" s="61"/>
      <c r="BN63" s="63">
        <f t="shared" si="131"/>
        <v>-0.6188814976001064</v>
      </c>
      <c r="BO63" s="63">
        <f t="shared" si="132"/>
        <v>-1.2214357524290964</v>
      </c>
      <c r="BP63" s="63">
        <f t="shared" si="133"/>
        <v>-1.0205843341528187</v>
      </c>
      <c r="BQ63" s="63">
        <f t="shared" si="134"/>
        <v>-0.61888149760011</v>
      </c>
      <c r="BR63" s="63">
        <f>((U63+V63)-(W63+X63+Y63)-((Z63+AA63+AB63)*3))*100/16</f>
        <v>-2.0248414255344156</v>
      </c>
      <c r="BS63" s="62"/>
      <c r="BT63" s="63">
        <f t="shared" si="111"/>
        <v>0.14461302115895763</v>
      </c>
      <c r="BU63" s="63">
        <f t="shared" si="112"/>
        <v>-0.9736181436439287</v>
      </c>
      <c r="BV63" s="63"/>
      <c r="BW63" s="63">
        <f t="shared" si="135"/>
        <v>8.16155315949141</v>
      </c>
      <c r="BX63" s="63">
        <f t="shared" si="136"/>
        <v>92.45732833810868</v>
      </c>
      <c r="BY63" s="63">
        <f t="shared" si="137"/>
        <v>-0.6188814976001062</v>
      </c>
      <c r="BZ63" s="62"/>
      <c r="CA63" s="63">
        <f t="shared" si="138"/>
        <v>8.161553159491412</v>
      </c>
      <c r="CB63" s="63">
        <f t="shared" si="139"/>
        <v>92.4573283381087</v>
      </c>
      <c r="CC63" s="63">
        <f t="shared" si="140"/>
        <v>0</v>
      </c>
      <c r="CD63" s="63">
        <f t="shared" si="141"/>
        <v>-0.61888149760011</v>
      </c>
      <c r="CE63" s="63">
        <f>((U63+V63)-(W63+X63+Y63)-((Z63+AA63+AB63)*3))*100/16</f>
        <v>-2.0248414255344156</v>
      </c>
      <c r="CF63" s="63"/>
      <c r="CG63" s="63">
        <f t="shared" si="113"/>
        <v>8.161553159491412</v>
      </c>
      <c r="CH63" s="63">
        <f t="shared" si="114"/>
        <v>92.4573283381087</v>
      </c>
      <c r="CI63" s="63">
        <f t="shared" si="115"/>
        <v>-0.61888149760011</v>
      </c>
      <c r="CJ63" s="61"/>
      <c r="CK63" s="63">
        <f t="shared" si="116"/>
        <v>8.277937645648619</v>
      </c>
      <c r="CL63" s="63">
        <f t="shared" si="117"/>
        <v>93.77577820173362</v>
      </c>
      <c r="CM63" s="63">
        <f t="shared" si="118"/>
        <v>-2.0537158473822466</v>
      </c>
      <c r="CN63" s="63"/>
      <c r="CO63" s="65">
        <f t="shared" si="144"/>
        <v>8.111353493515107</v>
      </c>
      <c r="CP63" s="65">
        <f t="shared" si="61"/>
        <v>91.88864650648489</v>
      </c>
      <c r="CQ63" s="31"/>
      <c r="CR63" s="7" t="str">
        <f t="shared" si="142"/>
        <v>All Fe2+</v>
      </c>
    </row>
    <row r="64" spans="1:96" s="5" customFormat="1" ht="12.75" customHeight="1">
      <c r="A64" s="14" t="s">
        <v>112</v>
      </c>
      <c r="B64" s="14"/>
      <c r="C64" s="16"/>
      <c r="D64" s="16">
        <v>38.817</v>
      </c>
      <c r="E64" s="16">
        <v>0.026</v>
      </c>
      <c r="F64" s="16">
        <v>30.148</v>
      </c>
      <c r="G64" s="16">
        <v>1.865369</v>
      </c>
      <c r="H64" s="16"/>
      <c r="I64" s="87"/>
      <c r="J64" s="16">
        <v>0.01</v>
      </c>
      <c r="K64" s="16">
        <v>0.135</v>
      </c>
      <c r="L64" s="16"/>
      <c r="M64" s="16"/>
      <c r="N64" s="16"/>
      <c r="O64" s="16">
        <v>1.596</v>
      </c>
      <c r="P64" s="16">
        <v>27.478</v>
      </c>
      <c r="Q64" s="16">
        <f t="shared" si="86"/>
        <v>100.07536900000002</v>
      </c>
      <c r="R64" s="46"/>
      <c r="S64" s="50">
        <f t="shared" si="87"/>
        <v>12.619409996791147</v>
      </c>
      <c r="T64" s="46"/>
      <c r="U64" s="50">
        <f t="shared" si="88"/>
        <v>8.15267279215106</v>
      </c>
      <c r="V64" s="50">
        <f t="shared" si="89"/>
        <v>0.004107531158662496</v>
      </c>
      <c r="W64" s="50">
        <f t="shared" si="90"/>
        <v>7.462634795422567</v>
      </c>
      <c r="X64" s="50">
        <f t="shared" si="91"/>
        <v>0.29481535361532124</v>
      </c>
      <c r="Y64" s="50">
        <f t="shared" si="92"/>
        <v>0</v>
      </c>
      <c r="Z64" s="50">
        <f t="shared" si="93"/>
        <v>0</v>
      </c>
      <c r="AA64" s="50">
        <f t="shared" si="94"/>
        <v>0.042268213610390896</v>
      </c>
      <c r="AB64" s="50">
        <f t="shared" si="95"/>
        <v>0.0017789602036724344</v>
      </c>
      <c r="AC64" s="50">
        <f t="shared" si="96"/>
        <v>0</v>
      </c>
      <c r="AD64" s="50">
        <f t="shared" si="97"/>
        <v>0</v>
      </c>
      <c r="AE64" s="50">
        <f t="shared" si="98"/>
        <v>0</v>
      </c>
      <c r="AF64" s="50">
        <f t="shared" si="99"/>
        <v>0.6499168380381681</v>
      </c>
      <c r="AG64" s="50">
        <f t="shared" si="100"/>
        <v>7.362517073981149</v>
      </c>
      <c r="AH64" s="50"/>
      <c r="AI64" s="50">
        <f>(U64+V64)/(W64+X64+Y64)</f>
        <v>1.051476988778505</v>
      </c>
      <c r="AJ64" s="50">
        <f t="shared" si="102"/>
        <v>23.970711558180994</v>
      </c>
      <c r="AK64" s="50">
        <f>SUM(U64:Y64)</f>
        <v>15.914230472347613</v>
      </c>
      <c r="AL64" s="50">
        <f t="shared" si="104"/>
        <v>8.012433912019317</v>
      </c>
      <c r="AM64" s="50">
        <f t="shared" si="105"/>
        <v>8.012433912019317</v>
      </c>
      <c r="AN64" s="50">
        <f>(W64+X64+Y64)-AM64</f>
        <v>-0.25498376298142844</v>
      </c>
      <c r="AO64" s="50">
        <f t="shared" si="120"/>
        <v>-0.30126943904191705</v>
      </c>
      <c r="AP64" s="50">
        <f t="shared" si="107"/>
        <v>0.8463645160701193</v>
      </c>
      <c r="AQ64" s="46"/>
      <c r="AR64" s="50">
        <f>((U64+V64)*4+(W64+X64+Y64)*3)</f>
        <v>55.89947174035256</v>
      </c>
      <c r="AS64" s="50">
        <f>AR64/(U64+V64+W64+X64+Y64)</f>
        <v>3.512546323712155</v>
      </c>
      <c r="AT64" s="50">
        <f t="shared" si="108"/>
        <v>56.20074117939448</v>
      </c>
      <c r="AU64" s="51">
        <f t="shared" si="109"/>
        <v>-0.30126943904191705</v>
      </c>
      <c r="AV64" s="51"/>
      <c r="AW64" s="50" t="s">
        <v>112</v>
      </c>
      <c r="AX64" s="50"/>
      <c r="AY64" s="50">
        <f>(U64+V64)-AC64*2-AD64*2-AE64*2-AF64-AG64</f>
        <v>0.1443464112904067</v>
      </c>
      <c r="AZ64" s="53">
        <f t="shared" si="110"/>
        <v>0.9021650705650419</v>
      </c>
      <c r="BA64" s="50">
        <f t="shared" si="121"/>
        <v>-0.18164814734835844</v>
      </c>
      <c r="BB64" s="53">
        <f t="shared" si="122"/>
        <v>-1.1952382565352215</v>
      </c>
      <c r="BC64" s="37"/>
      <c r="BD64" s="53">
        <f t="shared" si="123"/>
        <v>8.123960475477102</v>
      </c>
      <c r="BE64" s="53">
        <f t="shared" si="124"/>
        <v>4.438768555285587</v>
      </c>
      <c r="BF64" s="53">
        <f t="shared" si="125"/>
        <v>3.6851919201915155</v>
      </c>
      <c r="BG64" s="53">
        <f t="shared" si="126"/>
        <v>92.03146342476435</v>
      </c>
      <c r="BH64" s="53">
        <f t="shared" si="127"/>
        <v>90.93028407941277</v>
      </c>
      <c r="BI64" s="53">
        <f t="shared" si="128"/>
        <v>0</v>
      </c>
      <c r="BJ64" s="53">
        <f t="shared" si="129"/>
        <v>1.1011793453515832</v>
      </c>
      <c r="BK64" s="53"/>
      <c r="BL64" s="46" t="str">
        <f t="shared" si="130"/>
        <v>Old</v>
      </c>
      <c r="BM64" s="46"/>
      <c r="BN64" s="53">
        <f t="shared" si="131"/>
        <v>-0.15542390024146555</v>
      </c>
      <c r="BO64" s="53">
        <f t="shared" si="132"/>
        <v>0.9021650705650419</v>
      </c>
      <c r="BP64" s="53">
        <f t="shared" si="133"/>
        <v>0.3661055227375698</v>
      </c>
      <c r="BQ64" s="53">
        <f t="shared" si="134"/>
        <v>-0.15542390024145813</v>
      </c>
      <c r="BR64" s="53">
        <f>((U64+V64)-(W64+X64+Y64))*100/16</f>
        <v>2.4958135891989697</v>
      </c>
      <c r="BS64" s="50"/>
      <c r="BT64" s="53">
        <f t="shared" si="111"/>
        <v>-0.2538213529935618</v>
      </c>
      <c r="BU64" s="53">
        <f t="shared" si="112"/>
        <v>6.8045453058599366</v>
      </c>
      <c r="BV64" s="53"/>
      <c r="BW64" s="53">
        <f t="shared" si="135"/>
        <v>8.123960475477102</v>
      </c>
      <c r="BX64" s="53">
        <f t="shared" si="136"/>
        <v>92.03146342476435</v>
      </c>
      <c r="BY64" s="53">
        <f t="shared" si="137"/>
        <v>-0.15542390024146555</v>
      </c>
      <c r="BZ64" s="50"/>
      <c r="CA64" s="53">
        <f t="shared" si="138"/>
        <v>8.123960475477102</v>
      </c>
      <c r="CB64" s="53">
        <f t="shared" si="139"/>
        <v>92.03146342476435</v>
      </c>
      <c r="CC64" s="53">
        <f t="shared" si="140"/>
        <v>0</v>
      </c>
      <c r="CD64" s="53">
        <f t="shared" si="141"/>
        <v>-0.15542390024145813</v>
      </c>
      <c r="CE64" s="53">
        <f>((U64+V64)-(W64+X64+Y64))*100/16</f>
        <v>2.4958135891989697</v>
      </c>
      <c r="CF64" s="53"/>
      <c r="CG64" s="53">
        <f t="shared" si="113"/>
        <v>8.123960475477102</v>
      </c>
      <c r="CH64" s="53">
        <f t="shared" si="114"/>
        <v>92.03146342476435</v>
      </c>
      <c r="CI64" s="53">
        <f t="shared" si="115"/>
        <v>-0.15542390024145813</v>
      </c>
      <c r="CJ64" s="46"/>
      <c r="CK64" s="53">
        <f t="shared" si="116"/>
        <v>7.914137884906453</v>
      </c>
      <c r="CL64" s="53">
        <f t="shared" si="117"/>
        <v>89.65450945901308</v>
      </c>
      <c r="CM64" s="53">
        <f t="shared" si="118"/>
        <v>2.431352656080459</v>
      </c>
      <c r="CN64" s="53"/>
      <c r="CO64" s="54">
        <f t="shared" si="144"/>
        <v>8.111353493515109</v>
      </c>
      <c r="CP64" s="54">
        <f t="shared" si="61"/>
        <v>91.88864650648489</v>
      </c>
      <c r="CQ64" s="31"/>
      <c r="CR64" s="7" t="str">
        <f t="shared" si="142"/>
        <v>Old</v>
      </c>
    </row>
    <row r="65" spans="1:96" s="1" customFormat="1" ht="12.75" customHeight="1">
      <c r="A65" s="27" t="s">
        <v>99</v>
      </c>
      <c r="B65" s="27" t="s">
        <v>102</v>
      </c>
      <c r="C65" s="22"/>
      <c r="D65" s="22">
        <v>38.2369</v>
      </c>
      <c r="E65" s="22">
        <v>0.0517</v>
      </c>
      <c r="F65" s="22">
        <v>28.2815</v>
      </c>
      <c r="G65" s="22">
        <v>3.7177838170202113</v>
      </c>
      <c r="H65" s="22"/>
      <c r="I65" s="85"/>
      <c r="J65" s="22"/>
      <c r="K65" s="22">
        <v>0.3637</v>
      </c>
      <c r="L65" s="22">
        <v>0.0266</v>
      </c>
      <c r="M65" s="22">
        <v>0.0914</v>
      </c>
      <c r="N65" s="22">
        <v>0.1305</v>
      </c>
      <c r="O65" s="22">
        <v>2.2405</v>
      </c>
      <c r="P65" s="22">
        <v>26.0608</v>
      </c>
      <c r="Q65" s="22">
        <f t="shared" si="86"/>
        <v>99.20138381702019</v>
      </c>
      <c r="R65" s="66"/>
      <c r="S65" s="67">
        <f t="shared" si="87"/>
        <v>12.799559489625423</v>
      </c>
      <c r="T65" s="66"/>
      <c r="U65" s="67">
        <f t="shared" si="88"/>
        <v>8.145480204460373</v>
      </c>
      <c r="V65" s="67">
        <f t="shared" si="89"/>
        <v>0.00828426598313488</v>
      </c>
      <c r="W65" s="67">
        <f t="shared" si="90"/>
        <v>7.100551713362647</v>
      </c>
      <c r="X65" s="67">
        <f t="shared" si="91"/>
        <v>0.5959714392502184</v>
      </c>
      <c r="Y65" s="67">
        <f t="shared" si="92"/>
        <v>0</v>
      </c>
      <c r="Z65" s="67">
        <f t="shared" si="93"/>
        <v>0</v>
      </c>
      <c r="AA65" s="67">
        <f t="shared" si="94"/>
        <v>0.11549931240235124</v>
      </c>
      <c r="AB65" s="67">
        <f t="shared" si="95"/>
        <v>0</v>
      </c>
      <c r="AC65" s="67">
        <f t="shared" si="96"/>
        <v>0.006071399216512111</v>
      </c>
      <c r="AD65" s="67">
        <f t="shared" si="97"/>
        <v>0.011290095901869943</v>
      </c>
      <c r="AE65" s="67">
        <f t="shared" si="98"/>
        <v>0.010893064519343406</v>
      </c>
      <c r="AF65" s="67">
        <f t="shared" si="99"/>
        <v>0.9253921747130803</v>
      </c>
      <c r="AG65" s="67">
        <f t="shared" si="100"/>
        <v>7.082472741594145</v>
      </c>
      <c r="AH65" s="67"/>
      <c r="AI65" s="67">
        <f t="shared" si="101"/>
        <v>1.013969482990139</v>
      </c>
      <c r="AJ65" s="67">
        <f t="shared" si="102"/>
        <v>24.001906411403677</v>
      </c>
      <c r="AK65" s="67">
        <f t="shared" si="103"/>
        <v>15.965786935458725</v>
      </c>
      <c r="AL65" s="67">
        <f t="shared" si="104"/>
        <v>8.03611947594495</v>
      </c>
      <c r="AM65" s="67">
        <f t="shared" si="105"/>
        <v>8.064374035582677</v>
      </c>
      <c r="AN65" s="67">
        <f t="shared" si="106"/>
        <v>-0.13685225816510904</v>
      </c>
      <c r="AO65" s="67">
        <f t="shared" si="120"/>
        <v>-0.1198643818192906</v>
      </c>
      <c r="AP65" s="67">
        <f t="shared" si="107"/>
        <v>1.1417258078503223</v>
      </c>
      <c r="AQ65" s="66"/>
      <c r="AR65" s="67">
        <f>((U65+V65)*4+(W65+X65+Y65)*3+(Z65+AA65+AB65)*2)</f>
        <v>55.93562596441733</v>
      </c>
      <c r="AS65" s="67">
        <f>AR65/(U65+V65+W65+X65+Y65+Z65+AA65+AB65)</f>
        <v>3.503468146639789</v>
      </c>
      <c r="AT65" s="67">
        <f t="shared" si="108"/>
        <v>56.055490346236624</v>
      </c>
      <c r="AU65" s="69">
        <f t="shared" si="109"/>
        <v>-0.1198643818192906</v>
      </c>
      <c r="AV65" s="69"/>
      <c r="AW65" s="67" t="s">
        <v>99</v>
      </c>
      <c r="AX65" s="67"/>
      <c r="AY65" s="67">
        <f>(U65+V65)-AC65*2-AD65*2-AE65*2-AF65-AG65-(Z65+AA65+AB65)</f>
        <v>-0.02610887754151782</v>
      </c>
      <c r="AZ65" s="68">
        <f t="shared" si="110"/>
        <v>-0.16318048463448637</v>
      </c>
      <c r="BA65" s="67">
        <f t="shared" si="121"/>
        <v>-0.16701322920651263</v>
      </c>
      <c r="BB65" s="68">
        <f t="shared" si="122"/>
        <v>-0.64149596248639</v>
      </c>
      <c r="BC65" s="70"/>
      <c r="BD65" s="68">
        <f t="shared" si="123"/>
        <v>11.567402183913503</v>
      </c>
      <c r="BE65" s="68">
        <f t="shared" si="124"/>
        <v>4.1177591932857736</v>
      </c>
      <c r="BF65" s="68">
        <f t="shared" si="125"/>
        <v>7.449642990627731</v>
      </c>
      <c r="BG65" s="68">
        <f t="shared" si="126"/>
        <v>88.53090926992682</v>
      </c>
      <c r="BH65" s="68">
        <f t="shared" si="127"/>
        <v>85.64342645986802</v>
      </c>
      <c r="BI65" s="68">
        <f t="shared" si="128"/>
        <v>0.7063639909431365</v>
      </c>
      <c r="BJ65" s="68">
        <f t="shared" si="129"/>
        <v>2.8874828100587813</v>
      </c>
      <c r="BK65" s="68"/>
      <c r="BL65" s="66" t="str">
        <f t="shared" si="130"/>
        <v>This work</v>
      </c>
      <c r="BM65" s="66"/>
      <c r="BN65" s="68">
        <f t="shared" si="131"/>
        <v>-0.8046754447834602</v>
      </c>
      <c r="BO65" s="68">
        <f t="shared" si="132"/>
        <v>-0.16318048463448637</v>
      </c>
      <c r="BP65" s="68">
        <f t="shared" si="133"/>
        <v>-0.37701213801753464</v>
      </c>
      <c r="BQ65" s="68">
        <f t="shared" si="134"/>
        <v>-0.8046754447834528</v>
      </c>
      <c r="BR65" s="68">
        <f>((U65+V65)-(W65+X65+Y65)-((Z65+AA65+AB65)*3))*100/16</f>
        <v>0.6921461288974352</v>
      </c>
      <c r="BS65" s="67"/>
      <c r="BT65" s="68">
        <f t="shared" si="111"/>
        <v>-0.15395879043575372</v>
      </c>
      <c r="BU65" s="68">
        <f t="shared" si="112"/>
        <v>0.7972095635670869</v>
      </c>
      <c r="BV65" s="68"/>
      <c r="BW65" s="68">
        <f t="shared" si="135"/>
        <v>11.649691409083262</v>
      </c>
      <c r="BX65" s="68">
        <f t="shared" si="136"/>
        <v>89.1607084081921</v>
      </c>
      <c r="BY65" s="68">
        <f t="shared" si="137"/>
        <v>-0.8103998172753623</v>
      </c>
      <c r="BZ65" s="67"/>
      <c r="CA65" s="68">
        <f t="shared" si="138"/>
        <v>11.567402183913504</v>
      </c>
      <c r="CB65" s="68">
        <f t="shared" si="139"/>
        <v>88.53090926992681</v>
      </c>
      <c r="CC65" s="68">
        <f t="shared" si="140"/>
        <v>0.7063639909431365</v>
      </c>
      <c r="CD65" s="68">
        <f t="shared" si="141"/>
        <v>-0.8046754447834528</v>
      </c>
      <c r="CE65" s="68">
        <f>((U65+V65)-(W65+X65+Y65)-((Z65+AA65+AB65)*3))*100/16</f>
        <v>0.6921461288974352</v>
      </c>
      <c r="CF65" s="68"/>
      <c r="CG65" s="68">
        <f t="shared" si="113"/>
        <v>11.649691409083266</v>
      </c>
      <c r="CH65" s="68">
        <f t="shared" si="114"/>
        <v>89.16070840819211</v>
      </c>
      <c r="CI65" s="68">
        <f t="shared" si="115"/>
        <v>-0.8103998172753549</v>
      </c>
      <c r="CJ65" s="66"/>
      <c r="CK65" s="68">
        <f t="shared" si="116"/>
        <v>11.476683866047493</v>
      </c>
      <c r="CL65" s="68">
        <f t="shared" si="117"/>
        <v>87.83659821888673</v>
      </c>
      <c r="CM65" s="68">
        <f t="shared" si="118"/>
        <v>0.6867179150657792</v>
      </c>
      <c r="CN65" s="68"/>
      <c r="CO65" s="71">
        <f t="shared" si="144"/>
        <v>11.556041271732878</v>
      </c>
      <c r="CP65" s="71">
        <f t="shared" si="61"/>
        <v>88.44395872826712</v>
      </c>
      <c r="CQ65" s="32"/>
      <c r="CR65" s="36" t="str">
        <f t="shared" si="142"/>
        <v>This work</v>
      </c>
    </row>
    <row r="66" spans="1:96" s="1" customFormat="1" ht="12.75" customHeight="1">
      <c r="A66" s="23" t="s">
        <v>111</v>
      </c>
      <c r="B66" s="23"/>
      <c r="C66" s="21"/>
      <c r="D66" s="21">
        <v>38.2369</v>
      </c>
      <c r="E66" s="21">
        <v>0.0517</v>
      </c>
      <c r="F66" s="21">
        <v>28.2815</v>
      </c>
      <c r="G66" s="21"/>
      <c r="H66" s="21"/>
      <c r="I66" s="21">
        <v>3.345436711077307</v>
      </c>
      <c r="J66" s="21"/>
      <c r="K66" s="21">
        <v>0.3637</v>
      </c>
      <c r="L66" s="21">
        <v>0.0266</v>
      </c>
      <c r="M66" s="21">
        <v>0.0914</v>
      </c>
      <c r="N66" s="21">
        <v>0.1305</v>
      </c>
      <c r="O66" s="21">
        <v>2.2405</v>
      </c>
      <c r="P66" s="21">
        <v>26.0608</v>
      </c>
      <c r="Q66" s="21">
        <f t="shared" si="86"/>
        <v>98.8290367110773</v>
      </c>
      <c r="R66" s="72"/>
      <c r="S66" s="73">
        <f t="shared" si="87"/>
        <v>12.919858939911503</v>
      </c>
      <c r="T66" s="72"/>
      <c r="U66" s="73">
        <f t="shared" si="88"/>
        <v>8.222037275952323</v>
      </c>
      <c r="V66" s="73">
        <f t="shared" si="89"/>
        <v>0.008362127463024291</v>
      </c>
      <c r="W66" s="73">
        <f t="shared" si="90"/>
        <v>7.1672877966269</v>
      </c>
      <c r="X66" s="73">
        <f t="shared" si="91"/>
        <v>0</v>
      </c>
      <c r="Y66" s="73">
        <f t="shared" si="92"/>
        <v>0</v>
      </c>
      <c r="Z66" s="73">
        <f t="shared" si="93"/>
        <v>0.6016002338268001</v>
      </c>
      <c r="AA66" s="73">
        <f t="shared" si="94"/>
        <v>0.11658485786988747</v>
      </c>
      <c r="AB66" s="73">
        <f t="shared" si="95"/>
        <v>0</v>
      </c>
      <c r="AC66" s="73">
        <f t="shared" si="96"/>
        <v>0.006128462585669913</v>
      </c>
      <c r="AD66" s="73">
        <f t="shared" si="97"/>
        <v>0.011396208329549424</v>
      </c>
      <c r="AE66" s="73">
        <f t="shared" si="98"/>
        <v>0.01099544536101768</v>
      </c>
      <c r="AF66" s="73">
        <f t="shared" si="99"/>
        <v>0.9340896748112091</v>
      </c>
      <c r="AG66" s="73">
        <f t="shared" si="100"/>
        <v>7.1490389057008485</v>
      </c>
      <c r="AH66" s="73"/>
      <c r="AI66" s="73">
        <f t="shared" si="101"/>
        <v>0.8731419041951453</v>
      </c>
      <c r="AJ66" s="73">
        <f t="shared" si="102"/>
        <v>24.227520988527235</v>
      </c>
      <c r="AK66" s="73">
        <f t="shared" si="103"/>
        <v>16.11587229173894</v>
      </c>
      <c r="AL66" s="73">
        <f t="shared" si="104"/>
        <v>8.111648696788295</v>
      </c>
      <c r="AM66" s="73">
        <f t="shared" si="105"/>
        <v>8.140168813064532</v>
      </c>
      <c r="AN66" s="73">
        <f t="shared" si="106"/>
        <v>0.4634891669557426</v>
      </c>
      <c r="AO66" s="73">
        <f t="shared" si="120"/>
        <v>0.4016293092058234</v>
      </c>
      <c r="AP66" s="73">
        <f t="shared" si="107"/>
        <v>1.1540222696203126</v>
      </c>
      <c r="AQ66" s="72"/>
      <c r="AR66" s="73">
        <f>((U66+V66)*4+(W66+X66+Y66)*3+(Z66+AA66+AB66)*2)</f>
        <v>55.85983118693546</v>
      </c>
      <c r="AS66" s="73">
        <f>AR66/(U66+V66+W66+X66+Y66+Z66+AA66+AB66)</f>
        <v>3.466137617358102</v>
      </c>
      <c r="AT66" s="73">
        <f t="shared" si="108"/>
        <v>55.458201877729635</v>
      </c>
      <c r="AU66" s="75">
        <f t="shared" si="109"/>
        <v>0.4016293092058234</v>
      </c>
      <c r="AV66" s="75"/>
      <c r="AW66" s="73" t="s">
        <v>111</v>
      </c>
      <c r="AX66" s="73"/>
      <c r="AY66" s="73">
        <f>(U66+V66)-AC66*2-AD66*2-AE66*2-AF66-AG66-(Z66+AA66+AB66)</f>
        <v>-0.6279545013458713</v>
      </c>
      <c r="AZ66" s="74">
        <f t="shared" si="110"/>
        <v>-3.9247156334116955</v>
      </c>
      <c r="BA66" s="73">
        <f t="shared" si="121"/>
        <v>0.20744806215227607</v>
      </c>
      <c r="BB66" s="74">
        <f t="shared" si="122"/>
        <v>2.1726088648063944</v>
      </c>
      <c r="BC66" s="70"/>
      <c r="BD66" s="74">
        <f t="shared" si="123"/>
        <v>11.676120935140114</v>
      </c>
      <c r="BE66" s="74">
        <f t="shared" si="124"/>
        <v>11.676120935140114</v>
      </c>
      <c r="BF66" s="74">
        <f t="shared" si="125"/>
        <v>0</v>
      </c>
      <c r="BG66" s="74">
        <f t="shared" si="126"/>
        <v>89.3629863212606</v>
      </c>
      <c r="BH66" s="74">
        <f t="shared" si="127"/>
        <v>71.4083590288434</v>
      </c>
      <c r="BI66" s="74">
        <f t="shared" si="128"/>
        <v>0.7130029069059254</v>
      </c>
      <c r="BJ66" s="74">
        <f t="shared" si="129"/>
        <v>17.95462729241719</v>
      </c>
      <c r="BK66" s="74"/>
      <c r="BL66" s="72" t="str">
        <f t="shared" si="130"/>
        <v>All Fe2+</v>
      </c>
      <c r="BM66" s="72"/>
      <c r="BN66" s="74">
        <f t="shared" si="131"/>
        <v>-1.7521101633066467</v>
      </c>
      <c r="BO66" s="74">
        <f t="shared" si="132"/>
        <v>-3.9247156334116955</v>
      </c>
      <c r="BP66" s="74">
        <f t="shared" si="133"/>
        <v>-3.2005138100434047</v>
      </c>
      <c r="BQ66" s="74">
        <f t="shared" si="134"/>
        <v>-1.752110163306643</v>
      </c>
      <c r="BR66" s="74">
        <f>((U66+V66)-(W66+X66+Y66)-((Z66+AA66+AB66)*3))*100/16</f>
        <v>-6.821522926885096</v>
      </c>
      <c r="BS66" s="73"/>
      <c r="BT66" s="74">
        <f t="shared" si="111"/>
        <v>0.5214253128252118</v>
      </c>
      <c r="BU66" s="74">
        <f t="shared" si="112"/>
        <v>-1.239993646292667</v>
      </c>
      <c r="BV66" s="74"/>
      <c r="BW66" s="74">
        <f t="shared" si="135"/>
        <v>11.759969862108205</v>
      </c>
      <c r="BX66" s="74">
        <f t="shared" si="136"/>
        <v>90.00472260982126</v>
      </c>
      <c r="BY66" s="74">
        <f t="shared" si="137"/>
        <v>-1.7646924719294539</v>
      </c>
      <c r="BZ66" s="73"/>
      <c r="CA66" s="74">
        <f t="shared" si="138"/>
        <v>11.676120935140114</v>
      </c>
      <c r="CB66" s="74">
        <f t="shared" si="139"/>
        <v>89.3629863212606</v>
      </c>
      <c r="CC66" s="74">
        <f t="shared" si="140"/>
        <v>0.7130029069059254</v>
      </c>
      <c r="CD66" s="74">
        <f t="shared" si="141"/>
        <v>-1.752110163306643</v>
      </c>
      <c r="CE66" s="74">
        <f>((U66+V66)-(W66+X66+Y66)-((Z66+AA66+AB66)*3))*100/16</f>
        <v>-6.821522926885096</v>
      </c>
      <c r="CF66" s="74"/>
      <c r="CG66" s="74">
        <f t="shared" si="113"/>
        <v>11.759969862108205</v>
      </c>
      <c r="CH66" s="74">
        <f t="shared" si="114"/>
        <v>90.00472260982124</v>
      </c>
      <c r="CI66" s="74">
        <f t="shared" si="115"/>
        <v>-1.7646924719294497</v>
      </c>
      <c r="CJ66" s="72"/>
      <c r="CK66" s="74">
        <f t="shared" si="116"/>
        <v>12.392719488863316</v>
      </c>
      <c r="CL66" s="74">
        <f t="shared" si="117"/>
        <v>94.84746075501512</v>
      </c>
      <c r="CM66" s="74">
        <f t="shared" si="118"/>
        <v>-7.240180243878435</v>
      </c>
      <c r="CN66" s="74"/>
      <c r="CO66" s="76">
        <f t="shared" si="144"/>
        <v>11.556041271732875</v>
      </c>
      <c r="CP66" s="76">
        <f t="shared" si="61"/>
        <v>88.44395872826712</v>
      </c>
      <c r="CQ66" s="32"/>
      <c r="CR66" s="36" t="str">
        <f t="shared" si="142"/>
        <v>All Fe2+</v>
      </c>
    </row>
    <row r="67" spans="1:96" s="1" customFormat="1" ht="12.75" customHeight="1">
      <c r="A67" s="25" t="s">
        <v>112</v>
      </c>
      <c r="B67" s="25"/>
      <c r="C67" s="17"/>
      <c r="D67" s="17">
        <v>38.2369</v>
      </c>
      <c r="E67" s="17">
        <v>0.0517</v>
      </c>
      <c r="F67" s="17">
        <v>28.2815</v>
      </c>
      <c r="G67" s="17">
        <v>3.7177838170202113</v>
      </c>
      <c r="H67" s="17"/>
      <c r="I67" s="88"/>
      <c r="J67" s="17"/>
      <c r="K67" s="17">
        <v>0.3637</v>
      </c>
      <c r="L67" s="17">
        <v>0.0266</v>
      </c>
      <c r="M67" s="17">
        <v>0.0914</v>
      </c>
      <c r="N67" s="17">
        <v>0.1305</v>
      </c>
      <c r="O67" s="17">
        <v>2.2405</v>
      </c>
      <c r="P67" s="17">
        <v>26.0608</v>
      </c>
      <c r="Q67" s="17">
        <f>SUM(D67:P67)</f>
        <v>99.20138381702019</v>
      </c>
      <c r="R67" s="77"/>
      <c r="S67" s="78">
        <f t="shared" si="87"/>
        <v>12.799559489625423</v>
      </c>
      <c r="T67" s="77"/>
      <c r="U67" s="78">
        <f t="shared" si="88"/>
        <v>8.145480204460373</v>
      </c>
      <c r="V67" s="78">
        <f t="shared" si="89"/>
        <v>0.00828426598313488</v>
      </c>
      <c r="W67" s="78">
        <f t="shared" si="90"/>
        <v>7.100551713362647</v>
      </c>
      <c r="X67" s="78">
        <f t="shared" si="91"/>
        <v>0.5959714392502184</v>
      </c>
      <c r="Y67" s="78">
        <f t="shared" si="92"/>
        <v>0</v>
      </c>
      <c r="Z67" s="78">
        <f t="shared" si="93"/>
        <v>0</v>
      </c>
      <c r="AA67" s="78">
        <f t="shared" si="94"/>
        <v>0.11549931240235124</v>
      </c>
      <c r="AB67" s="78">
        <f t="shared" si="95"/>
        <v>0</v>
      </c>
      <c r="AC67" s="78">
        <f t="shared" si="96"/>
        <v>0.006071399216512111</v>
      </c>
      <c r="AD67" s="78">
        <f t="shared" si="97"/>
        <v>0.011290095901869943</v>
      </c>
      <c r="AE67" s="78">
        <f t="shared" si="98"/>
        <v>0.010893064519343406</v>
      </c>
      <c r="AF67" s="78">
        <f t="shared" si="99"/>
        <v>0.9253921747130803</v>
      </c>
      <c r="AG67" s="78">
        <f t="shared" si="100"/>
        <v>7.082472741594145</v>
      </c>
      <c r="AH67" s="78"/>
      <c r="AI67" s="78">
        <f>(U67+V67)/(W67+X67+Y67)</f>
        <v>1.0594088147029632</v>
      </c>
      <c r="AJ67" s="78">
        <f t="shared" si="102"/>
        <v>24.001906411403677</v>
      </c>
      <c r="AK67" s="78">
        <f>SUM(U67:Y67)</f>
        <v>15.850287623056374</v>
      </c>
      <c r="AL67" s="78">
        <f t="shared" si="104"/>
        <v>8.03611947594495</v>
      </c>
      <c r="AM67" s="78">
        <f t="shared" si="105"/>
        <v>8.064374035582677</v>
      </c>
      <c r="AN67" s="78">
        <f>(W67+X67+Y67)-AM67</f>
        <v>-0.3678508829698117</v>
      </c>
      <c r="AO67" s="78">
        <f t="shared" si="120"/>
        <v>-0.5261527338873719</v>
      </c>
      <c r="AP67" s="78">
        <f t="shared" si="107"/>
        <v>0.6991332730555644</v>
      </c>
      <c r="AQ67" s="77"/>
      <c r="AR67" s="78">
        <f>((U67+V67)*4+(W67+X67+Y67)*3)</f>
        <v>55.70462733961263</v>
      </c>
      <c r="AS67" s="78">
        <f>AR67/(U67+V67+W67+X67+Y67)</f>
        <v>3.51442375459375</v>
      </c>
      <c r="AT67" s="78">
        <f t="shared" si="108"/>
        <v>56.2307800735</v>
      </c>
      <c r="AU67" s="80">
        <f t="shared" si="109"/>
        <v>-0.5261527338873719</v>
      </c>
      <c r="AV67" s="80"/>
      <c r="AW67" s="78" t="s">
        <v>112</v>
      </c>
      <c r="AX67" s="78"/>
      <c r="AY67" s="78">
        <f>(U67+V67)-AC67*2-AD67*2-AE67*2-AF67-AG67</f>
        <v>0.08939043486083342</v>
      </c>
      <c r="AZ67" s="79">
        <f t="shared" si="110"/>
        <v>0.5586902178802089</v>
      </c>
      <c r="BA67" s="78">
        <f t="shared" si="121"/>
        <v>-0.28251254160886385</v>
      </c>
      <c r="BB67" s="79">
        <f t="shared" si="122"/>
        <v>-1.7243037081455364</v>
      </c>
      <c r="BC67" s="70"/>
      <c r="BD67" s="79">
        <f t="shared" si="123"/>
        <v>11.567402183913503</v>
      </c>
      <c r="BE67" s="79">
        <f t="shared" si="124"/>
        <v>4.1177591932857736</v>
      </c>
      <c r="BF67" s="79">
        <f t="shared" si="125"/>
        <v>7.449642990627731</v>
      </c>
      <c r="BG67" s="79">
        <f t="shared" si="126"/>
        <v>88.53090926992682</v>
      </c>
      <c r="BH67" s="79">
        <f t="shared" si="127"/>
        <v>85.64342645986802</v>
      </c>
      <c r="BI67" s="79">
        <f t="shared" si="128"/>
        <v>0.7063639909431365</v>
      </c>
      <c r="BJ67" s="79">
        <f t="shared" si="129"/>
        <v>2.8874828100587813</v>
      </c>
      <c r="BK67" s="79"/>
      <c r="BL67" s="77" t="str">
        <f t="shared" si="130"/>
        <v>Old</v>
      </c>
      <c r="BM67" s="77"/>
      <c r="BN67" s="79">
        <f t="shared" si="131"/>
        <v>-0.8046754447834602</v>
      </c>
      <c r="BO67" s="79">
        <f t="shared" si="132"/>
        <v>0.5586902178802089</v>
      </c>
      <c r="BP67" s="79">
        <f t="shared" si="133"/>
        <v>-0.37701213801753464</v>
      </c>
      <c r="BQ67" s="79">
        <f t="shared" si="134"/>
        <v>-0.8046754447834528</v>
      </c>
      <c r="BR67" s="79">
        <f>((U67+V67)-(W67+X67+Y67))*100/16</f>
        <v>2.857758236441521</v>
      </c>
      <c r="BS67" s="78"/>
      <c r="BT67" s="79">
        <f t="shared" si="111"/>
        <v>-0.32720775903928057</v>
      </c>
      <c r="BU67" s="79">
        <f t="shared" si="112"/>
        <v>1.6943050412462302</v>
      </c>
      <c r="BV67" s="79"/>
      <c r="BW67" s="79">
        <f t="shared" si="135"/>
        <v>11.649691409083262</v>
      </c>
      <c r="BX67" s="79">
        <f t="shared" si="136"/>
        <v>89.1607084081921</v>
      </c>
      <c r="BY67" s="79">
        <f t="shared" si="137"/>
        <v>-0.8103998172753623</v>
      </c>
      <c r="BZ67" s="78"/>
      <c r="CA67" s="79">
        <f t="shared" si="138"/>
        <v>11.567402183913504</v>
      </c>
      <c r="CB67" s="79">
        <f t="shared" si="139"/>
        <v>88.53090926992681</v>
      </c>
      <c r="CC67" s="79">
        <f t="shared" si="140"/>
        <v>0.7063639909431365</v>
      </c>
      <c r="CD67" s="79">
        <f t="shared" si="141"/>
        <v>-0.8046754447834528</v>
      </c>
      <c r="CE67" s="79">
        <f>((U67+V67)-(W67+X67+Y67))*100/16</f>
        <v>2.857758236441521</v>
      </c>
      <c r="CF67" s="79"/>
      <c r="CG67" s="79">
        <f t="shared" si="113"/>
        <v>11.649691409083266</v>
      </c>
      <c r="CH67" s="79">
        <f t="shared" si="114"/>
        <v>89.16070840819211</v>
      </c>
      <c r="CI67" s="79">
        <f t="shared" si="115"/>
        <v>-0.8103998172753549</v>
      </c>
      <c r="CJ67" s="77"/>
      <c r="CK67" s="79">
        <f t="shared" si="116"/>
        <v>11.235279492225379</v>
      </c>
      <c r="CL67" s="79">
        <f t="shared" si="117"/>
        <v>85.98901408751365</v>
      </c>
      <c r="CM67" s="79">
        <f t="shared" si="118"/>
        <v>2.7757064202609794</v>
      </c>
      <c r="CN67" s="79"/>
      <c r="CO67" s="81">
        <f t="shared" si="144"/>
        <v>11.556041271732878</v>
      </c>
      <c r="CP67" s="81">
        <f t="shared" si="61"/>
        <v>88.44395872826712</v>
      </c>
      <c r="CQ67" s="32"/>
      <c r="CR67" s="36" t="str">
        <f t="shared" si="142"/>
        <v>Old</v>
      </c>
    </row>
    <row r="68" spans="35:74" s="5" customFormat="1" ht="12.75" customHeight="1">
      <c r="AI68" s="6"/>
      <c r="AP68" s="6"/>
      <c r="BN68" s="7"/>
      <c r="BR68" s="6"/>
      <c r="BS68" s="6"/>
      <c r="BT68" s="6"/>
      <c r="BU68" s="6"/>
      <c r="BV68" s="6"/>
    </row>
  </sheetData>
  <sheetProtection password="C65E" sheet="1"/>
  <printOptions/>
  <pageMargins left="0.75" right="0.75" top="1" bottom="1" header="0.5" footer="0.5"/>
  <pageSetup horizontalDpi="600" verticalDpi="600" orientation="portrait" paperSize="9" r:id="rId3"/>
  <ignoredErrors>
    <ignoredError sqref="AY15:AY16 BL6:BL12 C6:C11 BR6:BT12 BN17:BQ17 G7:G12 CR6:CR67 AR15:AU16 BN18:BQ67 BN15:BR16 BL44:BL67 BL15:BL41 D6:F12 H6:Q12 Q15:Q66" unlockedFormula="1"/>
    <ignoredError sqref="AP6:AP11 BV6:BY8 BV9:BX12 CO9:CP10" evalError="1"/>
    <ignoredError sqref="AI17:AP41 AI46:AP67 CE17:CE67" formula="1"/>
    <ignoredError sqref="BR18:BR67 BR17 AR17:AU67 AY17:AY67 BU6:BU12 BY9:BY12" formula="1" unlockedFormula="1"/>
    <ignoredError sqref="BU6:BU12 BY9:BY12" evalError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CMBH</dc:creator>
  <cp:keywords/>
  <dc:description/>
  <cp:lastModifiedBy>mbesscmh</cp:lastModifiedBy>
  <dcterms:created xsi:type="dcterms:W3CDTF">2020-07-10T09:58:03Z</dcterms:created>
  <dcterms:modified xsi:type="dcterms:W3CDTF">2022-03-05T12:05:39Z</dcterms:modified>
  <cp:category/>
  <cp:version/>
  <cp:contentType/>
  <cp:contentStatus/>
</cp:coreProperties>
</file>