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120" yWindow="7305" windowWidth="19440" windowHeight="1860" tabRatio="845" firstSheet="1" activeTab="1"/>
  </bookViews>
  <sheets>
    <sheet name="Sheet1" sheetId="21" r:id="rId1"/>
    <sheet name="Table of contents" sheetId="17" r:id="rId2"/>
    <sheet name="Main Feed Needs &amp; Partitioning" sheetId="13" r:id="rId3"/>
    <sheet name="Main Uncertainty" sheetId="2" r:id="rId4"/>
    <sheet name="inventory 2" sheetId="20" r:id="rId5"/>
    <sheet name="SlaughterHeadCount" sheetId="14" r:id="rId6"/>
    <sheet name="SlaughterWeights" sheetId="15" r:id="rId7"/>
    <sheet name=" Cattle Inventory" sheetId="18" r:id="rId8"/>
    <sheet name="Goats" sheetId="16" r:id="rId9"/>
    <sheet name="Feed Total" sheetId="6" r:id="rId10"/>
    <sheet name="Grains" sheetId="4" r:id="rId11"/>
    <sheet name="soy" sheetId="8" r:id="rId12"/>
    <sheet name="wheat" sheetId="7" r:id="rId13"/>
    <sheet name="Byproducts" sheetId="3" r:id="rId14"/>
    <sheet name="ProcessedRoughage" sheetId="5" r:id="rId15"/>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Y21" i="2" l="1"/>
  <c r="Y19" i="2"/>
  <c r="Y20" i="2"/>
  <c r="Y18" i="2"/>
  <c r="U16" i="2" l="1"/>
  <c r="W16" i="2"/>
  <c r="Y16" i="2"/>
  <c r="Y17" i="2"/>
  <c r="P21" i="13" l="1"/>
  <c r="K20" i="2" l="1"/>
  <c r="K24" i="2" l="1"/>
  <c r="H20" i="7" l="1"/>
  <c r="G9" i="2" l="1"/>
  <c r="D19" i="13"/>
  <c r="G21" i="2"/>
  <c r="G15" i="13"/>
  <c r="E15" i="13"/>
  <c r="B47" i="2"/>
  <c r="E45" i="2"/>
  <c r="K44" i="2"/>
  <c r="F11" i="2"/>
  <c r="H11" i="2"/>
  <c r="B46" i="2"/>
  <c r="F15" i="2"/>
  <c r="H15" i="2"/>
  <c r="F16" i="2"/>
  <c r="H16" i="2"/>
  <c r="G13" i="2"/>
  <c r="F13" i="2"/>
  <c r="H13" i="2"/>
  <c r="F12" i="2"/>
  <c r="H12" i="2"/>
  <c r="F17" i="2"/>
  <c r="H17" i="2"/>
  <c r="K45" i="2"/>
  <c r="L47" i="2"/>
  <c r="E44" i="2"/>
  <c r="E47" i="2"/>
  <c r="I47" i="2"/>
  <c r="I45" i="2"/>
  <c r="I132" i="14"/>
  <c r="I133" i="14"/>
  <c r="I134" i="14"/>
  <c r="I135" i="14"/>
  <c r="I136" i="14"/>
  <c r="I137" i="14"/>
  <c r="I138" i="14"/>
  <c r="I139" i="14"/>
  <c r="I140" i="14"/>
  <c r="I141" i="14"/>
  <c r="I142" i="14"/>
  <c r="C6" i="13"/>
  <c r="D6" i="13"/>
  <c r="H6" i="13"/>
  <c r="I6" i="13"/>
  <c r="D8" i="13"/>
  <c r="P132" i="14"/>
  <c r="P133" i="14"/>
  <c r="P134" i="14"/>
  <c r="P135" i="14"/>
  <c r="P136" i="14"/>
  <c r="P137" i="14"/>
  <c r="P138" i="14"/>
  <c r="P139" i="14"/>
  <c r="P140" i="14"/>
  <c r="P141" i="14"/>
  <c r="P142" i="14"/>
  <c r="C8" i="13"/>
  <c r="H8" i="13"/>
  <c r="Q132" i="14"/>
  <c r="Q133" i="14"/>
  <c r="Q134" i="14"/>
  <c r="Q135" i="14"/>
  <c r="Q136" i="14"/>
  <c r="Q137" i="14"/>
  <c r="Q138" i="14"/>
  <c r="Q139" i="14"/>
  <c r="Q140" i="14"/>
  <c r="Q141" i="14"/>
  <c r="Q142" i="14"/>
  <c r="C9" i="13"/>
  <c r="H9" i="13"/>
  <c r="D10" i="13"/>
  <c r="R132" i="14"/>
  <c r="R133" i="14"/>
  <c r="R134" i="14"/>
  <c r="R135" i="14"/>
  <c r="R136" i="14"/>
  <c r="R137" i="14"/>
  <c r="R138" i="14"/>
  <c r="R139" i="14"/>
  <c r="R140" i="14"/>
  <c r="R141" i="14"/>
  <c r="R142" i="14"/>
  <c r="C10" i="13"/>
  <c r="H10" i="13"/>
  <c r="C12" i="20"/>
  <c r="D12" i="20"/>
  <c r="E12" i="20"/>
  <c r="F12" i="20"/>
  <c r="G12" i="20"/>
  <c r="H12" i="20"/>
  <c r="I12" i="20"/>
  <c r="J12" i="20"/>
  <c r="K12" i="20"/>
  <c r="L12" i="20"/>
  <c r="M12" i="20"/>
  <c r="B11" i="13"/>
  <c r="G11" i="13"/>
  <c r="H11" i="13"/>
  <c r="I7" i="13"/>
  <c r="C13" i="20"/>
  <c r="D13" i="20"/>
  <c r="E13" i="20"/>
  <c r="F13" i="20"/>
  <c r="G13" i="20"/>
  <c r="H13" i="20"/>
  <c r="I13" i="20"/>
  <c r="J13" i="20"/>
  <c r="K13" i="20"/>
  <c r="L13" i="20"/>
  <c r="M13" i="20"/>
  <c r="B12" i="13"/>
  <c r="G12" i="13"/>
  <c r="H12" i="13"/>
  <c r="I12" i="13"/>
  <c r="M15" i="20"/>
  <c r="B14" i="13"/>
  <c r="E14" i="13"/>
  <c r="G14" i="13"/>
  <c r="H14" i="13"/>
  <c r="M16" i="20"/>
  <c r="B15" i="13"/>
  <c r="H15" i="13"/>
  <c r="B16" i="13"/>
  <c r="E16" i="13"/>
  <c r="G16" i="13"/>
  <c r="H16" i="13"/>
  <c r="I13" i="13"/>
  <c r="M19" i="20"/>
  <c r="B18" i="13"/>
  <c r="G18" i="13"/>
  <c r="H18" i="13"/>
  <c r="C20" i="20"/>
  <c r="D20" i="20"/>
  <c r="E20" i="20"/>
  <c r="F20" i="20"/>
  <c r="G20" i="20"/>
  <c r="H20" i="20"/>
  <c r="I20" i="20"/>
  <c r="J20" i="20"/>
  <c r="K20" i="20"/>
  <c r="L20" i="20"/>
  <c r="M20" i="20"/>
  <c r="B19" i="13"/>
  <c r="H19" i="13"/>
  <c r="I17" i="13"/>
  <c r="I21" i="13"/>
  <c r="G24" i="13"/>
  <c r="M25" i="20"/>
  <c r="B24" i="13"/>
  <c r="H24" i="13"/>
  <c r="G26" i="13"/>
  <c r="L49" i="16"/>
  <c r="L48" i="16"/>
  <c r="B26" i="13"/>
  <c r="H26" i="13"/>
  <c r="L4" i="16"/>
  <c r="M4" i="16"/>
  <c r="L5" i="16"/>
  <c r="M5" i="16"/>
  <c r="L6" i="16"/>
  <c r="M6" i="16"/>
  <c r="L7" i="16"/>
  <c r="M7" i="16"/>
  <c r="L8" i="16"/>
  <c r="M8" i="16"/>
  <c r="L9" i="16"/>
  <c r="M9" i="16"/>
  <c r="M10" i="16"/>
  <c r="C27" i="13"/>
  <c r="M14" i="16"/>
  <c r="D27" i="13"/>
  <c r="E27" i="13"/>
  <c r="F27" i="13"/>
  <c r="H27" i="13"/>
  <c r="E29" i="13"/>
  <c r="F29" i="13"/>
  <c r="M132" i="14"/>
  <c r="M133" i="14"/>
  <c r="M134" i="14"/>
  <c r="M135" i="14"/>
  <c r="M136" i="14"/>
  <c r="M137" i="14"/>
  <c r="M138" i="14"/>
  <c r="M139" i="14"/>
  <c r="M140" i="14"/>
  <c r="M141" i="14"/>
  <c r="M142" i="14"/>
  <c r="C29" i="13"/>
  <c r="H29" i="13"/>
  <c r="M31" i="20"/>
  <c r="B30" i="13"/>
  <c r="G30" i="13"/>
  <c r="H30" i="13"/>
  <c r="I31" i="13"/>
  <c r="I33" i="13"/>
  <c r="P7" i="4"/>
  <c r="Q7" i="4"/>
  <c r="P8" i="4"/>
  <c r="Q8" i="4"/>
  <c r="P9" i="4"/>
  <c r="Q9" i="4"/>
  <c r="P10" i="4"/>
  <c r="Q10" i="4"/>
  <c r="P11" i="4"/>
  <c r="Q11" i="4"/>
  <c r="P12" i="4"/>
  <c r="Q12" i="4"/>
  <c r="P13" i="4"/>
  <c r="Q13" i="4"/>
  <c r="P14" i="4"/>
  <c r="Q14" i="4"/>
  <c r="P15" i="4"/>
  <c r="Q15" i="4"/>
  <c r="P16" i="4"/>
  <c r="Q16" i="4"/>
  <c r="P17" i="4"/>
  <c r="Q17" i="4"/>
  <c r="Q19" i="4"/>
  <c r="H21" i="7"/>
  <c r="H24" i="7"/>
  <c r="G25" i="8"/>
  <c r="G26" i="8"/>
  <c r="G29" i="8"/>
  <c r="B4" i="6"/>
  <c r="D7" i="3"/>
  <c r="D8" i="3"/>
  <c r="D9" i="3"/>
  <c r="D10" i="3"/>
  <c r="D11" i="3"/>
  <c r="D12" i="3"/>
  <c r="D13" i="3"/>
  <c r="D14" i="3"/>
  <c r="D15" i="3"/>
  <c r="D20" i="3"/>
  <c r="D25" i="3"/>
  <c r="D30" i="3"/>
  <c r="D35" i="3"/>
  <c r="D40" i="3"/>
  <c r="D47" i="3"/>
  <c r="C4" i="6"/>
  <c r="L33" i="13"/>
  <c r="E32" i="5"/>
  <c r="E34" i="5"/>
  <c r="E35" i="5"/>
  <c r="F32" i="5"/>
  <c r="F34" i="5"/>
  <c r="F35" i="5"/>
  <c r="G32" i="5"/>
  <c r="G34" i="5"/>
  <c r="G35" i="5"/>
  <c r="H32" i="5"/>
  <c r="H34" i="5"/>
  <c r="H35" i="5"/>
  <c r="I35" i="5"/>
  <c r="L33" i="5"/>
  <c r="E4" i="6"/>
  <c r="N33" i="13"/>
  <c r="P33" i="13"/>
  <c r="I24" i="13"/>
  <c r="N24" i="13"/>
  <c r="O25" i="13"/>
  <c r="I25" i="13"/>
  <c r="N25" i="13"/>
  <c r="I28" i="13"/>
  <c r="N28" i="13"/>
  <c r="N31" i="13"/>
  <c r="P24" i="13"/>
  <c r="P25" i="13"/>
  <c r="P28" i="13"/>
  <c r="P31" i="13"/>
  <c r="F8" i="2"/>
  <c r="I8" i="2"/>
  <c r="F9" i="2"/>
  <c r="I9" i="2"/>
  <c r="I7" i="2"/>
  <c r="I17" i="2"/>
  <c r="I11" i="2"/>
  <c r="I12" i="2"/>
  <c r="I13" i="2"/>
  <c r="I15" i="2"/>
  <c r="I10" i="2"/>
  <c r="I16" i="2"/>
  <c r="G19" i="2"/>
  <c r="F19" i="2"/>
  <c r="I19" i="2"/>
  <c r="F20" i="2"/>
  <c r="I20" i="2"/>
  <c r="K23" i="2" s="1"/>
  <c r="F21" i="2"/>
  <c r="I21" i="2"/>
  <c r="F33" i="2"/>
  <c r="I33" i="2"/>
  <c r="F35" i="2"/>
  <c r="I35" i="2"/>
  <c r="G36" i="2"/>
  <c r="F36" i="2"/>
  <c r="I36" i="2"/>
  <c r="I34" i="2"/>
  <c r="G38" i="2"/>
  <c r="F38" i="2"/>
  <c r="I38" i="2"/>
  <c r="F39" i="2"/>
  <c r="I39" i="2"/>
  <c r="I37" i="2"/>
  <c r="Q11" i="2"/>
  <c r="O18" i="2"/>
  <c r="P11" i="2"/>
  <c r="P18" i="2"/>
  <c r="L83" i="18"/>
  <c r="L40" i="18"/>
  <c r="M40" i="18"/>
  <c r="D84" i="18"/>
  <c r="M83" i="18"/>
  <c r="L82" i="18"/>
  <c r="M82" i="18"/>
  <c r="L81" i="18"/>
  <c r="M81" i="18"/>
  <c r="L80" i="18"/>
  <c r="M80" i="18"/>
  <c r="L79" i="18"/>
  <c r="M79" i="18"/>
  <c r="L78" i="18"/>
  <c r="M78" i="18"/>
  <c r="M44" i="18"/>
  <c r="D46" i="18"/>
  <c r="L44" i="18"/>
  <c r="J44" i="18"/>
  <c r="I44" i="18"/>
  <c r="H44" i="18"/>
  <c r="G44" i="18"/>
  <c r="F44" i="18"/>
  <c r="E44" i="18"/>
  <c r="D44" i="18"/>
  <c r="C44" i="18"/>
  <c r="B44" i="18"/>
  <c r="J43" i="18"/>
  <c r="J45" i="18"/>
  <c r="I43" i="18"/>
  <c r="I45" i="18"/>
  <c r="H43" i="18"/>
  <c r="H45" i="18"/>
  <c r="G43" i="18"/>
  <c r="G45" i="18"/>
  <c r="F43" i="18"/>
  <c r="F45" i="18"/>
  <c r="E43" i="18"/>
  <c r="E45" i="18"/>
  <c r="D43" i="18"/>
  <c r="D45" i="18"/>
  <c r="C43" i="18"/>
  <c r="C45" i="18"/>
  <c r="B43" i="18"/>
  <c r="B45" i="18"/>
  <c r="L39" i="18"/>
  <c r="M39" i="18"/>
  <c r="L38" i="18"/>
  <c r="M38" i="18"/>
  <c r="L37" i="18"/>
  <c r="M37" i="18"/>
  <c r="L36" i="18"/>
  <c r="M36" i="18"/>
  <c r="L35" i="18"/>
  <c r="L43" i="18"/>
  <c r="L45" i="18"/>
  <c r="M35" i="18"/>
  <c r="M43" i="18"/>
  <c r="M45" i="18"/>
  <c r="D50" i="3"/>
  <c r="C42" i="3"/>
  <c r="D48" i="3"/>
  <c r="D49" i="3"/>
  <c r="C5" i="6"/>
  <c r="C6" i="6"/>
  <c r="C7" i="6"/>
  <c r="Q18" i="4"/>
  <c r="H22" i="7"/>
  <c r="H23" i="7"/>
  <c r="G27" i="8"/>
  <c r="G28" i="8"/>
  <c r="B5" i="6"/>
  <c r="D5" i="6"/>
  <c r="D4" i="6"/>
  <c r="E36" i="5"/>
  <c r="F36" i="5"/>
  <c r="G36" i="5"/>
  <c r="H36" i="5"/>
  <c r="I36" i="5"/>
  <c r="E5" i="6"/>
  <c r="I38" i="5"/>
  <c r="L35" i="5"/>
  <c r="E7" i="6"/>
  <c r="Q21" i="4"/>
  <c r="H26" i="7"/>
  <c r="G31" i="8"/>
  <c r="B7" i="6"/>
  <c r="F7" i="6"/>
  <c r="I37" i="5"/>
  <c r="L34" i="5"/>
  <c r="E6" i="6"/>
  <c r="Q20" i="4"/>
  <c r="H25" i="7"/>
  <c r="G30" i="8"/>
  <c r="B6" i="6"/>
  <c r="F6" i="6"/>
  <c r="F4" i="6"/>
  <c r="F5" i="6"/>
  <c r="M47" i="16"/>
  <c r="L47" i="16"/>
  <c r="N47" i="16"/>
  <c r="M48" i="16"/>
  <c r="N48" i="16"/>
  <c r="M49" i="16"/>
  <c r="N49" i="16"/>
  <c r="M46" i="16"/>
  <c r="L46" i="16"/>
  <c r="N46" i="16"/>
  <c r="L52" i="16"/>
  <c r="N50" i="16"/>
  <c r="M15" i="16"/>
  <c r="M11" i="16"/>
  <c r="M12" i="16"/>
  <c r="A74" i="4"/>
  <c r="A4" i="4"/>
  <c r="M17" i="20"/>
  <c r="N12" i="20"/>
  <c r="N13" i="20"/>
  <c r="N31" i="20"/>
  <c r="N19" i="20"/>
  <c r="N21" i="20"/>
  <c r="M21" i="20"/>
  <c r="N20" i="20"/>
  <c r="N16" i="20"/>
  <c r="N15" i="20"/>
  <c r="B13" i="13"/>
  <c r="J1" i="13"/>
  <c r="O28" i="13"/>
  <c r="C25" i="13"/>
  <c r="L24" i="13"/>
  <c r="L12" i="13"/>
  <c r="M12" i="13"/>
  <c r="B17" i="13"/>
  <c r="L25" i="13"/>
  <c r="L13" i="13"/>
  <c r="P13" i="13"/>
  <c r="N13" i="13"/>
  <c r="O13" i="13"/>
  <c r="Q13" i="13"/>
  <c r="M13" i="13"/>
  <c r="C28" i="13"/>
  <c r="L6" i="13"/>
  <c r="M6" i="13"/>
  <c r="L7" i="13"/>
  <c r="M7" i="13"/>
  <c r="Q31" i="13"/>
  <c r="O31" i="13"/>
  <c r="L28" i="13"/>
  <c r="L31" i="13"/>
  <c r="M31" i="13"/>
  <c r="N21" i="13"/>
  <c r="O21" i="13"/>
  <c r="L21" i="13"/>
  <c r="M21" i="13"/>
  <c r="S12" i="13"/>
  <c r="S7" i="13"/>
  <c r="Q21" i="13"/>
  <c r="S13" i="13"/>
  <c r="M17" i="13"/>
  <c r="N17" i="13"/>
  <c r="T17" i="13"/>
  <c r="O17" i="13"/>
  <c r="P17" i="13"/>
  <c r="L17" i="13" s="1"/>
  <c r="S17" i="13" s="1"/>
  <c r="S21" i="13" s="1"/>
  <c r="U17" i="13"/>
  <c r="S6" i="13"/>
  <c r="U13" i="13"/>
  <c r="U21" i="13"/>
  <c r="T13" i="13"/>
  <c r="T21" i="13"/>
  <c r="I32" i="2"/>
  <c r="J31" i="13"/>
  <c r="N6" i="2"/>
  <c r="H8" i="2"/>
  <c r="H9" i="2"/>
  <c r="H7" i="2"/>
  <c r="H19" i="2"/>
  <c r="H20" i="2"/>
  <c r="H18" i="2" s="1"/>
  <c r="H21" i="2"/>
  <c r="J19" i="2"/>
  <c r="A21" i="2"/>
  <c r="H36" i="2"/>
  <c r="H39" i="2"/>
  <c r="U37" i="2"/>
  <c r="Y26" i="2"/>
  <c r="V26" i="2"/>
  <c r="J8" i="2"/>
  <c r="J9" i="2"/>
  <c r="W37" i="2"/>
  <c r="U26" i="2"/>
  <c r="W26" i="2"/>
  <c r="K33" i="2"/>
  <c r="H33" i="2"/>
  <c r="J33" i="2"/>
  <c r="L33" i="2"/>
  <c r="H35" i="2"/>
  <c r="F7" i="2"/>
  <c r="H34" i="2"/>
  <c r="K34" i="2"/>
  <c r="L34" i="2"/>
  <c r="J34" i="2"/>
  <c r="Y14" i="2"/>
  <c r="X14" i="2"/>
  <c r="Z14" i="2"/>
  <c r="AE14" i="2"/>
  <c r="AF14" i="2"/>
  <c r="AD14" i="2"/>
  <c r="AC14" i="2"/>
  <c r="AA14" i="2"/>
  <c r="AB14" i="2"/>
  <c r="J20" i="2"/>
  <c r="Q143" i="14"/>
  <c r="P143" i="14"/>
  <c r="J87" i="15"/>
  <c r="J88" i="15"/>
  <c r="J89" i="15"/>
  <c r="J90" i="15"/>
  <c r="J91" i="15"/>
  <c r="J92" i="15"/>
  <c r="J94" i="15"/>
  <c r="X13" i="2"/>
  <c r="Z13" i="2"/>
  <c r="AB13" i="2"/>
  <c r="AA13" i="2"/>
  <c r="AC13" i="2"/>
  <c r="AD13" i="2"/>
  <c r="AE13" i="2"/>
  <c r="M143" i="14"/>
  <c r="E87" i="15"/>
  <c r="E88" i="15"/>
  <c r="E89" i="15"/>
  <c r="E90" i="15"/>
  <c r="E91" i="15"/>
  <c r="E92" i="15"/>
  <c r="E94" i="15"/>
  <c r="H38" i="2"/>
  <c r="H37" i="2"/>
  <c r="O12" i="2"/>
  <c r="R12" i="2"/>
  <c r="R11" i="2"/>
  <c r="Q12" i="2"/>
  <c r="P12" i="2"/>
  <c r="O11" i="2"/>
  <c r="K37" i="2"/>
  <c r="K32" i="2"/>
  <c r="L37" i="2"/>
  <c r="L32" i="2"/>
  <c r="J37" i="2"/>
  <c r="J32" i="2"/>
  <c r="X12" i="2"/>
  <c r="Z12" i="2"/>
  <c r="AE12" i="2"/>
  <c r="R143" i="14"/>
  <c r="K87" i="15"/>
  <c r="K88" i="15"/>
  <c r="K89" i="15"/>
  <c r="K90" i="15"/>
  <c r="K91" i="15"/>
  <c r="K92" i="15"/>
  <c r="K94" i="15"/>
  <c r="H10" i="2"/>
  <c r="Y12" i="2"/>
  <c r="AF12" i="2"/>
  <c r="AD12" i="2"/>
  <c r="AB12" i="2"/>
  <c r="AA12" i="2"/>
  <c r="AC12" i="2"/>
  <c r="I143" i="14"/>
  <c r="H87" i="15"/>
  <c r="H88" i="15"/>
  <c r="H89" i="15"/>
  <c r="H90" i="15"/>
  <c r="H91" i="15"/>
  <c r="H92" i="15"/>
  <c r="H94" i="15"/>
  <c r="Y13" i="2"/>
  <c r="AF13" i="2"/>
  <c r="O19" i="2"/>
  <c r="P19" i="2"/>
  <c r="E40" i="5"/>
  <c r="E39" i="5"/>
  <c r="I34" i="5"/>
  <c r="E38" i="5"/>
  <c r="F40" i="5"/>
  <c r="E37" i="5"/>
  <c r="K4" i="5"/>
  <c r="L4" i="5"/>
  <c r="K5" i="5"/>
  <c r="L5" i="5"/>
  <c r="K6" i="5"/>
  <c r="L6" i="5"/>
  <c r="K7" i="5"/>
  <c r="L7" i="5"/>
  <c r="K8" i="5"/>
  <c r="L8" i="5"/>
  <c r="K9" i="5"/>
  <c r="L9" i="5"/>
  <c r="K10" i="5"/>
  <c r="L10" i="5"/>
  <c r="K11" i="5"/>
  <c r="L11" i="5"/>
  <c r="K12" i="5"/>
  <c r="L12" i="5"/>
  <c r="K13" i="5"/>
  <c r="L13" i="5"/>
  <c r="K14" i="5"/>
  <c r="L14" i="5"/>
  <c r="A3" i="5"/>
  <c r="A2" i="5"/>
  <c r="H37" i="5"/>
  <c r="H38" i="5"/>
  <c r="F39" i="5"/>
  <c r="L16" i="5"/>
  <c r="L15" i="5"/>
  <c r="G38" i="5"/>
  <c r="G37" i="5"/>
  <c r="F38" i="5"/>
  <c r="F37" i="5"/>
  <c r="L17" i="5"/>
  <c r="L18" i="5"/>
  <c r="O141" i="14"/>
  <c r="N141" i="14"/>
  <c r="L141" i="14"/>
  <c r="K141" i="14"/>
  <c r="J141" i="14"/>
  <c r="H141" i="14"/>
  <c r="G141" i="14"/>
  <c r="F141" i="14"/>
  <c r="E141" i="14"/>
  <c r="D141" i="14"/>
  <c r="C141" i="14"/>
  <c r="B141" i="14"/>
  <c r="O140" i="14"/>
  <c r="N140" i="14"/>
  <c r="L140" i="14"/>
  <c r="K140" i="14"/>
  <c r="J140" i="14"/>
  <c r="H140" i="14"/>
  <c r="G140" i="14"/>
  <c r="F140" i="14"/>
  <c r="E140" i="14"/>
  <c r="D140" i="14"/>
  <c r="C140" i="14"/>
  <c r="B140" i="14"/>
  <c r="O139" i="14"/>
  <c r="N139" i="14"/>
  <c r="L139" i="14"/>
  <c r="K139" i="14"/>
  <c r="J139" i="14"/>
  <c r="H139" i="14"/>
  <c r="G139" i="14"/>
  <c r="F139" i="14"/>
  <c r="E139" i="14"/>
  <c r="D139" i="14"/>
  <c r="C139" i="14"/>
  <c r="B139" i="14"/>
  <c r="O138" i="14"/>
  <c r="N138" i="14"/>
  <c r="L138" i="14"/>
  <c r="K138" i="14"/>
  <c r="J138" i="14"/>
  <c r="H138" i="14"/>
  <c r="G138" i="14"/>
  <c r="F138" i="14"/>
  <c r="E138" i="14"/>
  <c r="D138" i="14"/>
  <c r="C138" i="14"/>
  <c r="B138" i="14"/>
  <c r="O137" i="14"/>
  <c r="N137" i="14"/>
  <c r="L137" i="14"/>
  <c r="K137" i="14"/>
  <c r="J137" i="14"/>
  <c r="H137" i="14"/>
  <c r="G137" i="14"/>
  <c r="F137" i="14"/>
  <c r="E137" i="14"/>
  <c r="D137" i="14"/>
  <c r="C137" i="14"/>
  <c r="B137" i="14"/>
  <c r="O136" i="14"/>
  <c r="N136" i="14"/>
  <c r="L136" i="14"/>
  <c r="K136" i="14"/>
  <c r="J136" i="14"/>
  <c r="H136" i="14"/>
  <c r="G136" i="14"/>
  <c r="F136" i="14"/>
  <c r="E136" i="14"/>
  <c r="D136" i="14"/>
  <c r="C136" i="14"/>
  <c r="B136" i="14"/>
  <c r="O135" i="14"/>
  <c r="N135" i="14"/>
  <c r="L135" i="14"/>
  <c r="K135" i="14"/>
  <c r="J135" i="14"/>
  <c r="H135" i="14"/>
  <c r="G135" i="14"/>
  <c r="F135" i="14"/>
  <c r="E135" i="14"/>
  <c r="D135" i="14"/>
  <c r="C135" i="14"/>
  <c r="B135" i="14"/>
  <c r="O134" i="14"/>
  <c r="O132" i="14"/>
  <c r="O133" i="14"/>
  <c r="O143" i="14"/>
  <c r="N134" i="14"/>
  <c r="L134" i="14"/>
  <c r="K134" i="14"/>
  <c r="K132" i="14"/>
  <c r="K133" i="14"/>
  <c r="K142" i="14"/>
  <c r="J134" i="14"/>
  <c r="H134" i="14"/>
  <c r="G134" i="14"/>
  <c r="G132" i="14"/>
  <c r="G133" i="14"/>
  <c r="G143" i="14"/>
  <c r="F134" i="14"/>
  <c r="E134" i="14"/>
  <c r="D134" i="14"/>
  <c r="C134" i="14"/>
  <c r="C132" i="14"/>
  <c r="C133" i="14"/>
  <c r="C142" i="14"/>
  <c r="B134" i="14"/>
  <c r="R144" i="14"/>
  <c r="N133" i="14"/>
  <c r="N132" i="14"/>
  <c r="N142" i="14"/>
  <c r="L133" i="14"/>
  <c r="J133" i="14"/>
  <c r="J132" i="14"/>
  <c r="J143" i="14"/>
  <c r="J142" i="14"/>
  <c r="J144" i="14"/>
  <c r="H133" i="14"/>
  <c r="F133" i="14"/>
  <c r="F132" i="14"/>
  <c r="F142" i="14"/>
  <c r="E132" i="14"/>
  <c r="E133" i="14"/>
  <c r="E142" i="14"/>
  <c r="H154" i="14"/>
  <c r="D133" i="14"/>
  <c r="B133" i="14"/>
  <c r="B132" i="14"/>
  <c r="B143" i="14"/>
  <c r="B142" i="14"/>
  <c r="B144" i="14"/>
  <c r="L132" i="14"/>
  <c r="L142" i="14"/>
  <c r="K143" i="14"/>
  <c r="H132" i="14"/>
  <c r="D132" i="14"/>
  <c r="D142" i="14"/>
  <c r="C143" i="14"/>
  <c r="C144" i="14"/>
  <c r="D143" i="14"/>
  <c r="D144" i="14"/>
  <c r="H143" i="14"/>
  <c r="L143" i="14"/>
  <c r="L144" i="14"/>
  <c r="Q150" i="14"/>
  <c r="I147" i="14"/>
  <c r="L152" i="14"/>
  <c r="Q148" i="14"/>
  <c r="I148" i="14"/>
  <c r="I146" i="14"/>
  <c r="R149" i="14"/>
  <c r="I144" i="14"/>
  <c r="K144" i="14"/>
  <c r="Q144" i="14"/>
  <c r="R148" i="14"/>
  <c r="Q149" i="14"/>
  <c r="N143" i="14"/>
  <c r="N144" i="14"/>
  <c r="F143" i="14"/>
  <c r="F144" i="14"/>
  <c r="O142" i="14"/>
  <c r="O144" i="14"/>
  <c r="G142" i="14"/>
  <c r="G144" i="14"/>
  <c r="R150" i="14"/>
  <c r="E143" i="14"/>
  <c r="E144" i="14"/>
  <c r="H142" i="14"/>
  <c r="M144" i="14"/>
  <c r="P144" i="14"/>
  <c r="P150" i="14"/>
  <c r="P148" i="14"/>
  <c r="P149" i="14"/>
  <c r="D146" i="14"/>
  <c r="H147" i="14"/>
  <c r="H144" i="14"/>
  <c r="E147" i="14"/>
  <c r="D147" i="14"/>
  <c r="C147" i="14"/>
  <c r="G147" i="14"/>
  <c r="D148" i="14"/>
  <c r="S92" i="15"/>
  <c r="R92" i="15"/>
  <c r="Q92" i="15"/>
  <c r="P92" i="15"/>
  <c r="O92" i="15"/>
  <c r="N92" i="15"/>
  <c r="M92" i="15"/>
  <c r="L92" i="15"/>
  <c r="I92" i="15"/>
  <c r="G92" i="15"/>
  <c r="F92" i="15"/>
  <c r="D92" i="15"/>
  <c r="C92" i="15"/>
  <c r="B92" i="15"/>
  <c r="S91" i="15"/>
  <c r="R91" i="15"/>
  <c r="Q91" i="15"/>
  <c r="P91" i="15"/>
  <c r="O91" i="15"/>
  <c r="N91" i="15"/>
  <c r="M91" i="15"/>
  <c r="L91" i="15"/>
  <c r="I91" i="15"/>
  <c r="G91" i="15"/>
  <c r="F91" i="15"/>
  <c r="D91" i="15"/>
  <c r="C91" i="15"/>
  <c r="B91" i="15"/>
  <c r="S90" i="15"/>
  <c r="R90" i="15"/>
  <c r="Q90" i="15"/>
  <c r="P90" i="15"/>
  <c r="O90" i="15"/>
  <c r="N90" i="15"/>
  <c r="M90" i="15"/>
  <c r="L90" i="15"/>
  <c r="I90" i="15"/>
  <c r="G90" i="15"/>
  <c r="F90" i="15"/>
  <c r="D90" i="15"/>
  <c r="C90" i="15"/>
  <c r="B90" i="15"/>
  <c r="S89" i="15"/>
  <c r="R89" i="15"/>
  <c r="Q89" i="15"/>
  <c r="P89" i="15"/>
  <c r="O89" i="15"/>
  <c r="N89" i="15"/>
  <c r="M89" i="15"/>
  <c r="L89" i="15"/>
  <c r="I89" i="15"/>
  <c r="G89" i="15"/>
  <c r="F89" i="15"/>
  <c r="D89" i="15"/>
  <c r="C89" i="15"/>
  <c r="B89" i="15"/>
  <c r="S88" i="15"/>
  <c r="R88" i="15"/>
  <c r="Q88" i="15"/>
  <c r="P88" i="15"/>
  <c r="O88" i="15"/>
  <c r="N88" i="15"/>
  <c r="M88" i="15"/>
  <c r="L88" i="15"/>
  <c r="I88" i="15"/>
  <c r="G88" i="15"/>
  <c r="F88" i="15"/>
  <c r="D88" i="15"/>
  <c r="C88" i="15"/>
  <c r="B88" i="15"/>
  <c r="S87" i="15"/>
  <c r="R87" i="15"/>
  <c r="Q87" i="15"/>
  <c r="Q94" i="15"/>
  <c r="P87" i="15"/>
  <c r="P94" i="15"/>
  <c r="O87" i="15"/>
  <c r="N87" i="15"/>
  <c r="M87" i="15"/>
  <c r="M94" i="15"/>
  <c r="L87" i="15"/>
  <c r="L94" i="15"/>
  <c r="I87" i="15"/>
  <c r="I94" i="15"/>
  <c r="G87" i="15"/>
  <c r="G94" i="15"/>
  <c r="F87" i="15"/>
  <c r="D87" i="15"/>
  <c r="C87" i="15"/>
  <c r="C94" i="15"/>
  <c r="B87" i="15"/>
  <c r="C93" i="15"/>
  <c r="G93" i="15"/>
  <c r="K93" i="15"/>
  <c r="Q93" i="15"/>
  <c r="H93" i="15"/>
  <c r="J93" i="15"/>
  <c r="L93" i="15"/>
  <c r="L95" i="15"/>
  <c r="P93" i="15"/>
  <c r="G95" i="15"/>
  <c r="Q95" i="15"/>
  <c r="K95" i="15"/>
  <c r="O94" i="15"/>
  <c r="O93" i="15"/>
  <c r="S94" i="15"/>
  <c r="S93" i="15"/>
  <c r="B94" i="15"/>
  <c r="B93" i="15"/>
  <c r="D94" i="15"/>
  <c r="D93" i="15"/>
  <c r="F94" i="15"/>
  <c r="F93" i="15"/>
  <c r="K99" i="15"/>
  <c r="N94" i="15"/>
  <c r="N93" i="15"/>
  <c r="N99" i="15"/>
  <c r="R94" i="15"/>
  <c r="R93" i="15"/>
  <c r="C95" i="15"/>
  <c r="M93" i="15"/>
  <c r="M99" i="15"/>
  <c r="I93" i="15"/>
  <c r="I95" i="15"/>
  <c r="E93" i="15"/>
  <c r="E95" i="15"/>
  <c r="H95" i="15"/>
  <c r="J95" i="15"/>
  <c r="P95" i="15"/>
  <c r="M95" i="15"/>
  <c r="R95" i="15"/>
  <c r="N95" i="15"/>
  <c r="F95" i="15"/>
  <c r="D95" i="15"/>
  <c r="B95" i="15"/>
  <c r="M98" i="15"/>
  <c r="M97" i="15"/>
  <c r="N98" i="15"/>
  <c r="N97" i="15"/>
  <c r="S95" i="15"/>
  <c r="O95" i="15"/>
  <c r="P99" i="15"/>
  <c r="P97" i="15"/>
  <c r="L99" i="15"/>
  <c r="Q99" i="15"/>
  <c r="O99" i="15"/>
  <c r="Q104" i="15"/>
  <c r="L97" i="15"/>
  <c r="L98" i="15"/>
  <c r="O98" i="15"/>
  <c r="O97" i="15"/>
  <c r="Q97" i="15"/>
  <c r="Q98" i="15"/>
  <c r="P98" i="15"/>
  <c r="Q106" i="15"/>
  <c r="Q105" i="15"/>
  <c r="Q17" i="13" l="1"/>
  <c r="H22" i="2"/>
  <c r="Q19" i="2" s="1"/>
  <c r="R21" i="2" s="1"/>
  <c r="I18" i="2"/>
  <c r="U11" i="2" l="1"/>
  <c r="X15" i="2"/>
  <c r="T15" i="2"/>
  <c r="I22" i="2"/>
  <c r="Q18" i="2" s="1"/>
  <c r="V15" i="2"/>
  <c r="U15" i="2"/>
  <c r="W15" i="2"/>
  <c r="Y15" i="2"/>
  <c r="V11" i="2" l="1"/>
  <c r="T11" i="2"/>
  <c r="R18" i="2"/>
  <c r="R20" i="2"/>
  <c r="Q24" i="2"/>
  <c r="W11" i="2"/>
  <c r="Y11" i="2"/>
  <c r="Z15" i="2"/>
  <c r="AC15" i="2" s="1"/>
  <c r="AB15" i="2"/>
  <c r="AD15" i="2" l="1"/>
  <c r="T16" i="2"/>
  <c r="X11" i="2"/>
  <c r="Z11" i="2"/>
  <c r="AB11" i="2" s="1"/>
  <c r="AA11" i="2"/>
  <c r="T17" i="2"/>
  <c r="AF11" i="2"/>
  <c r="AF15" i="2"/>
  <c r="V16" i="2"/>
  <c r="AC11" i="2"/>
  <c r="AE15" i="2"/>
  <c r="AA15" i="2"/>
  <c r="AD11" i="2"/>
  <c r="T19" i="2" l="1"/>
  <c r="T20" i="2"/>
  <c r="T18" i="2"/>
  <c r="T21" i="2"/>
  <c r="V19" i="2"/>
  <c r="V20" i="2"/>
  <c r="V18" i="2"/>
  <c r="V21" i="2"/>
  <c r="V17" i="2"/>
  <c r="U17" i="2"/>
  <c r="AE11" i="2"/>
  <c r="X17" i="2"/>
  <c r="X16" i="2"/>
  <c r="V35" i="2" l="1"/>
  <c r="W35" i="2"/>
  <c r="U35" i="2"/>
  <c r="T35" i="2"/>
  <c r="Z16" i="2"/>
  <c r="X18" i="2"/>
  <c r="X20" i="2"/>
  <c r="X19" i="2"/>
  <c r="X21" i="2"/>
  <c r="W17" i="2"/>
  <c r="W34" i="2"/>
  <c r="V34" i="2"/>
  <c r="U34" i="2"/>
  <c r="T34" i="2"/>
  <c r="W36" i="2"/>
  <c r="V36" i="2"/>
  <c r="W21" i="2"/>
  <c r="T36" i="2"/>
  <c r="U21" i="2"/>
  <c r="U32" i="2"/>
  <c r="W33" i="2"/>
  <c r="V33" i="2"/>
  <c r="T33" i="2"/>
  <c r="U33" i="2"/>
  <c r="T32" i="2"/>
  <c r="U36" i="2" l="1"/>
  <c r="V32" i="2"/>
  <c r="Y35" i="2"/>
  <c r="X35" i="2"/>
  <c r="X32" i="2"/>
  <c r="W32" i="2"/>
  <c r="X34" i="2"/>
  <c r="Y34" i="2"/>
  <c r="Y32" i="2"/>
  <c r="Y33" i="2" l="1"/>
  <c r="Y36" i="2"/>
  <c r="X33" i="2"/>
  <c r="X36" i="2"/>
</calcChain>
</file>

<file path=xl/comments1.xml><?xml version="1.0" encoding="utf-8"?>
<comments xmlns="http://schemas.openxmlformats.org/spreadsheetml/2006/main">
  <authors>
    <author>ronm</author>
  </authors>
  <commentList>
    <comment ref="D7" authorId="0">
      <text>
        <r>
          <rPr>
            <b/>
            <sz val="12"/>
            <color indexed="81"/>
            <rFont val="Tahoma"/>
            <family val="2"/>
          </rPr>
          <t xml:space="preserve">ronm:
There is a surprizing point here. Error estimate seems low in comparison the error estimate of beef pasture (V6) as a fraction of total beef pasture (U6). But note that as this error would also shift the sum very much as beef is the dominant consistuent, the fraction is not expected to move by much. Thus the fraction error estiamte is correct. Can be checked manually by choosing upper and lower values and performing the estimate of the resulting confidence intervals. </t>
        </r>
        <r>
          <rPr>
            <sz val="9"/>
            <color indexed="81"/>
            <rFont val="Tahoma"/>
            <family val="2"/>
          </rPr>
          <t xml:space="preserve">
</t>
        </r>
      </text>
    </comment>
    <comment ref="H7" authorId="0">
      <text>
        <r>
          <rPr>
            <b/>
            <sz val="12"/>
            <color indexed="81"/>
            <rFont val="Tahoma"/>
            <family val="2"/>
          </rPr>
          <t>ronm:Performing the error propagation on the ratio here is a bit tricky. Requires using the approximation that std(1/x)~std(x)/x^2. Hence the factor coming in of ^4. Also, had to rewrite the arguments such that each term appears only once, i.e. 1/(1+(x2+x3+x4+x5)/x1) and move from there</t>
        </r>
      </text>
    </comment>
  </commentList>
</comments>
</file>

<file path=xl/comments2.xml><?xml version="1.0" encoding="utf-8"?>
<comments xmlns="http://schemas.openxmlformats.org/spreadsheetml/2006/main">
  <authors>
    <author>tamara</author>
    <author>turingson</author>
    <author>Alon Shepon</author>
  </authors>
  <commentList>
    <comment ref="L4" authorId="0">
      <text>
        <r>
          <rPr>
            <b/>
            <sz val="9"/>
            <color indexed="81"/>
            <rFont val="Tahoma"/>
            <family val="2"/>
          </rPr>
          <t>tamara:</t>
        </r>
        <r>
          <rPr>
            <sz val="9"/>
            <color indexed="81"/>
            <rFont val="Tahoma"/>
            <family val="2"/>
          </rPr>
          <t xml:space="preserve">
grain + byproduct</t>
        </r>
      </text>
    </comment>
    <comment ref="D6" authorId="1">
      <text>
        <r>
          <rPr>
            <b/>
            <sz val="9"/>
            <color indexed="81"/>
            <rFont val="Helvetica"/>
          </rPr>
          <t xml:space="preserve">Gidon Eshel: see </t>
        </r>
        <r>
          <rPr>
            <sz val="9"/>
            <color indexed="81"/>
            <rFont val="Helvetica"/>
          </rPr>
          <t xml:space="preserve">
</t>
        </r>
        <r>
          <rPr>
            <b/>
            <sz val="9"/>
            <color indexed="81"/>
            <rFont val="Helvetica"/>
          </rPr>
          <t>Meat-Stats-Full.xls, I146</t>
        </r>
      </text>
    </comment>
    <comment ref="F6" authorId="0">
      <text>
        <r>
          <rPr>
            <sz val="9"/>
            <color indexed="81"/>
            <rFont val="Tahoma"/>
            <family val="2"/>
          </rPr>
          <t xml:space="preserve">Ron:
I actually think it should be 2.23*0.9*1.05*180/120=3.16
Gidi: integrating NRC's swine feed reccomenations, p. 41, fig. 3-11, over 3-20 and 20-123 kg, AND assuming 5% waste and 90% DM 
see:
http://www.wolframalpha.com/input/?i=%28integrate+%28-133%2B251*x-.99*x%5E2%29%2F3400+from+3+to+20+%2B+integrate+%281250%2B188*x-1.4*x%5E2%2B.0044*x%5E3%29%2F3400+from+20+to+123%29%2F123
</t>
        </r>
      </text>
    </comment>
    <comment ref="F8" authorId="0">
      <text>
        <r>
          <rPr>
            <b/>
            <sz val="9"/>
            <color indexed="81"/>
            <rFont val="Tahoma"/>
            <family val="2"/>
          </rPr>
          <t>tamara:</t>
        </r>
        <r>
          <rPr>
            <sz val="9"/>
            <color indexed="81"/>
            <rFont val="Tahoma"/>
            <family val="2"/>
          </rPr>
          <t xml:space="preserve">
 based on NRC, 1994, recommendations  for poultry table 2-5 (pg 26) - estimations for cumulative feed consumption for broilers weighing ~ 5.5 lb</t>
        </r>
      </text>
    </comment>
    <comment ref="F10" authorId="0">
      <text>
        <r>
          <rPr>
            <b/>
            <sz val="9"/>
            <color indexed="81"/>
            <rFont val="Tahoma"/>
            <family val="2"/>
          </rPr>
          <t>tamara:</t>
        </r>
        <r>
          <rPr>
            <sz val="9"/>
            <color indexed="81"/>
            <rFont val="Tahoma"/>
            <family val="2"/>
          </rPr>
          <t xml:space="preserve">
based on NRC, 1994, recommendations  for poultry, table 3-2 (pg 37) -   estimations for cumulative feed consumption for turkeys weighing ~ 28.6 lb </t>
        </r>
      </text>
    </comment>
    <comment ref="G11" authorId="0">
      <text>
        <r>
          <rPr>
            <b/>
            <sz val="9"/>
            <color indexed="81"/>
            <rFont val="Tahoma"/>
            <family val="2"/>
          </rPr>
          <t>tamara:</t>
        </r>
        <r>
          <rPr>
            <sz val="9"/>
            <color indexed="81"/>
            <rFont val="Tahoma"/>
            <family val="2"/>
          </rPr>
          <t xml:space="preserve">
asuuming average consumption of 86g feed per day, with 88% DM content
</t>
        </r>
      </text>
    </comment>
    <comment ref="L13" authorId="0">
      <text>
        <r>
          <rPr>
            <b/>
            <sz val="9"/>
            <color indexed="81"/>
            <rFont val="Tahoma"/>
            <family val="2"/>
          </rPr>
          <t>tamara:</t>
        </r>
        <r>
          <rPr>
            <sz val="9"/>
            <color indexed="81"/>
            <rFont val="Tahoma"/>
            <family val="2"/>
          </rPr>
          <t xml:space="preserve">
assuming 60% concentrates</t>
        </r>
      </text>
    </comment>
    <comment ref="P13" authorId="0">
      <text>
        <r>
          <rPr>
            <b/>
            <sz val="9"/>
            <color indexed="81"/>
            <rFont val="Tahoma"/>
            <family val="2"/>
          </rPr>
          <t>tamara:</t>
        </r>
        <r>
          <rPr>
            <sz val="9"/>
            <color indexed="81"/>
            <rFont val="Tahoma"/>
            <family val="2"/>
          </rPr>
          <t xml:space="preserve">
11.7% of total feed and 6 months grazing, based on:
Nehring, Gillespie, O’Donoghue,  Sandretto_2007_Dairy Resource Management: A Comparison of Conventional and Pasture-Based Systems 
</t>
        </r>
      </text>
    </comment>
    <comment ref="E14" authorId="0">
      <text>
        <r>
          <rPr>
            <b/>
            <sz val="9"/>
            <color indexed="81"/>
            <rFont val="Tahoma"/>
            <family val="2"/>
          </rPr>
          <t>tamara:</t>
        </r>
        <r>
          <rPr>
            <sz val="9"/>
            <color indexed="81"/>
            <rFont val="Tahoma"/>
            <family val="2"/>
          </rPr>
          <t xml:space="preserve">
asuuming 90% big breedes with average weight of 650 kg, and 10% small breed with average weight of 450 kg
NRC table 14-14, 14-15</t>
        </r>
      </text>
    </comment>
    <comment ref="G14" authorId="0">
      <text>
        <r>
          <rPr>
            <b/>
            <sz val="9"/>
            <color indexed="81"/>
            <rFont val="Tahoma"/>
            <family val="2"/>
          </rPr>
          <t>tamara:</t>
        </r>
        <r>
          <rPr>
            <sz val="9"/>
            <color indexed="81"/>
            <rFont val="Tahoma"/>
            <family val="2"/>
          </rPr>
          <t xml:space="preserve">
assuming average consumption of 3.05% of body weight per day
based on :
1) NRC,2001,Nutrient Requirements of Dairy Cattle, table 5-13
2) subcomittee on feed intake_1987_Predicting Feed Intake of Food-Producing Animals, pg 48</t>
        </r>
      </text>
    </comment>
    <comment ref="E15" authorId="2">
      <text>
        <r>
          <rPr>
            <b/>
            <sz val="9"/>
            <color indexed="81"/>
            <rFont val="Tahoma"/>
            <charset val="1"/>
          </rPr>
          <t>Alon Shepon:</t>
        </r>
        <r>
          <rPr>
            <sz val="9"/>
            <color indexed="81"/>
            <rFont val="Tahoma"/>
            <charset val="1"/>
          </rPr>
          <t xml:space="preserve">
linear growth curve for heifers - weighted average until first calving period: based on assuming 0.55*SBW (Shrunken Body Weight, which is 96% of full body weight) at first breeding period (407 days) and 0.82*SBW at first calving (687 days).
NRC of dairy cattle pg 238 and table 11-2</t>
        </r>
      </text>
    </comment>
    <comment ref="G15" authorId="0">
      <text>
        <r>
          <rPr>
            <b/>
            <sz val="9"/>
            <color indexed="81"/>
            <rFont val="Tahoma"/>
            <family val="2"/>
          </rPr>
          <t>tamara:</t>
        </r>
        <r>
          <rPr>
            <sz val="9"/>
            <color indexed="81"/>
            <rFont val="Tahoma"/>
            <family val="2"/>
          </rPr>
          <t xml:space="preserve">
assuming average consumption of 2.00% of body weight per day
based on :
subcomittee on feed intake_1987_Predicting Feed Intake of Food-Producing Animals, pg 48</t>
        </r>
      </text>
    </comment>
    <comment ref="B16" authorId="0">
      <text>
        <r>
          <rPr>
            <b/>
            <sz val="9"/>
            <color indexed="81"/>
            <rFont val="Tahoma"/>
            <family val="2"/>
          </rPr>
          <t>tamara:</t>
        </r>
        <r>
          <rPr>
            <sz val="9"/>
            <color indexed="81"/>
            <rFont val="Tahoma"/>
            <family val="2"/>
          </rPr>
          <t xml:space="preserve">
ration of 1:83 bulls:cows, from capper etal 2009</t>
        </r>
      </text>
    </comment>
    <comment ref="E16" authorId="0">
      <text>
        <r>
          <rPr>
            <b/>
            <sz val="9"/>
            <color indexed="81"/>
            <rFont val="Tahoma"/>
            <family val="2"/>
          </rPr>
          <t>tamara:</t>
        </r>
        <r>
          <rPr>
            <sz val="9"/>
            <color indexed="81"/>
            <rFont val="Tahoma"/>
            <family val="2"/>
          </rPr>
          <t xml:space="preserve">
825 kg, based on capper et al 2009</t>
        </r>
      </text>
    </comment>
    <comment ref="E18" authorId="0">
      <text>
        <r>
          <rPr>
            <b/>
            <sz val="9"/>
            <color indexed="81"/>
            <rFont val="Tahoma"/>
            <family val="2"/>
          </rPr>
          <t>tamara:</t>
        </r>
        <r>
          <rPr>
            <sz val="9"/>
            <color indexed="81"/>
            <rFont val="Tahoma"/>
            <family val="2"/>
          </rPr>
          <t xml:space="preserve">
dresses slaughter weight of beef cows converted to live using 1.65 factor (see slaughterweights tab)</t>
        </r>
      </text>
    </comment>
    <comment ref="G18" authorId="0">
      <text>
        <r>
          <rPr>
            <b/>
            <sz val="9"/>
            <color indexed="81"/>
            <rFont val="Tahoma"/>
            <family val="2"/>
          </rPr>
          <t>tamara:</t>
        </r>
        <r>
          <rPr>
            <sz val="9"/>
            <color indexed="81"/>
            <rFont val="Tahoma"/>
            <family val="2"/>
          </rPr>
          <t xml:space="preserve">
assuming average consumption of 2.25% DM of body weight per day
based on :
Lee Rinehart and Ann Baier, National Center for Appropriate Technology (NCAT) Agriculture Specialists, May 2011 http://www.ams.usda.gov/AMSv1.0/getfile?dDocName=STELPRDC5091036</t>
        </r>
      </text>
    </comment>
    <comment ref="G19" authorId="0">
      <text>
        <r>
          <rPr>
            <b/>
            <sz val="9"/>
            <color indexed="81"/>
            <rFont val="Tahoma"/>
            <family val="2"/>
          </rPr>
          <t>tamara:</t>
        </r>
        <r>
          <rPr>
            <sz val="9"/>
            <color indexed="81"/>
            <rFont val="Tahoma"/>
            <family val="2"/>
          </rPr>
          <t xml:space="preserve">
subcomittee on feed intake_1987_Predicting Feed Intake of Food-Producing Animals
based on : tables 6-9, pg 68 and table 6-10 ,pg 71 describing DM intake for beef yearlings and calves.</t>
        </r>
      </text>
    </comment>
    <comment ref="D24" authorId="0">
      <text>
        <r>
          <rPr>
            <b/>
            <sz val="9"/>
            <color indexed="81"/>
            <rFont val="Tahoma"/>
            <family val="2"/>
          </rPr>
          <t>tamara:</t>
        </r>
        <r>
          <rPr>
            <sz val="9"/>
            <color indexed="81"/>
            <rFont val="Tahoma"/>
            <family val="2"/>
          </rPr>
          <t xml:space="preserve">
usda_2011_cold weather feeding</t>
        </r>
      </text>
    </comment>
    <comment ref="G24" authorId="0">
      <text>
        <r>
          <rPr>
            <b/>
            <sz val="9"/>
            <color indexed="81"/>
            <rFont val="Tahoma"/>
            <family val="2"/>
          </rPr>
          <t>tamara:
assuming 2.0% of body weight on average</t>
        </r>
        <r>
          <rPr>
            <sz val="9"/>
            <color indexed="81"/>
            <rFont val="Tahoma"/>
            <family val="2"/>
          </rPr>
          <t xml:space="preserve">
1) USDA _2011_cold weather feeding practices for horses. Warm weather - 1.7% of body weight. cold weather 2.05% of body weigh = 1.9% of body weight on average annually.
2)  NRC 2007, horses. From summery by ed kane published in dvm230, NRC panel updates Nutrient Requirements for Horses - 
1.5-3.1% for body weight ~ 2.3%
</t>
        </r>
      </text>
    </comment>
    <comment ref="O24" authorId="0">
      <text>
        <r>
          <rPr>
            <b/>
            <sz val="9"/>
            <color indexed="81"/>
            <rFont val="Tahoma"/>
            <family val="2"/>
          </rPr>
          <t>tamara:</t>
        </r>
        <r>
          <rPr>
            <sz val="9"/>
            <color indexed="81"/>
            <rFont val="Tahoma"/>
            <family val="2"/>
          </rPr>
          <t xml:space="preserve">
assuming around 80% of DM from roughage with preference for pasture over hay during grazing season
http://www.equisearch.com/about/</t>
        </r>
      </text>
    </comment>
    <comment ref="Q24" authorId="0">
      <text>
        <r>
          <rPr>
            <b/>
            <sz val="9"/>
            <color indexed="81"/>
            <rFont val="Tahoma"/>
            <family val="2"/>
          </rPr>
          <t>tamara:</t>
        </r>
        <r>
          <rPr>
            <sz val="9"/>
            <color indexed="81"/>
            <rFont val="Tahoma"/>
            <family val="2"/>
          </rPr>
          <t xml:space="preserve">
assuming around 80% of DM from roughage with preference for pasture over hay during grazing season
http://umaine.edu/publications/1007e/
http://www.equisearch.com/about/</t>
        </r>
      </text>
    </comment>
    <comment ref="M25" authorId="0">
      <text>
        <r>
          <rPr>
            <b/>
            <sz val="9"/>
            <color indexed="81"/>
            <rFont val="Tahoma"/>
            <family val="2"/>
          </rPr>
          <t>tamara:</t>
        </r>
        <r>
          <rPr>
            <sz val="9"/>
            <color indexed="81"/>
            <rFont val="Tahoma"/>
            <family val="2"/>
          </rPr>
          <t xml:space="preserve">
assuming goat feedstuff partitioning is similar to sheep's</t>
        </r>
      </text>
    </comment>
    <comment ref="Q25" authorId="0">
      <text>
        <r>
          <rPr>
            <b/>
            <sz val="9"/>
            <color indexed="81"/>
            <rFont val="Tahoma"/>
            <family val="2"/>
          </rPr>
          <t>tamara:</t>
        </r>
        <r>
          <rPr>
            <sz val="9"/>
            <color indexed="81"/>
            <rFont val="Tahoma"/>
            <family val="2"/>
          </rPr>
          <t xml:space="preserve">
assuming goats feedstuff partitioning is similar to sheep's</t>
        </r>
      </text>
    </comment>
    <comment ref="G26" authorId="0">
      <text>
        <r>
          <rPr>
            <b/>
            <sz val="9"/>
            <color indexed="81"/>
            <rFont val="Tahoma"/>
            <family val="2"/>
          </rPr>
          <t>tamara:
assuming 4% of body weight.</t>
        </r>
        <r>
          <rPr>
            <sz val="9"/>
            <color indexed="81"/>
            <rFont val="Tahoma"/>
            <family val="2"/>
          </rPr>
          <t xml:space="preserve"> From USDA organic_2011_pasture for organic reminant livestock</t>
        </r>
      </text>
    </comment>
    <comment ref="D27" authorId="0">
      <text>
        <r>
          <rPr>
            <b/>
            <sz val="9"/>
            <color indexed="81"/>
            <rFont val="Tahoma"/>
            <family val="2"/>
          </rPr>
          <t>tamara:</t>
        </r>
        <r>
          <rPr>
            <sz val="9"/>
            <color indexed="81"/>
            <rFont val="Tahoma"/>
            <family val="2"/>
          </rPr>
          <t xml:space="preserve">
2012_meatstatsExcel
http://www.ers.usda.gov/data-products/livestock-meat-domestic-data.aspx</t>
        </r>
      </text>
    </comment>
    <comment ref="E27" authorId="0">
      <text>
        <r>
          <rPr>
            <b/>
            <sz val="9"/>
            <color indexed="81"/>
            <rFont val="Tahoma"/>
            <family val="2"/>
          </rPr>
          <t>tamara:</t>
        </r>
        <r>
          <rPr>
            <sz val="9"/>
            <color indexed="81"/>
            <rFont val="Tahoma"/>
            <family val="2"/>
          </rPr>
          <t xml:space="preserve">
assuming 7lb at birth and slaughter weight of 62.  </t>
        </r>
      </text>
    </comment>
    <comment ref="F27" authorId="0">
      <text>
        <r>
          <rPr>
            <b/>
            <sz val="9"/>
            <color indexed="81"/>
            <rFont val="Tahoma"/>
            <family val="2"/>
          </rPr>
          <t>tamara:</t>
        </r>
        <r>
          <rPr>
            <sz val="9"/>
            <color indexed="81"/>
            <rFont val="Tahoma"/>
            <family val="2"/>
          </rPr>
          <t xml:space="preserve">
assuming 3% of body weight and  0.25 lb weight gain per day on average--&gt; life span of 220 days.</t>
        </r>
      </text>
    </comment>
    <comment ref="L28" authorId="0">
      <text>
        <r>
          <rPr>
            <b/>
            <sz val="9"/>
            <color indexed="81"/>
            <rFont val="Tahoma"/>
            <family val="2"/>
          </rPr>
          <t>tamara:</t>
        </r>
        <r>
          <rPr>
            <sz val="9"/>
            <color indexed="81"/>
            <rFont val="Tahoma"/>
            <family val="2"/>
          </rPr>
          <t xml:space="preserve">
assuming 15% cpncentrates</t>
        </r>
      </text>
    </comment>
    <comment ref="M28" authorId="0">
      <text>
        <r>
          <rPr>
            <b/>
            <sz val="9"/>
            <color indexed="81"/>
            <rFont val="Tahoma"/>
            <family val="2"/>
          </rPr>
          <t>tamara:</t>
        </r>
        <r>
          <rPr>
            <sz val="9"/>
            <color indexed="81"/>
            <rFont val="Tahoma"/>
            <family val="2"/>
          </rPr>
          <t xml:space="preserve">
http://www.ag.ndsu.edu/pubs/ansci/sheep/as989-2.htm#Feeding</t>
        </r>
      </text>
    </comment>
    <comment ref="P28" authorId="0">
      <text>
        <r>
          <rPr>
            <sz val="9"/>
            <color indexed="81"/>
            <rFont val="Tahoma"/>
            <family val="2"/>
          </rPr>
          <t>assuming total roughage is 85% of diet, and half the sheep population is raised on pasture for 6 months a year
based on : 
http://www.ag.ndsu.edu/pubs/ansci/sheep/as989-2.htm#Feeding</t>
        </r>
      </text>
    </comment>
    <comment ref="Q28" authorId="0">
      <text/>
    </comment>
    <comment ref="D29" authorId="0">
      <text>
        <r>
          <rPr>
            <b/>
            <sz val="9"/>
            <color indexed="81"/>
            <rFont val="Tahoma"/>
            <family val="2"/>
          </rPr>
          <t>tamara:</t>
        </r>
        <r>
          <rPr>
            <sz val="9"/>
            <color indexed="81"/>
            <rFont val="Tahoma"/>
            <family val="2"/>
          </rPr>
          <t xml:space="preserve">
average slaughter weight, from USDA_redmeat_slaughter weights full</t>
        </r>
      </text>
    </comment>
    <comment ref="E29" authorId="0">
      <text>
        <r>
          <rPr>
            <b/>
            <sz val="9"/>
            <color indexed="81"/>
            <rFont val="Tahoma"/>
            <family val="2"/>
          </rPr>
          <t>tamara:</t>
        </r>
        <r>
          <rPr>
            <sz val="9"/>
            <color indexed="81"/>
            <rFont val="Tahoma"/>
            <family val="2"/>
          </rPr>
          <t xml:space="preserve">
based on average slaughter weight of 138.5/2 assuming leniar growth</t>
        </r>
      </text>
    </comment>
    <comment ref="F29" authorId="0">
      <text>
        <r>
          <rPr>
            <b/>
            <sz val="9"/>
            <color indexed="81"/>
            <rFont val="Tahoma"/>
            <family val="2"/>
          </rPr>
          <t>tamara:</t>
        </r>
        <r>
          <rPr>
            <sz val="9"/>
            <color indexed="81"/>
            <rFont val="Tahoma"/>
            <family val="2"/>
          </rPr>
          <t xml:space="preserve">
assuming birth weight of 8lb, average daily weight gain on 0.65lb --&gt; life span of ~ 200 days</t>
        </r>
      </text>
    </comment>
    <comment ref="D30" authorId="0">
      <text>
        <r>
          <rPr>
            <b/>
            <sz val="9"/>
            <color indexed="81"/>
            <rFont val="Tahoma"/>
            <family val="2"/>
          </rPr>
          <t>tamara:</t>
        </r>
        <r>
          <rPr>
            <sz val="9"/>
            <color indexed="81"/>
            <rFont val="Tahoma"/>
            <family val="2"/>
          </rPr>
          <t xml:space="preserve">
http://www.ag.ndsu.edu/pubs/ansci/sheep/as989-2.htm#Feeding</t>
        </r>
      </text>
    </comment>
    <comment ref="G30" authorId="0">
      <text>
        <r>
          <rPr>
            <b/>
            <sz val="9"/>
            <color indexed="81"/>
            <rFont val="Tahoma"/>
            <family val="2"/>
          </rPr>
          <t>tamara:
assuming 3.65% of body weight,</t>
        </r>
        <r>
          <rPr>
            <sz val="9"/>
            <color indexed="81"/>
            <rFont val="Tahoma"/>
            <family val="2"/>
          </rPr>
          <t xml:space="preserve">
based on USDA organic_2011_pasture for organic reminant livestock
</t>
        </r>
      </text>
    </comment>
    <comment ref="L33" authorId="0">
      <text>
        <r>
          <rPr>
            <b/>
            <sz val="9"/>
            <color indexed="81"/>
            <rFont val="Tahoma"/>
            <family val="2"/>
          </rPr>
          <t>tamara:</t>
        </r>
        <r>
          <rPr>
            <sz val="9"/>
            <color indexed="81"/>
            <rFont val="Tahoma"/>
            <family val="2"/>
          </rPr>
          <t xml:space="preserve">
based on USDA data. See 'grains' tab
</t>
        </r>
      </text>
    </comment>
    <comment ref="N33" authorId="0">
      <text>
        <r>
          <rPr>
            <b/>
            <sz val="9"/>
            <color indexed="81"/>
            <rFont val="Tahoma"/>
            <family val="2"/>
          </rPr>
          <t>tamara:</t>
        </r>
        <r>
          <rPr>
            <sz val="9"/>
            <color indexed="81"/>
            <rFont val="Tahoma"/>
            <family val="2"/>
          </rPr>
          <t xml:space="preserve">
based on USDA data see 'harvested roughage' tab</t>
        </r>
      </text>
    </comment>
  </commentList>
</comments>
</file>

<file path=xl/comments3.xml><?xml version="1.0" encoding="utf-8"?>
<comments xmlns="http://schemas.openxmlformats.org/spreadsheetml/2006/main">
  <authors>
    <author>turingson</author>
    <author>Gidon Eshel</author>
    <author>ronm</author>
    <author>Alon Shepon</author>
    <author>ThinkPad</author>
    <author>tamara</author>
  </authors>
  <commentList>
    <comment ref="B3" authorId="0">
      <text>
        <r>
          <rPr>
            <b/>
            <sz val="12"/>
            <color indexed="81"/>
            <rFont val="Helvetica"/>
          </rPr>
          <t>Gidon Eshel: see also tables 870 and 874 of the US Census, reproduced in the 1st (leftmost) tab in 
livestocknumbers.xls</t>
        </r>
      </text>
    </comment>
    <comment ref="G7" authorId="1">
      <text>
        <r>
          <rPr>
            <b/>
            <sz val="12"/>
            <color indexed="81"/>
            <rFont val="Helvetica"/>
          </rPr>
          <t>Gidi:Assume non-cows' weight is their FINAL weight, so half of it is their average weight. Also assume a beef cow lives for 5 years, of which one is her heifer year, hencethe mean weight of 1009.5*4.5/5</t>
        </r>
      </text>
    </comment>
    <comment ref="G8" authorId="1">
      <text>
        <r>
          <rPr>
            <b/>
            <sz val="12"/>
            <color indexed="81"/>
            <rFont val="Helvetica"/>
          </rPr>
          <t>Gidon Eshel: see SlaughterWeights-Full.xls rows 89-94</t>
        </r>
        <r>
          <rPr>
            <sz val="9"/>
            <color indexed="81"/>
            <rFont val="Helvetica"/>
          </rPr>
          <t xml:space="preserve">
</t>
        </r>
      </text>
    </comment>
    <comment ref="I8" authorId="1">
      <text>
        <r>
          <rPr>
            <b/>
            <sz val="12"/>
            <color indexed="81"/>
            <rFont val="Helvetica"/>
          </rPr>
          <t>Gidon Eshel: We assume a beef heifer gives (1st) birth at age 2 years, and lives 8 years after that, at 1 calf/yr on average. See, e.g., 
http://www.epa.gov/oecaagct/ag101/beefphases.html</t>
        </r>
        <r>
          <rPr>
            <sz val="9"/>
            <color indexed="81"/>
            <rFont val="Helvetica"/>
          </rPr>
          <t xml:space="preserve">
</t>
        </r>
      </text>
    </comment>
    <comment ref="G9" authorId="1">
      <text>
        <r>
          <rPr>
            <b/>
            <sz val="12"/>
            <color indexed="81"/>
            <rFont val="Helvetica"/>
          </rPr>
          <t>Gidon Eshel: see SlaughterWeights-Full.xls rows 89-94</t>
        </r>
        <r>
          <rPr>
            <sz val="9"/>
            <color indexed="81"/>
            <rFont val="Helvetica"/>
          </rPr>
          <t xml:space="preserve">
</t>
        </r>
      </text>
    </comment>
    <comment ref="I9" authorId="1">
      <text>
        <r>
          <rPr>
            <b/>
            <sz val="12"/>
            <color indexed="81"/>
            <rFont val="Helvetica"/>
          </rPr>
          <t xml:space="preserve">Gidon Eshel: the   "(1302+75)/2" factor is the mean weight </t>
        </r>
        <r>
          <rPr>
            <sz val="9"/>
            <color indexed="81"/>
            <rFont val="Helvetica"/>
          </rPr>
          <t xml:space="preserve">
</t>
        </r>
      </text>
    </comment>
    <comment ref="U11" authorId="1">
      <text>
        <r>
          <rPr>
            <b/>
            <sz val="12"/>
            <color indexed="81"/>
            <rFont val="Helvetica"/>
          </rPr>
          <t>Gidon Eshel: with Herculean efforts, this can be reduced to
P18-T15
I22-O18-P18-(I18*T26)
I7+I17+I10+I16+I18-O18-P18-(I18*T26)
I7+I17+I10+I16-O18-P18-(I18*T26-I18)
I7+I17+I10+I16-O18-P18-(T26-1)*I18
I7+I17+I10+I16-O18-P18 + (1-T26)*I18
which yields
SQRT( H7^2 + H17^2 + H10^2 + H16^2 +O19^2 + P19^2 + U26^2*I18^2 + T26^2*H18^2 )</t>
        </r>
      </text>
    </comment>
    <comment ref="X11" authorId="1">
      <text>
        <r>
          <rPr>
            <b/>
            <sz val="12"/>
            <color indexed="81"/>
            <rFont val="Helvetica"/>
          </rPr>
          <t>Gidon Eshel: can simplify to V15+O18-I17-I10-I16-I18*(1-T26), giving the same result. This expressions variance is used in Y11</t>
        </r>
        <r>
          <rPr>
            <sz val="9"/>
            <color indexed="81"/>
            <rFont val="Helvetica"/>
          </rPr>
          <t xml:space="preserve">
</t>
        </r>
      </text>
    </comment>
    <comment ref="G17" authorId="0">
      <text>
        <r>
          <rPr>
            <b/>
            <sz val="12"/>
            <color indexed="81"/>
            <rFont val="Helvetica"/>
          </rPr>
          <t xml:space="preserve">Gidon Eshel: see </t>
        </r>
        <r>
          <rPr>
            <sz val="9"/>
            <color indexed="81"/>
            <rFont val="Helvetica"/>
          </rPr>
          <t xml:space="preserve">
</t>
        </r>
        <r>
          <rPr>
            <b/>
            <sz val="12"/>
            <color indexed="81"/>
            <rFont val="Helvetica"/>
          </rPr>
          <t>Meat-Stats-Full.xls, I146</t>
        </r>
      </text>
    </comment>
    <comment ref="U17" authorId="2">
      <text>
        <r>
          <rPr>
            <b/>
            <sz val="12"/>
            <color indexed="81"/>
            <rFont val="Tahoma"/>
            <family val="2"/>
          </rPr>
          <t xml:space="preserve">ronm:
There is a surprizing point here. Error estimate seems low in comparison the error estimate of beef pasture (V6) as a fraction of total beef pasture (U6). But note that as this error would also shift the sum very much as beef is the dominant consistuent, the fraction is not expected to move by much. Thus the fraction error estiamte is correct. Can be checked manually by choosing upper and lower values and performing the estimate of the resulting confidence intervals. </t>
        </r>
        <r>
          <rPr>
            <sz val="9"/>
            <color indexed="81"/>
            <rFont val="Tahoma"/>
            <family val="2"/>
          </rPr>
          <t xml:space="preserve">
</t>
        </r>
      </text>
    </comment>
    <comment ref="Y17" authorId="2">
      <text>
        <r>
          <rPr>
            <b/>
            <sz val="12"/>
            <color indexed="81"/>
            <rFont val="Tahoma"/>
            <family val="2"/>
          </rPr>
          <t>ronm:Performing the error propagation on the ratio here is a bit tricky. Requires using the approximation that std(1/x)~std(x)/x^2. Hence the factor coming in of ^4. Also, had to rewrite the arguments such that each term appears only once, i.e. 1/(1+(x2+x3+x4+x5)/x1) and move from there</t>
        </r>
      </text>
    </comment>
    <comment ref="N24" authorId="1">
      <text>
        <r>
          <rPr>
            <b/>
            <sz val="12"/>
            <color indexed="81"/>
            <rFont val="Helvetica"/>
          </rPr>
          <t>Gidon Eshel:
the source is at http://www.ers.usda.gov/publications/eib89/</t>
        </r>
      </text>
    </comment>
    <comment ref="H35" authorId="3">
      <text>
        <r>
          <rPr>
            <b/>
            <sz val="11"/>
            <color indexed="81"/>
            <rFont val="Helvica"/>
          </rPr>
          <t xml:space="preserve">inventory variability of 0.04, 2012MeatStat-goats N50
</t>
        </r>
      </text>
    </comment>
    <comment ref="H38" authorId="4">
      <text>
        <r>
          <rPr>
            <b/>
            <sz val="11"/>
            <color indexed="81"/>
            <rFont val="Helvica"/>
          </rPr>
          <t xml:space="preserve">for the 1.2 lb variability of slaugher weight, see SlaughterWeights-Full I94; Slaughter inventory variability of 0.28, Meat-
stats-Full M143
</t>
        </r>
      </text>
    </comment>
    <comment ref="G39" authorId="5">
      <text>
        <r>
          <rPr>
            <b/>
            <sz val="9"/>
            <color indexed="81"/>
            <rFont val="Tahoma"/>
            <family val="2"/>
          </rPr>
          <t>tamara:</t>
        </r>
        <r>
          <rPr>
            <sz val="9"/>
            <color indexed="81"/>
            <rFont val="Tahoma"/>
            <family val="2"/>
          </rPr>
          <t xml:space="preserve">
http://www.ag.ndsu.edu/pubs/ansci/sheep/as989-2.htm#Feeding</t>
        </r>
      </text>
    </comment>
    <comment ref="A45" authorId="3">
      <text>
        <r>
          <rPr>
            <b/>
            <sz val="9"/>
            <color indexed="81"/>
            <rFont val="Tahoma"/>
            <family val="2"/>
          </rPr>
          <t>Alon Shepon:</t>
        </r>
        <r>
          <rPr>
            <sz val="9"/>
            <color indexed="81"/>
            <rFont val="Tahoma"/>
            <family val="2"/>
          </rPr>
          <t xml:space="preserve">
taking 5% waste in pig feed</t>
        </r>
      </text>
    </comment>
    <comment ref="B45" authorId="0">
      <text>
        <r>
          <rPr>
            <b/>
            <sz val="12"/>
            <color indexed="81"/>
            <rFont val="Helvetica"/>
          </rPr>
          <t>Gidi: 
See results in main feed needs and Partitioning 
tab......
integrating NRC's swine feed reccomenations, p. 41, fig. 3-11, over 3-20 and 20-123 kg, see
http://www.wolframalpha.com/input/?i=%28integrate+%28-133%2B251*x-.99*x%5E2%29%2F3400+from+3+to+20+%2B+integrate+%281250%2B188*x-1.4*x%5E2%2B.0044*x%5E3%29%2F3400+from+20+to+123%29%2F123
AND assuming 5% waste and 90% DM</t>
        </r>
      </text>
    </comment>
    <comment ref="E45" authorId="3">
      <text>
        <r>
          <rPr>
            <b/>
            <sz val="9"/>
            <color indexed="81"/>
            <rFont val="Tahoma"/>
            <charset val="1"/>
          </rPr>
          <t>Alon Shepon:</t>
        </r>
        <r>
          <rPr>
            <sz val="9"/>
            <color indexed="81"/>
            <rFont val="Tahoma"/>
            <charset val="1"/>
          </rPr>
          <t xml:space="preserve">
The first value is from Smil's pg 154 Feeding the world, for Leghorn type laying hens, the second value is ours and the third from USDA's corn equivalent values (AgriStatiscs 2011 table 1-76)
</t>
        </r>
      </text>
    </comment>
    <comment ref="I45" authorId="3">
      <text>
        <r>
          <rPr>
            <b/>
            <sz val="9"/>
            <color indexed="81"/>
            <rFont val="Tahoma"/>
            <family val="2"/>
          </rPr>
          <t>Alon Shepon:</t>
        </r>
        <r>
          <rPr>
            <sz val="9"/>
            <color indexed="81"/>
            <rFont val="Tahoma"/>
            <family val="2"/>
          </rPr>
          <t xml:space="preserve">
includes Smil's average value (feeding the world pg 151), our value and USDA's mean corn equivalent value </t>
        </r>
      </text>
    </comment>
    <comment ref="K45" authorId="3">
      <text>
        <r>
          <rPr>
            <b/>
            <sz val="9"/>
            <color indexed="81"/>
            <rFont val="Tahoma"/>
            <family val="2"/>
          </rPr>
          <t>Alon Shepon:</t>
        </r>
        <r>
          <rPr>
            <sz val="9"/>
            <color indexed="81"/>
            <rFont val="Tahoma"/>
            <family val="2"/>
          </rPr>
          <t xml:space="preserve">
based on Smil'd value, Feeding the world table 5.1 and USDA's corn equivalent value</t>
        </r>
      </text>
    </comment>
    <comment ref="B46" authorId="3">
      <text>
        <r>
          <rPr>
            <b/>
            <sz val="9"/>
            <color indexed="81"/>
            <rFont val="Tahoma"/>
            <family val="2"/>
          </rPr>
          <t>Alon Shepon:</t>
        </r>
        <r>
          <rPr>
            <sz val="9"/>
            <color indexed="81"/>
            <rFont val="Tahoma"/>
            <family val="2"/>
          </rPr>
          <t xml:space="preserve">
best practices, 2.87 Wendy's, 3.16 ours (see main for calculations), 4 Smil's average - table 5.1 in the book feeding the world, and USDA's mean(5.62 - see below)  corn equivalent value between 2000-2010 AgriStat 2011 table 1-76.</t>
        </r>
      </text>
    </comment>
    <comment ref="D47" authorId="3">
      <text>
        <r>
          <rPr>
            <b/>
            <sz val="9"/>
            <color indexed="81"/>
            <rFont val="Tahoma"/>
            <family val="2"/>
          </rPr>
          <t>Alon Shepon:</t>
        </r>
        <r>
          <rPr>
            <sz val="9"/>
            <color indexed="81"/>
            <rFont val="Tahoma"/>
            <family val="2"/>
          </rPr>
          <t xml:space="preserve">
USDA agri statisistics 2011 Table 1-76</t>
        </r>
      </text>
    </comment>
    <comment ref="H47" authorId="3">
      <text>
        <r>
          <rPr>
            <b/>
            <sz val="9"/>
            <color indexed="81"/>
            <rFont val="Tahoma"/>
            <family val="2"/>
          </rPr>
          <t>Alon Shepon:</t>
        </r>
        <r>
          <rPr>
            <sz val="9"/>
            <color indexed="81"/>
            <rFont val="Tahoma"/>
            <family val="2"/>
          </rPr>
          <t xml:space="preserve">
USDA agri statisistics 2011 Table 1-76</t>
        </r>
      </text>
    </comment>
    <comment ref="K47" authorId="3">
      <text>
        <r>
          <rPr>
            <b/>
            <sz val="9"/>
            <color indexed="81"/>
            <rFont val="Tahoma"/>
            <family val="2"/>
          </rPr>
          <t>Alon Shepon:</t>
        </r>
        <r>
          <rPr>
            <sz val="9"/>
            <color indexed="81"/>
            <rFont val="Tahoma"/>
            <family val="2"/>
          </rPr>
          <t xml:space="preserve">
USDA agri statisistics 2011 Table 1-76</t>
        </r>
      </text>
    </comment>
  </commentList>
</comments>
</file>

<file path=xl/comments4.xml><?xml version="1.0" encoding="utf-8"?>
<comments xmlns="http://schemas.openxmlformats.org/spreadsheetml/2006/main">
  <authors>
    <author>tamara</author>
  </authors>
  <commentList>
    <comment ref="M17" authorId="0">
      <text>
        <r>
          <rPr>
            <b/>
            <sz val="9"/>
            <color indexed="81"/>
            <rFont val="Tahoma"/>
            <family val="2"/>
          </rPr>
          <t>tamara:</t>
        </r>
        <r>
          <rPr>
            <sz val="9"/>
            <color indexed="81"/>
            <rFont val="Tahoma"/>
            <family val="2"/>
          </rPr>
          <t xml:space="preserve">
capper etal 2009 bull:cow ratio of 1:83</t>
        </r>
      </text>
    </comment>
    <comment ref="B20" authorId="0">
      <text>
        <r>
          <rPr>
            <b/>
            <sz val="9"/>
            <color indexed="81"/>
            <rFont val="Tahoma"/>
            <family val="2"/>
          </rPr>
          <t>tamara:</t>
        </r>
        <r>
          <rPr>
            <sz val="9"/>
            <color indexed="81"/>
            <rFont val="Tahoma"/>
            <family val="2"/>
          </rPr>
          <t xml:space="preserve">
this category includes all non-dairy and non-beef cow cattle, i.e - beef cow replacment, other heifers, steers and bulls, calves </t>
        </r>
      </text>
    </comment>
    <comment ref="B31" authorId="0">
      <text>
        <r>
          <rPr>
            <b/>
            <sz val="9"/>
            <color indexed="81"/>
            <rFont val="Tahoma"/>
            <family val="2"/>
          </rPr>
          <t>tamara:</t>
        </r>
        <r>
          <rPr>
            <sz val="9"/>
            <color indexed="81"/>
            <rFont val="Tahoma"/>
            <family val="2"/>
          </rPr>
          <t xml:space="preserve">
breeding stock</t>
        </r>
      </text>
    </comment>
  </commentList>
</comments>
</file>

<file path=xl/comments5.xml><?xml version="1.0" encoding="utf-8"?>
<comments xmlns="http://schemas.openxmlformats.org/spreadsheetml/2006/main">
  <authors>
    <author>Gidon Eshel</author>
  </authors>
  <commentList>
    <comment ref="F145" authorId="0">
      <text>
        <r>
          <rPr>
            <b/>
            <sz val="12"/>
            <color indexed="81"/>
            <rFont val="Calibri"/>
            <family val="2"/>
          </rPr>
          <t>Gidon Eshel: typically 570-590 kg, 1250-1300 lbs</t>
        </r>
      </text>
    </comment>
    <comment ref="I145" authorId="0">
      <text>
        <r>
          <rPr>
            <b/>
            <sz val="12"/>
            <color indexed="81"/>
            <rFont val="Calibri"/>
            <family val="2"/>
          </rPr>
          <t xml:space="preserve">Gidon Eshel:
see SlaughterWeights-Full.xls D93, but I modified the value to better conform with table 870 of the '12 US census (http://www.census.gov/compendia/statab/2012/tables/12s0870.pdf(http://www.census.gov/compendia/statab/2012/tables/12s0870.pdf), in which it is clear recent years' production is more in the 30-31 billion lbs/yr </t>
        </r>
      </text>
    </comment>
    <comment ref="Q145" authorId="0">
      <text>
        <r>
          <rPr>
            <b/>
            <sz val="12"/>
            <color indexed="81"/>
            <rFont val="Calibri"/>
            <family val="2"/>
          </rPr>
          <t>Gidon Eshel: assume they are mostly pullets</t>
        </r>
      </text>
    </comment>
    <comment ref="I147" authorId="0">
      <text>
        <r>
          <rPr>
            <b/>
            <sz val="12"/>
            <color indexed="81"/>
            <rFont val="Calibri"/>
            <family val="2"/>
          </rPr>
          <t>Gidon Eshel:
see SlaughterWeights-Full.xls D94</t>
        </r>
      </text>
    </comment>
    <comment ref="P148" authorId="0">
      <text>
        <r>
          <rPr>
            <b/>
            <sz val="12"/>
            <color indexed="81"/>
            <rFont val="Calibri"/>
            <family val="2"/>
          </rPr>
          <t>Gidon Eshel: upper bound, based on 2 stdev of both multiplicative terms, see rows 142, 143 above and SlaugherWeights-Full J93:J94</t>
        </r>
      </text>
    </comment>
    <comment ref="P149" authorId="0">
      <text>
        <r>
          <rPr>
            <b/>
            <sz val="12"/>
            <color indexed="81"/>
            <rFont val="Calibri"/>
            <family val="2"/>
          </rPr>
          <t>Gidon Eshel: low bound, based on 2 stdev of both multiplicative terms, see rows 142, 143 above and SlaugherWeights-Full J93:J94</t>
        </r>
      </text>
    </comment>
  </commentList>
</comments>
</file>

<file path=xl/comments6.xml><?xml version="1.0" encoding="utf-8"?>
<comments xmlns="http://schemas.openxmlformats.org/spreadsheetml/2006/main">
  <authors>
    <author>Gidon Eshel</author>
  </authors>
  <commentList>
    <comment ref="L3" authorId="0">
      <text>
        <r>
          <rPr>
            <b/>
            <sz val="12"/>
            <color indexed="81"/>
            <rFont val="Helvetica"/>
          </rPr>
          <t>Gidon Eshel: assuming the tons here are short tons</t>
        </r>
      </text>
    </comment>
  </commentList>
</comments>
</file>

<file path=xl/sharedStrings.xml><?xml version="1.0" encoding="utf-8"?>
<sst xmlns="http://schemas.openxmlformats.org/spreadsheetml/2006/main" count="1184" uniqueCount="578">
  <si>
    <t>2 x std, rel.</t>
    <phoneticPr fontId="2" type="noConversion"/>
  </si>
  <si>
    <t>1/ Excludes slaughter on farms.
2/ Slaughter in Federally inspected and other plants.
3/ Weight of a chilled animal carcass.
Source: USDA, National Agricultural Statistics Service, "Livestock Slaughter" and "Poultry Slaughter."</t>
  </si>
  <si>
    <t>range</t>
    <phoneticPr fontId="2" type="noConversion"/>
  </si>
  <si>
    <t>cattle live-to-dressed mass ratio</t>
    <phoneticPr fontId="2" type="noConversion"/>
  </si>
  <si>
    <t>mean</t>
    <phoneticPr fontId="2" type="noConversion"/>
  </si>
  <si>
    <t>above: inferred live slaughter weights of various cattle types</t>
    <phoneticPr fontId="2" type="noConversion"/>
  </si>
  <si>
    <t>mass fraction of all cattle (see Meat-Stats-Full.xls row 135</t>
    <phoneticPr fontId="2" type="noConversion"/>
  </si>
  <si>
    <t>inferred all non-cow beef cattle live slaughter weight</t>
    <phoneticPr fontId="2" type="noConversion"/>
  </si>
  <si>
    <t>all supply and disperance zipped file</t>
  </si>
  <si>
    <t>http://www.ers.usda.gov/data-products/livestock-meat-domestic-data.aspx</t>
  </si>
  <si>
    <t>commulative
4 months</t>
  </si>
  <si>
    <t>annual estimation</t>
  </si>
  <si>
    <t>Goats</t>
  </si>
  <si>
    <t>United States</t>
  </si>
  <si>
    <t xml:space="preserve">United States, Jan. 1, 2002–2011 </t>
  </si>
  <si>
    <t>dairy bulls</t>
  </si>
  <si>
    <t>a</t>
  </si>
  <si>
    <t>b</t>
  </si>
  <si>
    <t>c</t>
  </si>
  <si>
    <t>d</t>
  </si>
  <si>
    <t>e</t>
  </si>
  <si>
    <t>f</t>
  </si>
  <si>
    <t>g</t>
  </si>
  <si>
    <t>h</t>
  </si>
  <si>
    <t>j</t>
  </si>
  <si>
    <t>i</t>
  </si>
  <si>
    <t>std average weight</t>
  </si>
  <si>
    <t>2 x std, rel.</t>
    <phoneticPr fontId="22" type="noConversion"/>
  </si>
  <si>
    <t>slaughter live weight</t>
    <phoneticPr fontId="22" type="noConversion"/>
  </si>
  <si>
    <t>see SlaughterWEights-Full.xls</t>
    <phoneticPr fontId="22" type="noConversion"/>
  </si>
  <si>
    <t>total beef cattle mass, 1000 lbs</t>
    <phoneticPr fontId="22" type="noConversion"/>
  </si>
  <si>
    <t>fraction in total beef cattle mass</t>
    <phoneticPr fontId="22" type="noConversion"/>
  </si>
  <si>
    <t>sum (test)</t>
    <phoneticPr fontId="22" type="noConversion"/>
  </si>
  <si>
    <t>processed roughage</t>
  </si>
  <si>
    <r>
      <t>10</t>
    </r>
    <r>
      <rPr>
        <b/>
        <vertAlign val="superscript"/>
        <sz val="10"/>
        <rFont val="Verdana"/>
        <family val="2"/>
      </rPr>
      <t>6</t>
    </r>
    <r>
      <rPr>
        <b/>
        <sz val="10"/>
        <rFont val="Verdana"/>
      </rPr>
      <t xml:space="preserve"> lb yr</t>
    </r>
    <r>
      <rPr>
        <b/>
        <vertAlign val="superscript"/>
        <sz val="10"/>
        <rFont val="Verdana"/>
        <family val="2"/>
      </rPr>
      <t>-1</t>
    </r>
    <r>
      <rPr>
        <b/>
        <sz val="10"/>
        <rFont val="Verdana"/>
      </rPr>
      <t xml:space="preserve">  "others" consume</t>
    </r>
  </si>
  <si>
    <r>
      <t>total feed consumption by livestock, million lb DM yr</t>
    </r>
    <r>
      <rPr>
        <b/>
        <vertAlign val="superscript"/>
        <sz val="10"/>
        <rFont val="Arial"/>
        <family val="2"/>
      </rPr>
      <t>-1</t>
    </r>
    <r>
      <rPr>
        <b/>
        <sz val="10"/>
        <rFont val="Arial"/>
        <family val="2"/>
      </rPr>
      <t xml:space="preserve"> </t>
    </r>
    <phoneticPr fontId="14" type="noConversion"/>
  </si>
  <si>
    <t>meat - sheep &amp; lambs</t>
    <phoneticPr fontId="14" type="noConversion"/>
  </si>
  <si>
    <t>assumed % of mean uncertainty when no other information is available</t>
    <phoneticPr fontId="14" type="noConversion"/>
  </si>
  <si>
    <t xml:space="preserve">* though DM content is lower than 87%,  USDA  adjusted the figures (in the original referenced table) to match mouisture content of hay </t>
  </si>
  <si>
    <t>total</t>
  </si>
  <si>
    <t>low</t>
  </si>
  <si>
    <t>high</t>
  </si>
  <si>
    <t>total DM (10^3 short tons)</t>
  </si>
  <si>
    <t>http://quickstats.nass.usda.gov/results/ABAA51DB-2B8C-3A31-AF92-534505847443</t>
  </si>
  <si>
    <t>Progam</t>
  </si>
  <si>
    <t>Period</t>
  </si>
  <si>
    <t>Week Ending</t>
  </si>
  <si>
    <t>Geo Level</t>
  </si>
  <si>
    <t>State</t>
  </si>
  <si>
    <t>Data Item</t>
  </si>
  <si>
    <t>Value</t>
  </si>
  <si>
    <t>CENSUS</t>
  </si>
  <si>
    <t>END OF DEC</t>
  </si>
  <si>
    <t>NATIONAL</t>
  </si>
  <si>
    <t>US TOTAL</t>
  </si>
  <si>
    <t>GOATS - INVENTORY</t>
  </si>
  <si>
    <t>mean (in million heads)</t>
  </si>
  <si>
    <t>%std</t>
  </si>
  <si>
    <t xml:space="preserve"> INVENTORY</t>
  </si>
  <si>
    <t>SURVEY</t>
  </si>
  <si>
    <t>FIRST OF JAN</t>
  </si>
  <si>
    <t xml:space="preserve"> MEAT &amp; OTHER - INVENTORY</t>
  </si>
  <si>
    <t xml:space="preserve"> MILK - INVENTORY</t>
  </si>
  <si>
    <t>GOATS, ANGORA - INVENTORY</t>
  </si>
  <si>
    <t xml:space="preserve"> ANGORA - INVENTORY</t>
  </si>
  <si>
    <t xml:space="preserve"> BREEDING - INVENTORY</t>
  </si>
  <si>
    <t>GOATS, BREEDING - INVENTORY</t>
  </si>
  <si>
    <t>GOATS, MARKET - INVENTORY</t>
  </si>
  <si>
    <t>GOATS, MEAT &amp; OTHER - INVENTORY</t>
  </si>
  <si>
    <t>GOATS, MILK - INVENTORY</t>
  </si>
  <si>
    <t>GOATS, MILK, MARKET - INVENTORY</t>
  </si>
  <si>
    <t>grain + byproducts</t>
  </si>
  <si>
    <t>slaughtered mass of "other chicken" assuming it's all pullets, 2.2 lb each, million lbs</t>
    <phoneticPr fontId="22" type="noConversion"/>
  </si>
  <si>
    <r>
      <t>production, 10</t>
    </r>
    <r>
      <rPr>
        <b/>
        <vertAlign val="superscript"/>
        <sz val="11"/>
        <color indexed="8"/>
        <rFont val="Arial"/>
        <family val="2"/>
      </rPr>
      <t>3</t>
    </r>
    <r>
      <rPr>
        <b/>
        <sz val="11"/>
        <color indexed="8"/>
        <rFont val="Arial"/>
        <family val="2"/>
      </rPr>
      <t xml:space="preserve"> lb/yr</t>
    </r>
  </si>
  <si>
    <t>Livestock and poultry live and dressed weights (pounds)</t>
  </si>
  <si>
    <t>Weight and species 1/</t>
  </si>
  <si>
    <t>Commercial average live 2/</t>
  </si>
  <si>
    <t>Federally inspected average</t>
  </si>
  <si>
    <t xml:space="preserve"> live</t>
  </si>
  <si>
    <t>Federally inspected average dressed 3/</t>
  </si>
  <si>
    <t>Steers</t>
  </si>
  <si>
    <t>Heifers</t>
  </si>
  <si>
    <t>Cows</t>
  </si>
  <si>
    <t>http://usda01.library.cornell.edu/usda/current/htrl/htrl-09-16-2011.pdf</t>
  </si>
  <si>
    <t xml:space="preserve">Table 7-2.—All cattle and calves: Number by class, </t>
  </si>
  <si>
    <t>Dec-2008</t>
  </si>
  <si>
    <t>Nov-2008</t>
  </si>
  <si>
    <t>Oct-2008</t>
  </si>
  <si>
    <t>Sep-2008</t>
  </si>
  <si>
    <t>Aug-2008</t>
  </si>
  <si>
    <t>Jul-2008</t>
  </si>
  <si>
    <t>Jun-2008</t>
  </si>
  <si>
    <t>May-2008</t>
  </si>
  <si>
    <t>Apr-2008</t>
  </si>
  <si>
    <t>Mar-2008</t>
  </si>
  <si>
    <t>Feb-2008</t>
  </si>
  <si>
    <t>Jan-2008</t>
  </si>
  <si>
    <t>Dec-2007</t>
  </si>
  <si>
    <t>Nov-2007</t>
  </si>
  <si>
    <t>Oct-2007</t>
  </si>
  <si>
    <t>Sep-2007</t>
  </si>
  <si>
    <t>Aug-2007</t>
  </si>
  <si>
    <t>Jul-2007</t>
  </si>
  <si>
    <t>Jun-2007</t>
  </si>
  <si>
    <t>assumed newborn calf weight, lb</t>
  </si>
  <si>
    <t>inventory: million live heads</t>
  </si>
  <si>
    <r>
      <t>others livestock sum consumption, million lb DM yr</t>
    </r>
    <r>
      <rPr>
        <b/>
        <vertAlign val="superscript"/>
        <sz val="10"/>
        <rFont val="Arial"/>
        <family val="2"/>
      </rPr>
      <t>-1</t>
    </r>
    <phoneticPr fontId="14" type="noConversion"/>
  </si>
  <si>
    <t>grains</t>
  </si>
  <si>
    <t>same NRC source, average of items 40-44</t>
    <phoneticPr fontId="14" type="noConversion"/>
  </si>
  <si>
    <t xml:space="preserve"> DE-1X, the average of items 24 and 25 </t>
    <phoneticPr fontId="14" type="noConversion"/>
  </si>
  <si>
    <t>Harvested acreage, 
all hay 2/
(1,000 acres)</t>
  </si>
  <si>
    <t>Amount</t>
  </si>
  <si>
    <t>mean</t>
    <phoneticPr fontId="14" type="noConversion"/>
  </si>
  <si>
    <t>year</t>
  </si>
  <si>
    <t>most likely</t>
  </si>
  <si>
    <t>source</t>
  </si>
  <si>
    <t xml:space="preserve">total cattle </t>
  </si>
  <si>
    <t>per head day</t>
  </si>
  <si>
    <t>fraction of each feed type in the diet of each animal category</t>
  </si>
  <si>
    <t>non cow beef</t>
  </si>
  <si>
    <t>pasture</t>
  </si>
  <si>
    <t>total, mean</t>
  </si>
  <si>
    <t>concentrates</t>
  </si>
  <si>
    <t>Slaughter - Commercial (NFI+FI)</t>
  </si>
  <si>
    <t>1000 heads</t>
  </si>
  <si>
    <t>slaughterheadcount</t>
  </si>
  <si>
    <t xml:space="preserve">see goats tab </t>
  </si>
  <si>
    <t>reference</t>
  </si>
  <si>
    <t>USDA_2007_agri census table15, pg 426</t>
  </si>
  <si>
    <t xml:space="preserve">Table 7-38.—Sheep and lambs: Number by class, United States, Jan. 1, 2002–2011 </t>
  </si>
  <si>
    <t>see slaughterheadcount tab</t>
  </si>
  <si>
    <t>http://usda.mannlib.cornell.edu/MannUsda/viewDocumentInfo.do?documentID=1509</t>
  </si>
  <si>
    <t>table - all layers average numbers on hand (and average of highest and lowest months)</t>
  </si>
  <si>
    <r>
      <t>slaughter head count
10</t>
    </r>
    <r>
      <rPr>
        <b/>
        <vertAlign val="superscript"/>
        <sz val="10"/>
        <rFont val="Arial"/>
        <family val="2"/>
      </rPr>
      <t>6</t>
    </r>
  </si>
  <si>
    <t>eggs layers</t>
  </si>
  <si>
    <t>STD combined angora and milk</t>
  </si>
  <si>
    <t>average slaughter weight</t>
  </si>
  <si>
    <t>Slaughter - Commercial Average Live Weight</t>
  </si>
  <si>
    <t>pounds</t>
  </si>
  <si>
    <t>Jun-2003</t>
  </si>
  <si>
    <t>May-2003</t>
  </si>
  <si>
    <t>Apr-2003</t>
  </si>
  <si>
    <t>Mar-2003</t>
  </si>
  <si>
    <t>Feb-2003</t>
  </si>
  <si>
    <t>Jan-2003</t>
  </si>
  <si>
    <t>Dec-2002</t>
  </si>
  <si>
    <t>Nov-2002</t>
  </si>
  <si>
    <t>Oct-2002</t>
  </si>
  <si>
    <t>Sep-2002</t>
  </si>
  <si>
    <t>Aug-2002</t>
  </si>
  <si>
    <t>Jul-2002</t>
  </si>
  <si>
    <t>Jun-2002</t>
  </si>
  <si>
    <t>May-2002</t>
  </si>
  <si>
    <t>Apr-2002</t>
  </si>
  <si>
    <t>Mar-2002</t>
  </si>
  <si>
    <t>Feb-2002</t>
  </si>
  <si>
    <t>Jan-2002</t>
  </si>
  <si>
    <t>Dec-2001</t>
  </si>
  <si>
    <t>Nov-2001</t>
  </si>
  <si>
    <t>Oct-2001</t>
  </si>
  <si>
    <t>Sep-2001</t>
  </si>
  <si>
    <t>Aug-2001</t>
  </si>
  <si>
    <t>Jul-2001</t>
  </si>
  <si>
    <t>Jun-2001</t>
  </si>
  <si>
    <t>May-2001</t>
  </si>
  <si>
    <t>Jan</t>
  </si>
  <si>
    <t>Mar</t>
  </si>
  <si>
    <t>Oct</t>
  </si>
  <si>
    <t>Dec</t>
  </si>
  <si>
    <t>std</t>
  </si>
  <si>
    <t>% std</t>
  </si>
  <si>
    <t>2002/03</t>
  </si>
  <si>
    <t>2003/04</t>
  </si>
  <si>
    <t>2004/05</t>
  </si>
  <si>
    <t>1/ Corn and sorghum, September-August; barley and oats, June-May.  Latest data may be preliminary or projected.
2/ Total may not add due to rounding.</t>
  </si>
  <si>
    <t>Date run: 3/12/2012</t>
  </si>
  <si>
    <t>Appendix table 3--Soybeans:  Supply, disappearance, and price, U.S., 1980/81-2011/12</t>
  </si>
  <si>
    <t xml:space="preserve">  Year</t>
  </si>
  <si>
    <t>beginning</t>
  </si>
  <si>
    <t>Disappearance</t>
  </si>
  <si>
    <t>Domestic use</t>
  </si>
  <si>
    <t>Beginning stocks</t>
  </si>
  <si>
    <t>Production</t>
  </si>
  <si>
    <t>Imports</t>
  </si>
  <si>
    <t>Year</t>
  </si>
  <si>
    <r>
      <t>total hay production, 10</t>
    </r>
    <r>
      <rPr>
        <b/>
        <vertAlign val="superscript"/>
        <sz val="12"/>
        <color indexed="8"/>
        <rFont val="Arial"/>
        <family val="2"/>
      </rPr>
      <t>6</t>
    </r>
    <r>
      <rPr>
        <b/>
        <sz val="12"/>
        <color indexed="8"/>
        <rFont val="Arial"/>
        <family val="2"/>
      </rPr>
      <t xml:space="preserve"> lbs</t>
    </r>
    <phoneticPr fontId="14" type="noConversion"/>
  </si>
  <si>
    <t>STD</t>
  </si>
  <si>
    <t>mean</t>
  </si>
  <si>
    <r>
      <t xml:space="preserve"> std, 10</t>
    </r>
    <r>
      <rPr>
        <vertAlign val="superscript"/>
        <sz val="12"/>
        <rFont val="Helvetica"/>
      </rPr>
      <t>6</t>
    </r>
    <r>
      <rPr>
        <sz val="12"/>
        <rFont val="Helvetica"/>
      </rPr>
      <t xml:space="preserve"> lb</t>
    </r>
  </si>
  <si>
    <t>-------------------- Million bushels --------------------</t>
  </si>
  <si>
    <t>Total 1/</t>
  </si>
  <si>
    <t>Crush</t>
  </si>
  <si>
    <t>and</t>
  </si>
  <si>
    <t>total DM (10^6 lb)</t>
  </si>
  <si>
    <t>STD (lbs)</t>
  </si>
  <si>
    <t>1/ Excludes slaughter on farms.
2/ Slaughter in Federally inspected and other plants. Monthly data for 1982 for cattle, calves, hogs, sheep, and lambs are not official NASS data but were compiled by ERS.
3/ NASS data for Federally inspected slaughter classes for 1958 to 1970 is supplemented with ERS data. Prior to 1986, monthly data for Federally inspected beef cow and dairy cow slaughter are not official NASS data but were compiled by ERS.
Source: USDA, National Agricultural Statistics Service, "Livestock Slaughter" and "Poultry Slaughter" and ERS calculations for commercial slaughter by class.</t>
  </si>
  <si>
    <t>broiler</t>
    <phoneticPr fontId="22" type="noConversion"/>
  </si>
  <si>
    <t>turkey</t>
    <phoneticPr fontId="22" type="noConversion"/>
  </si>
  <si>
    <t>ratio of dairy ot beef in the "cows" category</t>
    <phoneticPr fontId="22" type="noConversion"/>
  </si>
  <si>
    <t>Oct-2010</t>
  </si>
  <si>
    <t>Sep-2010</t>
  </si>
  <si>
    <t>Aug-2010</t>
  </si>
  <si>
    <t>Jul-2010</t>
  </si>
  <si>
    <t>Jun-2010</t>
  </si>
  <si>
    <t>May-2010</t>
  </si>
  <si>
    <t>Apr-2010</t>
  </si>
  <si>
    <t>Mar-2010</t>
  </si>
  <si>
    <t>Feb-2010</t>
  </si>
  <si>
    <t>Jan-2010</t>
  </si>
  <si>
    <t>Dec-2009</t>
  </si>
  <si>
    <t>Nov-2009</t>
  </si>
  <si>
    <t>Oct-2009</t>
  </si>
  <si>
    <t>Sep-2009</t>
  </si>
  <si>
    <t>Aug-2009</t>
  </si>
  <si>
    <t>Jul-2009</t>
  </si>
  <si>
    <t>Jun-2009</t>
  </si>
  <si>
    <t>May-2009</t>
  </si>
  <si>
    <t>Apr-2009</t>
  </si>
  <si>
    <t>Bulls &amp; Stags</t>
  </si>
  <si>
    <t>Jan-Sep 2011</t>
  </si>
  <si>
    <t>Jan-Sep 2010</t>
  </si>
  <si>
    <t>means</t>
    <phoneticPr fontId="2" type="noConversion"/>
  </si>
  <si>
    <t>std, abs.</t>
    <phoneticPr fontId="2" type="noConversion"/>
  </si>
  <si>
    <t>Feb-2009</t>
  </si>
  <si>
    <t>Jan-2009</t>
  </si>
  <si>
    <r>
      <t xml:space="preserve">Global Agricultural Trade System and U.S. Census Bureau, </t>
    </r>
    <r>
      <rPr>
        <i/>
        <sz val="12"/>
        <rFont val="Helvetica"/>
      </rPr>
      <t>Oilseed Crushings</t>
    </r>
    <r>
      <rPr>
        <sz val="12"/>
        <rFont val="Helvetica"/>
      </rPr>
      <t>.</t>
    </r>
  </si>
  <si>
    <t>2010/11</t>
  </si>
  <si>
    <t>Rice millfeeds</t>
  </si>
  <si>
    <t>Stocks, Dec 1, 
all hay 2/
(1,000 tons)</t>
  </si>
  <si>
    <t>Supply per RCAU, 
(tons) 3/</t>
  </si>
  <si>
    <t>Disappearance per RCAU, 
(tons) 3/</t>
  </si>
  <si>
    <t>total hay production, 1000 tons</t>
    <phoneticPr fontId="14" type="noConversion"/>
  </si>
  <si>
    <t>beef</t>
  </si>
  <si>
    <t>pork</t>
  </si>
  <si>
    <t>Fats and oils</t>
  </si>
  <si>
    <t>Total domestic use 2/</t>
  </si>
  <si>
    <t>Exports</t>
  </si>
  <si>
    <t>Total disappearance 2/</t>
  </si>
  <si>
    <t>Ending stocks</t>
  </si>
  <si>
    <t>Q1 Sep-Nov</t>
  </si>
  <si>
    <t>Q2 Dec-Feb</t>
  </si>
  <si>
    <t>Q3 Mar-May</t>
  </si>
  <si>
    <t>Q4 Jun-Aug</t>
  </si>
  <si>
    <t>given 614e6 acre of grassland pasture &amp; rangeland</t>
  </si>
  <si>
    <t>assumed dairy diet's fractional sources</t>
  </si>
  <si>
    <t xml:space="preserve">poultry </t>
  </si>
  <si>
    <t xml:space="preserve">          meat</t>
  </si>
  <si>
    <t>Misc byproduct feeds</t>
    <phoneticPr fontId="14" type="noConversion"/>
  </si>
  <si>
    <t>Misc byproduct feeds</t>
    <phoneticPr fontId="14" type="noConversion"/>
  </si>
  <si>
    <t>Commodity</t>
  </si>
  <si>
    <t>Total disappearance 3/</t>
  </si>
  <si>
    <t>Stocks, May 1, 
all hay 2/
(1,000 tons)</t>
  </si>
  <si>
    <t>Beginning</t>
  </si>
  <si>
    <t>Exports 2/</t>
  </si>
  <si>
    <t>grain</t>
  </si>
  <si>
    <t>roughage</t>
  </si>
  <si>
    <t>thousand head</t>
  </si>
  <si>
    <t>May-2007</t>
  </si>
  <si>
    <t>Apr-2007</t>
  </si>
  <si>
    <t>Mar-2007</t>
  </si>
  <si>
    <t>Feb-2007</t>
  </si>
  <si>
    <t>Jan-2007</t>
  </si>
  <si>
    <t>Dec-2006</t>
  </si>
  <si>
    <t>Nov-2006</t>
  </si>
  <si>
    <t>Oct-2006</t>
  </si>
  <si>
    <t>Sep-2006</t>
  </si>
  <si>
    <t>Aug-2006</t>
  </si>
  <si>
    <t>Jul-2006</t>
  </si>
  <si>
    <t>Jun-2006</t>
  </si>
  <si>
    <t>May-2006</t>
  </si>
  <si>
    <t>Apr-2006</t>
  </si>
  <si>
    <t>Mar-2006</t>
  </si>
  <si>
    <t>Feb-2006</t>
  </si>
  <si>
    <t>Jan-2006</t>
  </si>
  <si>
    <t>Dec-2005</t>
  </si>
  <si>
    <t>Nov-2005</t>
  </si>
  <si>
    <t>Oct-2005</t>
  </si>
  <si>
    <t>Sep-2005</t>
  </si>
  <si>
    <t>Aug-2005</t>
  </si>
  <si>
    <t>Jul-2005</t>
  </si>
  <si>
    <t>Jun-2005</t>
  </si>
  <si>
    <t>May-2005</t>
  </si>
  <si>
    <t>Apr-2005</t>
  </si>
  <si>
    <t>Mar-2005</t>
  </si>
  <si>
    <t>Feb-2005</t>
  </si>
  <si>
    <t>Jan-2005</t>
  </si>
  <si>
    <t>Dec-2004</t>
  </si>
  <si>
    <t>Nov-2004</t>
  </si>
  <si>
    <t>Oct-2004</t>
  </si>
  <si>
    <t>Sep-2004</t>
  </si>
  <si>
    <t>Aug-2004</t>
  </si>
  <si>
    <t>Jul-2004</t>
  </si>
  <si>
    <t>Jun-2004</t>
  </si>
  <si>
    <t>May-2004</t>
  </si>
  <si>
    <t>Apr-2004</t>
  </si>
  <si>
    <t>Mar-2004</t>
  </si>
  <si>
    <t>Feb-2004</t>
  </si>
  <si>
    <t>Jan-2004</t>
  </si>
  <si>
    <t>Dec-2003</t>
  </si>
  <si>
    <t>Nov-2003</t>
  </si>
  <si>
    <t>Oct-2003</t>
  </si>
  <si>
    <t>Sep-2003</t>
  </si>
  <si>
    <t>Aug-2003</t>
  </si>
  <si>
    <t>Jul-2003</t>
  </si>
  <si>
    <t>Mean</t>
  </si>
  <si>
    <t>Annual</t>
  </si>
  <si>
    <t>Amount,</t>
  </si>
  <si>
    <r>
      <t>10</t>
    </r>
    <r>
      <rPr>
        <b/>
        <vertAlign val="superscript"/>
        <sz val="11"/>
        <rFont val="Arial"/>
        <family val="2"/>
      </rPr>
      <t>6</t>
    </r>
    <r>
      <rPr>
        <b/>
        <sz val="11"/>
        <rFont val="Arial"/>
        <family val="2"/>
      </rPr>
      <t xml:space="preserve"> kg yr</t>
    </r>
    <r>
      <rPr>
        <b/>
        <vertAlign val="superscript"/>
        <sz val="11"/>
        <rFont val="Arial"/>
        <family val="2"/>
      </rPr>
      <t xml:space="preserve">-1 </t>
    </r>
    <r>
      <rPr>
        <b/>
        <sz val="11"/>
        <rFont val="Arial"/>
        <family val="2"/>
      </rPr>
      <t>(assuming 10% moisture)</t>
    </r>
  </si>
  <si>
    <t>meat &amp; others</t>
  </si>
  <si>
    <t>milk+angora</t>
  </si>
  <si>
    <t>goats total</t>
  </si>
  <si>
    <t>sheep total</t>
  </si>
  <si>
    <t>Apr-2001</t>
  </si>
  <si>
    <t>Total supply 3/</t>
  </si>
  <si>
    <t>Food use</t>
  </si>
  <si>
    <t>Total domestic use 3/</t>
  </si>
  <si>
    <t>Mar-2001</t>
  </si>
  <si>
    <t>Feb-2001</t>
  </si>
  <si>
    <t>Jan-2001</t>
  </si>
  <si>
    <t>annual mean</t>
    <phoneticPr fontId="22" type="noConversion"/>
  </si>
  <si>
    <t>std.</t>
    <phoneticPr fontId="22" type="noConversion"/>
  </si>
  <si>
    <t>Soybean meal </t>
  </si>
  <si>
    <t>2006-2010</t>
  </si>
  <si>
    <t>Cottonseed meal </t>
  </si>
  <si>
    <t>Rapeseed (canola) meal</t>
  </si>
  <si>
    <t>Linseed meal </t>
  </si>
  <si>
    <t>2006/07</t>
  </si>
  <si>
    <t>2007/08</t>
  </si>
  <si>
    <t>2008/09</t>
  </si>
  <si>
    <t>2009/10</t>
  </si>
  <si>
    <t>Total</t>
  </si>
  <si>
    <t>residual</t>
  </si>
  <si>
    <t>33, 90 (taken as 3300 bcs it's bran not grain) and 3200 (taking screening= wheat bran)</t>
    <phoneticPr fontId="14" type="noConversion"/>
  </si>
  <si>
    <t>Seed, feed</t>
  </si>
  <si>
    <t>references :</t>
  </si>
  <si>
    <t>hay</t>
  </si>
  <si>
    <t>corn silage</t>
  </si>
  <si>
    <t>sorgum silage</t>
  </si>
  <si>
    <r>
      <rPr>
        <b/>
        <sz val="11"/>
        <color theme="1"/>
        <rFont val="Calibri"/>
        <family val="2"/>
        <scheme val="minor"/>
      </rPr>
      <t>Hay (and %DM)</t>
    </r>
    <r>
      <rPr>
        <sz val="12"/>
        <rFont val="Helvetica"/>
      </rPr>
      <t>- USDA, agriculture statistics 2011, table 6-2</t>
    </r>
  </si>
  <si>
    <r>
      <t>mass (1000</t>
    </r>
    <r>
      <rPr>
        <u/>
        <sz val="11"/>
        <color theme="1"/>
        <rFont val="Calibri"/>
        <family val="2"/>
        <scheme val="minor"/>
      </rPr>
      <t xml:space="preserve"> short</t>
    </r>
    <r>
      <rPr>
        <sz val="12"/>
        <rFont val="Helvetica"/>
      </rPr>
      <t xml:space="preserve"> tons)</t>
    </r>
  </si>
  <si>
    <r>
      <rPr>
        <b/>
        <sz val="11"/>
        <color theme="1"/>
        <rFont val="Calibri"/>
        <family val="2"/>
        <scheme val="minor"/>
      </rPr>
      <t>Haylage + greenchop</t>
    </r>
    <r>
      <rPr>
        <sz val="12"/>
        <rFont val="Helvetica"/>
      </rPr>
      <t xml:space="preserve"> - USDA, agriculture statistics 2011, table 6-10</t>
    </r>
  </si>
  <si>
    <r>
      <t>corn silage</t>
    </r>
    <r>
      <rPr>
        <sz val="12"/>
        <rFont val="Helvetica"/>
      </rPr>
      <t xml:space="preserve"> - USDA, agriculture statistics 2011, table 1-35</t>
    </r>
  </si>
  <si>
    <t>haylage +
 greenchop*</t>
  </si>
  <si>
    <r>
      <t>total byproducts mass, 10</t>
    </r>
    <r>
      <rPr>
        <b/>
        <vertAlign val="superscript"/>
        <sz val="14"/>
        <rFont val="Arial"/>
        <family val="2"/>
      </rPr>
      <t>6</t>
    </r>
    <r>
      <rPr>
        <b/>
        <sz val="14"/>
        <rFont val="Arial"/>
        <family val="2"/>
      </rPr>
      <t xml:space="preserve"> lb yr</t>
    </r>
    <r>
      <rPr>
        <b/>
        <vertAlign val="superscript"/>
        <sz val="14"/>
        <rFont val="Arial"/>
        <family val="2"/>
      </rPr>
      <t>-1</t>
    </r>
    <r>
      <rPr>
        <b/>
        <sz val="14"/>
        <rFont val="Arial"/>
        <family val="2"/>
      </rPr>
      <t xml:space="preserve"> (in DM)
 </t>
    </r>
  </si>
  <si>
    <t>average of NRC Nutri. Req. of Dairy Cattle table 15-1 (p. 284) *0.9 to convert to DM</t>
  </si>
  <si>
    <t>Livestock and poultry slaughter (1,000 head)</t>
  </si>
  <si>
    <t>Type 1/</t>
  </si>
  <si>
    <t>Cattle</t>
  </si>
  <si>
    <t>--Steers</t>
  </si>
  <si>
    <t>--Heifers</t>
  </si>
  <si>
    <t>--Beef cows</t>
  </si>
  <si>
    <t>--Dairy cows</t>
  </si>
  <si>
    <t>--Bulls and stags</t>
  </si>
  <si>
    <t>Calves</t>
  </si>
  <si>
    <t>Hogs</t>
  </si>
  <si>
    <t>--Barrows and gilts</t>
  </si>
  <si>
    <t>--Sows</t>
  </si>
  <si>
    <t>--Boars and stags</t>
  </si>
  <si>
    <t>Sheep and lambs</t>
  </si>
  <si>
    <t>--Lambs and yearlings</t>
  </si>
  <si>
    <t>--Mature sheep</t>
  </si>
  <si>
    <t>Broilers</t>
  </si>
  <si>
    <t>Other chickens</t>
  </si>
  <si>
    <t>Turkeys</t>
  </si>
  <si>
    <t>Sep-2011</t>
  </si>
  <si>
    <t>Aug-2011</t>
  </si>
  <si>
    <t>Jul-2011</t>
  </si>
  <si>
    <t>Jun-2011</t>
  </si>
  <si>
    <t>May-2011</t>
  </si>
  <si>
    <t>Apr-2011</t>
  </si>
  <si>
    <t>Mar-2011</t>
  </si>
  <si>
    <t>Feb-2011</t>
  </si>
  <si>
    <t>Jan-2011</t>
  </si>
  <si>
    <t>Dec-2010</t>
  </si>
  <si>
    <t>Nov-2010</t>
  </si>
  <si>
    <t>sum in million kg per yr (DM)</t>
  </si>
  <si>
    <t>DM content 89%</t>
  </si>
  <si>
    <t>same NRC source, item 118</t>
    <phoneticPr fontId="14" type="noConversion"/>
  </si>
  <si>
    <t>same NRC source, item 95</t>
    <phoneticPr fontId="14" type="noConversion"/>
  </si>
  <si>
    <t>Misc byproduct feeds</t>
    <phoneticPr fontId="14" type="noConversion"/>
  </si>
  <si>
    <t>Date run: 3/20/2012</t>
  </si>
  <si>
    <t>stdev</t>
  </si>
  <si>
    <t>1/ Total supply includes imports.  2/ Forecast.</t>
  </si>
  <si>
    <t>2005/06</t>
  </si>
  <si>
    <t>September 1</t>
  </si>
  <si>
    <t>Mar-2009</t>
  </si>
  <si>
    <t>table 8 of the new feed grain yearbook, http://www.ers.usda.gov/Data/FeedGrains/Table.asp?t=03, only 2000-2011</t>
    <phoneticPr fontId="14" type="noConversion"/>
  </si>
  <si>
    <t>Production, 
alfalfa hay 2/
(1,000 tons)</t>
  </si>
  <si>
    <t>Total supply 2/</t>
  </si>
  <si>
    <t>Feed and residual use</t>
  </si>
  <si>
    <t>horses</t>
  </si>
  <si>
    <t>Peanut meal </t>
  </si>
  <si>
    <t>Sunflower meal </t>
  </si>
  <si>
    <t>Meat and bone meal tankage</t>
  </si>
  <si>
    <t>pig feed needs, lbs feed per lb slaughter mass:</t>
  </si>
  <si>
    <t>other chicken</t>
  </si>
  <si>
    <t>turkeys</t>
  </si>
  <si>
    <t>layers:</t>
  </si>
  <si>
    <t>grain +</t>
  </si>
  <si>
    <t>byprod's</t>
  </si>
  <si>
    <t>per cow day</t>
  </si>
  <si>
    <t>heifers' mean weight</t>
  </si>
  <si>
    <t>dairy cows</t>
  </si>
  <si>
    <t>dairy heifers</t>
  </si>
  <si>
    <t>edible livestock sum consumption, million lb DM yr-1</t>
  </si>
  <si>
    <t>sanity check:  resultant mean pasture yield, lb/(ac x yr)</t>
  </si>
  <si>
    <t xml:space="preserve">This, is not unreasonable, given that hay's mean yield is 2.4 short tons (4800 lb)/(ac x yr). An order of magnitude difference is perfectly reasonable when the 614 million acres contain all the awful BLM arid western rangeland....  </t>
  </si>
  <si>
    <t>sheep</t>
  </si>
  <si>
    <t>These 5 values are best viewed as a basic "axiom" on which the partitioning is based. Not unresasonable, but axiomatic.</t>
  </si>
  <si>
    <r>
      <t>edible livestock sum consumption, million lb DM yr</t>
    </r>
    <r>
      <rPr>
        <b/>
        <vertAlign val="superscript"/>
        <sz val="10"/>
        <rFont val="Arial"/>
        <family val="2"/>
      </rPr>
      <t>-1</t>
    </r>
  </si>
  <si>
    <r>
      <t>high, 10</t>
    </r>
    <r>
      <rPr>
        <vertAlign val="superscript"/>
        <sz val="12"/>
        <rFont val="Helvetica"/>
      </rPr>
      <t>6</t>
    </r>
    <r>
      <rPr>
        <sz val="12"/>
        <rFont val="Helvetica"/>
      </rPr>
      <t xml:space="preserve"> lb</t>
    </r>
    <phoneticPr fontId="14" type="noConversion"/>
  </si>
  <si>
    <t>Production, 
other hay 2/
(1,000 tons)</t>
  </si>
  <si>
    <t>Table 5--All wheat: Supply and disappearance (million bushels)</t>
  </si>
  <si>
    <t>Imports 2/</t>
  </si>
  <si>
    <t>Total livestock and poultry feed utilization , by feedstuff category</t>
  </si>
  <si>
    <t>table 3 of the new feed grain yearbook, http://www.ers.usda.gov/Data/FeedGrains/Table.asp?t=03, only 2000-2011</t>
  </si>
  <si>
    <r>
      <t>domestic feed use, 10</t>
    </r>
    <r>
      <rPr>
        <b/>
        <vertAlign val="superscript"/>
        <sz val="10"/>
        <rFont val="Helvetica"/>
      </rPr>
      <t>6</t>
    </r>
    <r>
      <rPr>
        <b/>
        <sz val="10"/>
        <rFont val="Helvetica"/>
      </rPr>
      <t xml:space="preserve"> metric tons</t>
    </r>
  </si>
  <si>
    <r>
      <t>domestic feed use, 10</t>
    </r>
    <r>
      <rPr>
        <b/>
        <vertAlign val="superscript"/>
        <sz val="10"/>
        <rFont val="Helvetica"/>
      </rPr>
      <t>6</t>
    </r>
    <r>
      <rPr>
        <b/>
        <sz val="10"/>
        <rFont val="Helvetica"/>
      </rPr>
      <t xml:space="preserve"> lbs in DM (assuming 89% DM)</t>
    </r>
  </si>
  <si>
    <t>Domestic feed use of grains  (corn, sorghum, barley, and oats)</t>
  </si>
  <si>
    <t>Byproduct feed, by source and total</t>
  </si>
  <si>
    <t>Domestic feed use of Soy</t>
  </si>
  <si>
    <t>Domestic feed use of Wheat</t>
  </si>
  <si>
    <t>wheat!h20</t>
  </si>
  <si>
    <t>Processed roughage, by source and total</t>
  </si>
  <si>
    <t>Byproducts!A1</t>
  </si>
  <si>
    <t>ProcessedRoughage!A1</t>
  </si>
  <si>
    <t>soy!G25</t>
  </si>
  <si>
    <t>Grains!O4</t>
  </si>
  <si>
    <t>Feed Total'!A1</t>
  </si>
  <si>
    <t>national utilization, million lb DM per year</t>
  </si>
  <si>
    <t>byproducts</t>
  </si>
  <si>
    <r>
      <t>mean slaughter weight</t>
    </r>
    <r>
      <rPr>
        <b/>
        <vertAlign val="superscript"/>
        <sz val="10"/>
        <rFont val="Arial"/>
        <family val="2"/>
      </rPr>
      <t>9</t>
    </r>
    <r>
      <rPr>
        <b/>
        <sz val="10"/>
        <rFont val="Arial"/>
        <family val="2"/>
      </rPr>
      <t>, lb</t>
    </r>
  </si>
  <si>
    <r>
      <t>10</t>
    </r>
    <r>
      <rPr>
        <b/>
        <vertAlign val="superscript"/>
        <sz val="10"/>
        <rFont val="Helvetica"/>
      </rPr>
      <t>6</t>
    </r>
    <r>
      <rPr>
        <b/>
        <sz val="10"/>
        <rFont val="Helvetica"/>
      </rPr>
      <t xml:space="preserve"> lbs per year</t>
    </r>
  </si>
  <si>
    <r>
      <t>poultry</t>
    </r>
    <r>
      <rPr>
        <sz val="10"/>
        <rFont val="Arial"/>
        <family val="2"/>
      </rPr>
      <t xml:space="preserve"> meat</t>
    </r>
  </si>
  <si>
    <r>
      <t>total eaten by edibles, 10</t>
    </r>
    <r>
      <rPr>
        <b/>
        <vertAlign val="superscript"/>
        <sz val="10"/>
        <rFont val="Helvetica"/>
      </rPr>
      <t>6</t>
    </r>
    <r>
      <rPr>
        <b/>
        <sz val="10"/>
        <rFont val="Helvetica"/>
      </rPr>
      <t xml:space="preserve"> lb/yr</t>
    </r>
  </si>
  <si>
    <t>mean body weight, lb</t>
  </si>
  <si>
    <t>lb dry matter feed consumption</t>
  </si>
  <si>
    <t>per</t>
  </si>
  <si>
    <t>sheep mature</t>
  </si>
  <si>
    <t>meat and other goats</t>
  </si>
  <si>
    <t>milk and angora goats</t>
  </si>
  <si>
    <r>
      <t>mean, 10</t>
    </r>
    <r>
      <rPr>
        <vertAlign val="superscript"/>
        <sz val="12"/>
        <rFont val="Helvetica"/>
      </rPr>
      <t>6</t>
    </r>
    <r>
      <rPr>
        <sz val="12"/>
        <rFont val="Helvetica"/>
      </rPr>
      <t xml:space="preserve"> lb in DM</t>
    </r>
  </si>
  <si>
    <r>
      <t>mean, 10</t>
    </r>
    <r>
      <rPr>
        <vertAlign val="superscript"/>
        <sz val="12"/>
        <rFont val="Helvetica"/>
      </rPr>
      <t>6</t>
    </r>
    <r>
      <rPr>
        <sz val="12"/>
        <rFont val="Helvetica"/>
      </rPr>
      <t xml:space="preserve"> lb in DM (88%)</t>
    </r>
  </si>
  <si>
    <t>sum</t>
  </si>
  <si>
    <t xml:space="preserve">this means hominy feed, oat millfeeds, and screenings, the mean of items </t>
    <phoneticPr fontId="14" type="noConversion"/>
  </si>
  <si>
    <t>Misc byproduct feeds</t>
    <phoneticPr fontId="14" type="noConversion"/>
  </si>
  <si>
    <t>Misc byproduct feeds</t>
    <phoneticPr fontId="14" type="noConversion"/>
  </si>
  <si>
    <t>Supply</t>
  </si>
  <si>
    <t>mean</t>
    <phoneticPr fontId="14" type="noConversion"/>
  </si>
  <si>
    <t xml:space="preserve"> Cattle Inventory'!A1</t>
  </si>
  <si>
    <t>Corn gluten feed and meal</t>
  </si>
  <si>
    <r>
      <t>mean, 10</t>
    </r>
    <r>
      <rPr>
        <vertAlign val="superscript"/>
        <sz val="12"/>
        <rFont val="Helvetica"/>
      </rPr>
      <t>6</t>
    </r>
    <r>
      <rPr>
        <sz val="12"/>
        <rFont val="Helvetica"/>
      </rPr>
      <t xml:space="preserve"> bu</t>
    </r>
    <phoneticPr fontId="14" type="noConversion"/>
  </si>
  <si>
    <r>
      <t>mean, 10</t>
    </r>
    <r>
      <rPr>
        <vertAlign val="superscript"/>
        <sz val="12"/>
        <rFont val="Helvetica"/>
      </rPr>
      <t>6</t>
    </r>
    <r>
      <rPr>
        <sz val="12"/>
        <rFont val="Helvetica"/>
      </rPr>
      <t xml:space="preserve"> lb</t>
    </r>
    <phoneticPr fontId="14" type="noConversion"/>
  </si>
  <si>
    <r>
      <t>std, 10</t>
    </r>
    <r>
      <rPr>
        <vertAlign val="superscript"/>
        <sz val="12"/>
        <rFont val="Helvetica"/>
      </rPr>
      <t>6</t>
    </r>
    <r>
      <rPr>
        <sz val="12"/>
        <rFont val="Helvetica"/>
      </rPr>
      <t xml:space="preserve"> bu</t>
    </r>
    <phoneticPr fontId="14" type="noConversion"/>
  </si>
  <si>
    <t>combined stdev</t>
  </si>
  <si>
    <t>total</t>
    <phoneticPr fontId="3" type="noConversion"/>
  </si>
  <si>
    <t>beef</t>
    <phoneticPr fontId="3" type="noConversion"/>
  </si>
  <si>
    <t>non-cow</t>
    <phoneticPr fontId="3" type="noConversion"/>
  </si>
  <si>
    <t>cattle</t>
    <phoneticPr fontId="3" type="noConversion"/>
  </si>
  <si>
    <t>Source:  NASS/Cattle</t>
  </si>
  <si>
    <t>Jan</t>
    <phoneticPr fontId="3" type="noConversion"/>
  </si>
  <si>
    <t>Jul</t>
    <phoneticPr fontId="3" type="noConversion"/>
  </si>
  <si>
    <t>AVERAGE</t>
    <phoneticPr fontId="3" type="noConversion"/>
  </si>
  <si>
    <t>mean</t>
    <phoneticPr fontId="3" type="noConversion"/>
  </si>
  <si>
    <t>July 1 Cattle Inventory by Class</t>
  </si>
  <si>
    <t>Jul-Dec Calf Crop</t>
  </si>
  <si>
    <t>Data contact: Ronald Gustafson/RONALDG@ers.usda.gov</t>
  </si>
  <si>
    <t>Cattle Inventory</t>
  </si>
  <si>
    <r>
      <t>mean inventory
(10</t>
    </r>
    <r>
      <rPr>
        <b/>
        <vertAlign val="superscript"/>
        <sz val="10"/>
        <rFont val="Arial"/>
        <family val="2"/>
      </rPr>
      <t>6</t>
    </r>
    <r>
      <rPr>
        <b/>
        <sz val="10"/>
        <rFont val="Arial"/>
        <family val="2"/>
      </rPr>
      <t xml:space="preserve"> live heads)</t>
    </r>
  </si>
  <si>
    <t>meat layers</t>
  </si>
  <si>
    <t>Main Feed Needs &amp; Partitioning'!J1</t>
  </si>
  <si>
    <t>livestock and poultry inventory - general</t>
  </si>
  <si>
    <t>overall DM feedstuff (10^6 lb)</t>
  </si>
  <si>
    <t>other</t>
  </si>
  <si>
    <t>total processed roughage</t>
  </si>
  <si>
    <t>http://www.nass.usda.gov/Publications/Ag_Statistics/2011/index.asp</t>
  </si>
  <si>
    <t>dairy bulls</t>
    <phoneticPr fontId="14" type="noConversion"/>
  </si>
  <si>
    <t>laying hen annual feed needs</t>
  </si>
  <si>
    <t>Yield, 
all hay 2/
(tons per acre)</t>
  </si>
  <si>
    <t>assuming 3700-3900 kcal/kg for (vaguely) feathermeal,  fish byproducts, , brewers grains, bloodmeal, etc.</t>
    <phoneticPr fontId="14" type="noConversion"/>
  </si>
  <si>
    <t>stocks</t>
  </si>
  <si>
    <t>turkey feed needs</t>
  </si>
  <si>
    <t>broiler feed needs</t>
  </si>
  <si>
    <t>lbs DM feed / lb slaughter mass</t>
  </si>
  <si>
    <t>lbs DM feed per slaughter lb</t>
  </si>
  <si>
    <t xml:space="preserve">above are the p = </t>
  </si>
  <si>
    <t>or</t>
  </si>
  <si>
    <t xml:space="preserve"> confidence bounds</t>
  </si>
  <si>
    <t>high</t>
    <phoneticPr fontId="14" type="noConversion"/>
  </si>
  <si>
    <t>std</t>
    <phoneticPr fontId="14" type="noConversion"/>
  </si>
  <si>
    <t>goats</t>
  </si>
  <si>
    <t>Table 3--Feed grains (corn, sorghum, barley, and oats): Supply and disappearance (million metric tons)</t>
  </si>
  <si>
    <t>low</t>
    <phoneticPr fontId="14" type="noConversion"/>
  </si>
  <si>
    <t>high</t>
    <phoneticPr fontId="14" type="noConversion"/>
  </si>
  <si>
    <t>broilers</t>
  </si>
  <si>
    <t>eggs</t>
  </si>
  <si>
    <t>dairy</t>
  </si>
  <si>
    <t>others</t>
  </si>
  <si>
    <t>Main Feed Needs &amp; Partitioning'!A1</t>
  </si>
  <si>
    <t>Main Feed Needs &amp; Partitioning'!W1</t>
  </si>
  <si>
    <t xml:space="preserve">Livestock and poultry live and dressed weights </t>
  </si>
  <si>
    <t>SlaughterWeights!A1</t>
  </si>
  <si>
    <t>Goats inventory, slaughter head count and slaughter weight</t>
  </si>
  <si>
    <t>Livestock and poultry slaughter head count</t>
  </si>
  <si>
    <t>Goats!A1</t>
  </si>
  <si>
    <t>Uncertenty calculations</t>
  </si>
  <si>
    <r>
      <t xml:space="preserve">lb per head, final </t>
    </r>
    <r>
      <rPr>
        <b/>
        <vertAlign val="superscript"/>
        <sz val="10"/>
        <rFont val="Arial"/>
        <family val="2"/>
      </rPr>
      <t>8</t>
    </r>
    <r>
      <rPr>
        <b/>
        <sz val="10"/>
        <rFont val="Arial"/>
        <family val="2"/>
      </rPr>
      <t xml:space="preserve">
(slaughter/ average)</t>
    </r>
  </si>
  <si>
    <t>SlaughterHeadCount!A1</t>
  </si>
  <si>
    <r>
      <t>10</t>
    </r>
    <r>
      <rPr>
        <b/>
        <vertAlign val="superscript"/>
        <sz val="10"/>
        <rFont val="Helvetica"/>
      </rPr>
      <t>6</t>
    </r>
    <r>
      <rPr>
        <b/>
        <sz val="10"/>
        <rFont val="Helvetica"/>
      </rPr>
      <t xml:space="preserve"> lb DM yr</t>
    </r>
    <r>
      <rPr>
        <b/>
        <vertAlign val="superscript"/>
        <sz val="10"/>
        <rFont val="Helvetica"/>
      </rPr>
      <t>-1</t>
    </r>
    <r>
      <rPr>
        <b/>
        <sz val="10"/>
        <rFont val="Helvetica"/>
      </rPr>
      <t xml:space="preserve"> consumed feed</t>
    </r>
    <phoneticPr fontId="14" type="noConversion"/>
  </si>
  <si>
    <t>total</t>
    <phoneticPr fontId="14" type="noConversion"/>
  </si>
  <si>
    <t>conc.</t>
    <phoneticPr fontId="14" type="noConversion"/>
  </si>
  <si>
    <t>pasture</t>
    <phoneticPr fontId="14" type="noConversion"/>
  </si>
  <si>
    <r>
      <t>10</t>
    </r>
    <r>
      <rPr>
        <b/>
        <vertAlign val="superscript"/>
        <sz val="10"/>
        <rFont val="Helvetica"/>
      </rPr>
      <t xml:space="preserve">6 </t>
    </r>
    <r>
      <rPr>
        <b/>
        <sz val="10"/>
        <rFont val="Helvetica"/>
      </rPr>
      <t>lb DM yr</t>
    </r>
    <r>
      <rPr>
        <b/>
        <vertAlign val="superscript"/>
        <sz val="10"/>
        <rFont val="Helvetica"/>
      </rPr>
      <t>-1</t>
    </r>
    <phoneticPr fontId="14" type="noConversion"/>
  </si>
  <si>
    <t>stdev</t>
    <phoneticPr fontId="14" type="noConversion"/>
  </si>
  <si>
    <t>Feedstuff (based on USDA data)</t>
  </si>
  <si>
    <t>1/ June-May. Latest data may be preliminary or projected.
2/ Includes flour and selected other products expressed in grain-equivalent bushels.
3/ Totals may not add due to rounding.
Source: USDA, World Agricultural Outlook Board, World Agricultural Supply and Demand Estimates and supporting materials.</t>
  </si>
  <si>
    <t>Mkt year</t>
    <phoneticPr fontId="14" type="noConversion"/>
  </si>
  <si>
    <t>mean</t>
    <phoneticPr fontId="14" type="noConversion"/>
  </si>
  <si>
    <t>low</t>
    <phoneticPr fontId="14" type="noConversion"/>
  </si>
  <si>
    <t>Table of content</t>
  </si>
  <si>
    <t>Total Feed Needs and Partitioning</t>
  </si>
  <si>
    <t xml:space="preserve">table 1 - </t>
  </si>
  <si>
    <t>table 2 -</t>
  </si>
  <si>
    <t xml:space="preserve">table 3 - </t>
  </si>
  <si>
    <t>Consumption of feedstuff by animal category</t>
  </si>
  <si>
    <t>Final partitioning of feedstuff among major livestock categories</t>
  </si>
  <si>
    <t>table 1- feed demand per animal category</t>
  </si>
  <si>
    <t>Total feed needs per animal category and percent of total diet</t>
  </si>
  <si>
    <r>
      <t>sorghum silage</t>
    </r>
    <r>
      <rPr>
        <sz val="12"/>
        <rFont val="Helvetica"/>
      </rPr>
      <t xml:space="preserve"> - USDA, agriculture statistics 2011, table 1-62</t>
    </r>
  </si>
  <si>
    <t xml:space="preserve">DM content for silage - http://www.nap.edu/openbook.php?record_id=1713&amp;page=22 </t>
  </si>
  <si>
    <t>average</t>
  </si>
  <si>
    <t>DM content</t>
  </si>
  <si>
    <r>
      <t xml:space="preserve">Sources: USDA, National Agricultural Statistics Service, </t>
    </r>
    <r>
      <rPr>
        <i/>
        <sz val="12"/>
        <rFont val="Helvetica"/>
      </rPr>
      <t>Crop Production</t>
    </r>
    <r>
      <rPr>
        <sz val="12"/>
        <rFont val="Helvetica"/>
      </rPr>
      <t xml:space="preserve">, </t>
    </r>
    <r>
      <rPr>
        <i/>
        <sz val="12"/>
        <rFont val="Helvetica"/>
      </rPr>
      <t>Grain Stocks</t>
    </r>
    <r>
      <rPr>
        <sz val="12"/>
        <rFont val="Helvetica"/>
      </rPr>
      <t xml:space="preserve"> and </t>
    </r>
    <r>
      <rPr>
        <i/>
        <sz val="12"/>
        <rFont val="Helvetica"/>
      </rPr>
      <t>Agricultural Prices</t>
    </r>
    <r>
      <rPr>
        <sz val="12"/>
        <rFont val="Helvetica"/>
      </rPr>
      <t>, and USDA, Foreign Agricultural Service,</t>
    </r>
    <r>
      <rPr>
        <i/>
        <sz val="8"/>
        <rFont val="Helvetica"/>
      </rPr>
      <t/>
    </r>
  </si>
  <si>
    <t>Wheat millfeeds</t>
  </si>
  <si>
    <r>
      <t>low, 10</t>
    </r>
    <r>
      <rPr>
        <vertAlign val="superscript"/>
        <sz val="12"/>
        <rFont val="Helvetica"/>
      </rPr>
      <t>6</t>
    </r>
    <r>
      <rPr>
        <sz val="12"/>
        <rFont val="Helvetica"/>
      </rPr>
      <t xml:space="preserve"> lb</t>
    </r>
    <phoneticPr fontId="14" type="noConversion"/>
  </si>
  <si>
    <t>MY Sep-Aug</t>
  </si>
  <si>
    <t>2000/01</t>
  </si>
  <si>
    <t>2001/02</t>
  </si>
  <si>
    <t>Food, alcohol, and industrial use</t>
  </si>
  <si>
    <t>Seed use</t>
  </si>
  <si>
    <t xml:space="preserve">beef cows </t>
  </si>
  <si>
    <t>poultry</t>
  </si>
  <si>
    <r>
      <t>head</t>
    </r>
    <r>
      <rPr>
        <b/>
        <sz val="10"/>
        <rFont val="Helvetica"/>
      </rPr>
      <t xml:space="preserve"> x</t>
    </r>
    <r>
      <rPr>
        <b/>
        <sz val="10"/>
        <rFont val="Arial"/>
        <family val="2"/>
      </rPr>
      <t xml:space="preserve"> day</t>
    </r>
    <phoneticPr fontId="14" type="noConversion"/>
  </si>
  <si>
    <t>Fishmeal and solubles</t>
  </si>
  <si>
    <t>Milk products</t>
  </si>
  <si>
    <t>from the NEW Feed Grains Data: Yearbook Tables, tab. 29.</t>
    <phoneticPr fontId="14" type="noConversion"/>
  </si>
  <si>
    <t>grain+soy+wheat</t>
  </si>
  <si>
    <t xml:space="preserve"> total</t>
  </si>
  <si>
    <t xml:space="preserve">table 3 - final partitioning of feedstuff among </t>
  </si>
  <si>
    <t>major livestock categories</t>
  </si>
  <si>
    <t xml:space="preserve">table 2 - consumption of feedstuff by animal </t>
  </si>
  <si>
    <t>category  total and precent of total</t>
  </si>
  <si>
    <t>Main Uncertainty'!A1</t>
  </si>
  <si>
    <t>SlaughterHeadCount!A132</t>
  </si>
  <si>
    <t>slaughtered
 lb</t>
  </si>
  <si>
    <t>Table 103--U.S. Cattle Inventory, January 1 and July 1</t>
  </si>
  <si>
    <t>January 1 Cattle Inventory by Class</t>
  </si>
  <si>
    <t>Total     cattle</t>
  </si>
  <si>
    <t>Milk      cows</t>
  </si>
  <si>
    <t>Dairy   heifers</t>
  </si>
  <si>
    <t>Beef      cows</t>
  </si>
  <si>
    <t>Beef   heifers</t>
  </si>
  <si>
    <t>Other   heifers</t>
  </si>
  <si>
    <t>Steers   &gt;500 lb.</t>
  </si>
  <si>
    <t>Bulls</t>
  </si>
  <si>
    <t>Annual Calf Crop</t>
  </si>
  <si>
    <t>1,000 head</t>
  </si>
  <si>
    <t>from the oil crops yearbook, http://usda.mannlib.cornell.edu/MannUsda/viewDocumentInfo.do?documentID=1290</t>
  </si>
  <si>
    <t>from the wheat yearbook tables, http://www.ers.usda.gov/data/wheat/YBtable05.asp</t>
  </si>
  <si>
    <t>from http://www.ers.usda.gov/data/feedgrains/CustomQuery/Default.aspx#ResultsPanel, choosing "byproduct feed", 2006-10, United States, annual, and "feed and residual use" in 1e3 metric tons</t>
  </si>
  <si>
    <t>USDA's corn equivalent range</t>
  </si>
  <si>
    <t>lb/head*yr</t>
  </si>
  <si>
    <t>inventory 2'!A1</t>
  </si>
  <si>
    <t>Animal inventory, Slaughter count and Slaughter weight (based on USDA data)</t>
  </si>
  <si>
    <t>total pasture</t>
  </si>
  <si>
    <r>
      <t>10</t>
    </r>
    <r>
      <rPr>
        <b/>
        <vertAlign val="superscript"/>
        <sz val="10"/>
        <rFont val="Arial"/>
        <family val="2"/>
      </rPr>
      <t xml:space="preserve">6 </t>
    </r>
    <r>
      <rPr>
        <b/>
        <sz val="10"/>
        <rFont val="Arial"/>
        <family val="2"/>
      </rPr>
      <t>lb DM yr</t>
    </r>
    <r>
      <rPr>
        <b/>
        <vertAlign val="superscript"/>
        <sz val="10"/>
        <rFont val="Arial"/>
        <family val="2"/>
      </rPr>
      <t>-1</t>
    </r>
  </si>
  <si>
    <t xml:space="preserve"> </t>
  </si>
  <si>
    <t>Note that while the values in the manuscript and supplementary appear in SI units,  the calculations presented here are in pounds (lbs) conforming to USDA nomenclature from which most data was derived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</si>
</sst>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0.00000"/>
    <numFmt numFmtId="165" formatCode="0.0"/>
    <numFmt numFmtId="166" formatCode="0.0%"/>
    <numFmt numFmtId="167" formatCode="#,##0.000"/>
    <numFmt numFmtId="168" formatCode="_(* #,##0_);_(* \(#,##0\);_(* &quot;-&quot;??_);_(@_)"/>
    <numFmt numFmtId="169" formatCode="[$-1010409]#,##0;\-#,##0"/>
    <numFmt numFmtId="170" formatCode="[$-1010409]#,##0.00;\-#,##0.00"/>
    <numFmt numFmtId="171" formatCode="#,##0_______)"/>
    <numFmt numFmtId="172" formatCode="_(* #,##0.00000_);_(* \(#,##0.00000\);_(* &quot;-&quot;??_);_(@_)"/>
    <numFmt numFmtId="173" formatCode="[$-1010409]#,###.#"/>
    <numFmt numFmtId="174" formatCode="0.000"/>
    <numFmt numFmtId="175" formatCode="yyyy"/>
    <numFmt numFmtId="176" formatCode="_(* #,##0.000_);_(* \(#,##0.000\);_(* &quot;-&quot;??_);_(@_)"/>
  </numFmts>
  <fonts count="102">
    <font>
      <sz val="12"/>
      <name val="Helvetica"/>
    </font>
    <font>
      <b/>
      <sz val="10"/>
      <name val="Verdana"/>
    </font>
    <font>
      <sz val="10"/>
      <name val="Arial"/>
      <family val="2"/>
    </font>
    <font>
      <sz val="14"/>
      <name val="Arial"/>
      <family val="2"/>
    </font>
    <font>
      <sz val="10"/>
      <name val="Arial"/>
      <family val="2"/>
    </font>
    <font>
      <u/>
      <sz val="10"/>
      <name val="Arial"/>
      <family val="2"/>
    </font>
    <font>
      <sz val="12"/>
      <name val="Helvetica"/>
    </font>
    <font>
      <sz val="11"/>
      <color indexed="60"/>
      <name val="Calibri"/>
      <family val="2"/>
    </font>
    <font>
      <b/>
      <sz val="14"/>
      <name val="Arial"/>
      <family val="2"/>
    </font>
    <font>
      <u/>
      <sz val="10"/>
      <color indexed="12"/>
      <name val="Arial"/>
      <family val="2"/>
    </font>
    <font>
      <b/>
      <sz val="9"/>
      <color indexed="81"/>
      <name val="Tahoma"/>
      <family val="2"/>
    </font>
    <font>
      <sz val="9"/>
      <color indexed="81"/>
      <name val="Tahoma"/>
      <family val="2"/>
    </font>
    <font>
      <sz val="10"/>
      <name val="Helvetica"/>
    </font>
    <font>
      <b/>
      <sz val="12"/>
      <name val="Helvetica"/>
    </font>
    <font>
      <sz val="8"/>
      <name val="Verdana"/>
    </font>
    <font>
      <sz val="14"/>
      <name val="Helvetica"/>
    </font>
    <font>
      <b/>
      <sz val="14"/>
      <name val="Helvetica"/>
    </font>
    <font>
      <b/>
      <sz val="10"/>
      <name val="Helvetica"/>
    </font>
    <font>
      <sz val="12"/>
      <name val="Arial"/>
      <family val="2"/>
    </font>
    <font>
      <sz val="11"/>
      <name val="Helvetica"/>
    </font>
    <font>
      <b/>
      <vertAlign val="superscript"/>
      <sz val="14"/>
      <name val="Arial"/>
      <family val="2"/>
    </font>
    <font>
      <b/>
      <sz val="15"/>
      <color indexed="56"/>
      <name val="Calibri"/>
      <family val="2"/>
    </font>
    <font>
      <b/>
      <sz val="11"/>
      <color indexed="56"/>
      <name val="Calibri"/>
      <family val="2"/>
    </font>
    <font>
      <b/>
      <sz val="18"/>
      <color indexed="56"/>
      <name val="Cambria"/>
      <family val="2"/>
    </font>
    <font>
      <sz val="9"/>
      <color indexed="81"/>
      <name val="Helvetica"/>
    </font>
    <font>
      <b/>
      <sz val="12"/>
      <color indexed="81"/>
      <name val="Helvetica"/>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Arial"/>
      <family val="2"/>
    </font>
    <font>
      <b/>
      <sz val="9"/>
      <color indexed="81"/>
      <name val="Helvetica"/>
    </font>
    <font>
      <sz val="11"/>
      <color indexed="8"/>
      <name val="Arial"/>
      <family val="2"/>
    </font>
    <font>
      <sz val="12"/>
      <color indexed="8"/>
      <name val="Arial"/>
      <family val="2"/>
    </font>
    <font>
      <b/>
      <sz val="12"/>
      <color indexed="8"/>
      <name val="Arial"/>
      <family val="2"/>
    </font>
    <font>
      <b/>
      <vertAlign val="superscript"/>
      <sz val="12"/>
      <color indexed="8"/>
      <name val="Arial"/>
      <family val="2"/>
    </font>
    <font>
      <sz val="8"/>
      <color indexed="8"/>
      <name val="Arial"/>
      <family val="2"/>
    </font>
    <font>
      <i/>
      <sz val="8"/>
      <color indexed="8"/>
      <name val="Arial"/>
      <family val="2"/>
    </font>
    <font>
      <vertAlign val="superscript"/>
      <sz val="12"/>
      <name val="Helvetica"/>
    </font>
    <font>
      <i/>
      <sz val="8"/>
      <name val="Helvetica"/>
    </font>
    <font>
      <i/>
      <sz val="12"/>
      <name val="Helvetica"/>
    </font>
    <font>
      <b/>
      <sz val="12"/>
      <color indexed="81"/>
      <name val="Tahoma"/>
      <family val="2"/>
    </font>
    <font>
      <b/>
      <sz val="11"/>
      <name val="Helvetica"/>
    </font>
    <font>
      <sz val="14"/>
      <color indexed="8"/>
      <name val="Arial"/>
      <family val="2"/>
    </font>
    <font>
      <sz val="14"/>
      <name val="Arial"/>
      <family val="2"/>
    </font>
    <font>
      <b/>
      <sz val="12"/>
      <color theme="1"/>
      <name val="Calibri"/>
      <family val="2"/>
      <scheme val="minor"/>
    </font>
    <font>
      <b/>
      <i/>
      <sz val="11"/>
      <color theme="1"/>
      <name val="Calibri"/>
      <family val="2"/>
      <scheme val="minor"/>
    </font>
    <font>
      <b/>
      <sz val="11"/>
      <color theme="1"/>
      <name val="Calibri"/>
      <family val="2"/>
      <scheme val="minor"/>
    </font>
    <font>
      <u/>
      <sz val="11"/>
      <color theme="1"/>
      <name val="Calibri"/>
      <family val="2"/>
      <scheme val="minor"/>
    </font>
    <font>
      <sz val="12"/>
      <color theme="1"/>
      <name val="Calibri"/>
      <family val="2"/>
      <scheme val="minor"/>
    </font>
    <font>
      <sz val="14"/>
      <name val="Arial"/>
      <family val="2"/>
    </font>
    <font>
      <b/>
      <sz val="10"/>
      <name val="Arial"/>
      <family val="2"/>
    </font>
    <font>
      <b/>
      <vertAlign val="superscript"/>
      <sz val="10"/>
      <name val="Helvetica"/>
    </font>
    <font>
      <b/>
      <vertAlign val="superscript"/>
      <sz val="10"/>
      <name val="Arial"/>
      <family val="2"/>
    </font>
    <font>
      <b/>
      <sz val="10"/>
      <name val="Verdana"/>
    </font>
    <font>
      <sz val="10"/>
      <name val="Verdana"/>
    </font>
    <font>
      <sz val="10"/>
      <color indexed="10"/>
      <name val="Helvetica"/>
    </font>
    <font>
      <i/>
      <sz val="10"/>
      <color indexed="10"/>
      <name val="Arial"/>
      <family val="2"/>
    </font>
    <font>
      <sz val="10"/>
      <color indexed="10"/>
      <name val="Arial"/>
      <family val="2"/>
    </font>
    <font>
      <sz val="10"/>
      <color indexed="8"/>
      <name val="Arial"/>
      <family val="2"/>
    </font>
    <font>
      <b/>
      <sz val="10"/>
      <color indexed="18"/>
      <name val="Arial"/>
      <family val="2"/>
    </font>
    <font>
      <b/>
      <sz val="10"/>
      <color indexed="18"/>
      <name val="Helvetica"/>
    </font>
    <font>
      <b/>
      <u/>
      <sz val="10"/>
      <name val="Helvetica"/>
    </font>
    <font>
      <b/>
      <sz val="8"/>
      <name val="Arial"/>
      <family val="2"/>
    </font>
    <font>
      <b/>
      <sz val="11"/>
      <name val="Arial"/>
      <family val="2"/>
    </font>
    <font>
      <sz val="11"/>
      <name val="Arial"/>
      <family val="2"/>
    </font>
    <font>
      <b/>
      <vertAlign val="superscript"/>
      <sz val="11"/>
      <name val="Arial"/>
      <family val="2"/>
    </font>
    <font>
      <b/>
      <vertAlign val="superscript"/>
      <sz val="10"/>
      <name val="Verdana"/>
      <family val="2"/>
    </font>
    <font>
      <sz val="8"/>
      <color indexed="8"/>
      <name val="Arial"/>
      <family val="2"/>
    </font>
    <font>
      <b/>
      <sz val="12"/>
      <color indexed="8"/>
      <name val="Arial"/>
      <family val="2"/>
    </font>
    <font>
      <sz val="12"/>
      <color indexed="8"/>
      <name val="Arial"/>
      <family val="2"/>
    </font>
    <font>
      <b/>
      <sz val="11"/>
      <color indexed="8"/>
      <name val="Arial"/>
      <family val="2"/>
    </font>
    <font>
      <sz val="11"/>
      <color indexed="8"/>
      <name val="Arial"/>
      <family val="2"/>
    </font>
    <font>
      <b/>
      <vertAlign val="superscript"/>
      <sz val="11"/>
      <color indexed="8"/>
      <name val="Arial"/>
      <family val="2"/>
    </font>
    <font>
      <b/>
      <sz val="12"/>
      <color indexed="81"/>
      <name val="Calibri"/>
      <family val="2"/>
    </font>
    <font>
      <b/>
      <sz val="14"/>
      <color indexed="8"/>
      <name val="Arial"/>
      <family val="2"/>
    </font>
    <font>
      <sz val="10"/>
      <color indexed="8"/>
      <name val="Arial"/>
      <family val="2"/>
    </font>
    <font>
      <b/>
      <sz val="12"/>
      <name val="Arial"/>
      <family val="2"/>
    </font>
    <font>
      <sz val="14"/>
      <name val="Arial"/>
      <family val="2"/>
    </font>
    <font>
      <b/>
      <sz val="11"/>
      <color indexed="81"/>
      <name val="Helvica"/>
    </font>
    <font>
      <b/>
      <sz val="12"/>
      <name val="Verdana"/>
      <family val="2"/>
    </font>
    <font>
      <b/>
      <u/>
      <sz val="12"/>
      <name val="Helvetica"/>
    </font>
    <font>
      <b/>
      <sz val="10"/>
      <color indexed="8"/>
      <name val="Arial"/>
      <family val="2"/>
    </font>
    <font>
      <i/>
      <sz val="10"/>
      <color indexed="8"/>
      <name val="Arial"/>
      <family val="2"/>
    </font>
    <font>
      <b/>
      <sz val="10"/>
      <color theme="3"/>
      <name val="Arial"/>
      <family val="2"/>
    </font>
    <font>
      <b/>
      <u/>
      <sz val="10"/>
      <color theme="3"/>
      <name val="Arial"/>
      <family val="2"/>
    </font>
    <font>
      <b/>
      <sz val="10"/>
      <name val="Verdana"/>
      <family val="2"/>
    </font>
    <font>
      <sz val="9"/>
      <color indexed="81"/>
      <name val="Tahoma"/>
      <charset val="1"/>
    </font>
    <font>
      <b/>
      <sz val="9"/>
      <color indexed="81"/>
      <name val="Tahoma"/>
      <charset val="1"/>
    </font>
    <font>
      <b/>
      <u/>
      <sz val="12"/>
      <color theme="3" tint="0.39997558519241921"/>
      <name val="Helvetica"/>
    </font>
    <font>
      <b/>
      <u/>
      <sz val="12"/>
      <color rgb="FFC00000"/>
      <name val="Helvetica"/>
    </font>
    <font>
      <sz val="12"/>
      <color rgb="FFC00000"/>
      <name val="Helvetica"/>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s>
  <borders count="10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style="thin">
        <color indexed="8"/>
      </bottom>
      <diagonal/>
    </border>
    <border>
      <left style="thin">
        <color indexed="8"/>
      </left>
      <right style="thin">
        <color indexed="8"/>
      </right>
      <top style="thin">
        <color auto="1"/>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auto="1"/>
      </top>
      <bottom/>
      <diagonal/>
    </border>
    <border>
      <left style="thin">
        <color indexed="8"/>
      </left>
      <right style="thin">
        <color indexed="8"/>
      </right>
      <top style="thin">
        <color indexed="8"/>
      </top>
      <bottom/>
      <diagonal/>
    </border>
    <border>
      <left/>
      <right style="thin">
        <color auto="1"/>
      </right>
      <top/>
      <bottom style="medium">
        <color auto="1"/>
      </bottom>
      <diagonal/>
    </border>
    <border>
      <left style="thin">
        <color auto="1"/>
      </left>
      <right/>
      <top style="thin">
        <color indexed="8"/>
      </top>
      <bottom style="thin">
        <color indexed="8"/>
      </bottom>
      <diagonal/>
    </border>
    <border>
      <left/>
      <right style="thin">
        <color auto="1"/>
      </right>
      <top style="thin">
        <color indexed="8"/>
      </top>
      <bottom style="thin">
        <color indexed="8"/>
      </bottom>
      <diagonal/>
    </border>
    <border>
      <left/>
      <right/>
      <top style="medium">
        <color auto="1"/>
      </top>
      <bottom/>
      <diagonal/>
    </border>
    <border>
      <left/>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style="thin">
        <color auto="1"/>
      </top>
      <bottom/>
      <diagonal/>
    </border>
    <border>
      <left style="medium">
        <color indexed="8"/>
      </left>
      <right style="medium">
        <color indexed="8"/>
      </right>
      <top style="medium">
        <color indexed="8"/>
      </top>
      <bottom/>
      <diagonal/>
    </border>
    <border>
      <left/>
      <right/>
      <top style="medium">
        <color indexed="8"/>
      </top>
      <bottom/>
      <diagonal/>
    </border>
    <border>
      <left/>
      <right style="medium">
        <color auto="1"/>
      </right>
      <top style="thin">
        <color auto="1"/>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right style="medium">
        <color auto="1"/>
      </right>
      <top style="thin">
        <color auto="1"/>
      </top>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diagonal/>
    </border>
    <border>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indexed="8"/>
      </top>
      <bottom style="medium">
        <color indexed="8"/>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thin">
        <color auto="1"/>
      </left>
      <right style="thin">
        <color indexed="8"/>
      </right>
      <top/>
      <bottom/>
      <diagonal/>
    </border>
    <border>
      <left style="thin">
        <color indexed="8"/>
      </left>
      <right/>
      <top/>
      <bottom/>
      <diagonal/>
    </border>
    <border>
      <left style="thin">
        <color auto="1"/>
      </left>
      <right style="thin">
        <color indexed="8"/>
      </right>
      <top style="thin">
        <color auto="1"/>
      </top>
      <bottom/>
      <diagonal/>
    </border>
    <border>
      <left style="thin">
        <color indexed="8"/>
      </left>
      <right/>
      <top style="thin">
        <color auto="1"/>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medium">
        <color auto="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auto="1"/>
      </right>
      <top style="thin">
        <color auto="1"/>
      </top>
      <bottom/>
      <diagonal/>
    </border>
  </borders>
  <cellStyleXfs count="52">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24" applyNumberFormat="0" applyAlignment="0" applyProtection="0"/>
    <xf numFmtId="0" fontId="30" fillId="21" borderId="25" applyNumberFormat="0" applyAlignment="0" applyProtection="0"/>
    <xf numFmtId="43" fontId="2"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21" fillId="0" borderId="26" applyNumberFormat="0" applyFill="0" applyAlignment="0" applyProtection="0"/>
    <xf numFmtId="0" fontId="33" fillId="0" borderId="27" applyNumberFormat="0" applyFill="0" applyAlignment="0" applyProtection="0"/>
    <xf numFmtId="0" fontId="22" fillId="0" borderId="28" applyNumberFormat="0" applyFill="0" applyAlignment="0" applyProtection="0"/>
    <xf numFmtId="0" fontId="22" fillId="0" borderId="0" applyNumberFormat="0" applyFill="0" applyBorder="0" applyAlignment="0" applyProtection="0"/>
    <xf numFmtId="0" fontId="9" fillId="0" borderId="0" applyNumberFormat="0" applyFill="0" applyBorder="0" applyAlignment="0" applyProtection="0">
      <alignment vertical="top"/>
      <protection locked="0"/>
    </xf>
    <xf numFmtId="0" fontId="34" fillId="7" borderId="24" applyNumberFormat="0" applyAlignment="0" applyProtection="0"/>
    <xf numFmtId="0" fontId="35" fillId="0" borderId="29" applyNumberFormat="0" applyFill="0" applyAlignment="0" applyProtection="0"/>
    <xf numFmtId="0" fontId="36" fillId="22" borderId="0" applyNumberFormat="0" applyBorder="0" applyAlignment="0" applyProtection="0"/>
    <xf numFmtId="0" fontId="4" fillId="0" borderId="0">
      <alignment vertical="center"/>
    </xf>
    <xf numFmtId="0" fontId="40" fillId="0" borderId="0">
      <alignment wrapText="1"/>
    </xf>
    <xf numFmtId="0" fontId="6" fillId="23" borderId="30" applyNumberFormat="0" applyFont="0" applyAlignment="0" applyProtection="0"/>
    <xf numFmtId="0" fontId="37" fillId="20" borderId="31"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38" fillId="0" borderId="32" applyNumberFormat="0" applyFill="0" applyAlignment="0" applyProtection="0"/>
    <xf numFmtId="0" fontId="39" fillId="0" borderId="0" applyNumberFormat="0" applyFill="0" applyBorder="0" applyAlignment="0" applyProtection="0"/>
    <xf numFmtId="0" fontId="7" fillId="22" borderId="0" applyNumberFormat="0" applyBorder="0" applyAlignment="0" applyProtection="0"/>
    <xf numFmtId="0" fontId="2" fillId="0" borderId="0">
      <alignment vertical="center"/>
    </xf>
    <xf numFmtId="0" fontId="2" fillId="0" borderId="0">
      <alignment wrapText="1"/>
    </xf>
    <xf numFmtId="0" fontId="2" fillId="0" borderId="0"/>
    <xf numFmtId="0" fontId="2" fillId="0" borderId="0"/>
  </cellStyleXfs>
  <cellXfs count="1214">
    <xf numFmtId="0" fontId="0" fillId="0" borderId="0" xfId="0"/>
    <xf numFmtId="0" fontId="5" fillId="0" borderId="0" xfId="35" applyFont="1" applyAlignment="1" applyProtection="1">
      <alignment vertical="center"/>
    </xf>
    <xf numFmtId="0" fontId="12" fillId="0" borderId="0" xfId="0" applyFont="1" applyAlignment="1"/>
    <xf numFmtId="0" fontId="16" fillId="0" borderId="0" xfId="0" applyFont="1" applyAlignment="1">
      <alignment horizontal="left"/>
    </xf>
    <xf numFmtId="0" fontId="8" fillId="0" borderId="0" xfId="0" applyFont="1" applyAlignment="1">
      <alignment wrapText="1"/>
    </xf>
    <xf numFmtId="0" fontId="3" fillId="0" borderId="0" xfId="0" applyFont="1" applyAlignment="1">
      <alignment wrapText="1"/>
    </xf>
    <xf numFmtId="2" fontId="3" fillId="0" borderId="0" xfId="0" applyNumberFormat="1" applyFont="1" applyAlignment="1">
      <alignment wrapText="1"/>
    </xf>
    <xf numFmtId="0" fontId="3" fillId="0" borderId="0" xfId="0" applyFont="1"/>
    <xf numFmtId="0" fontId="3" fillId="0" borderId="5" xfId="0" applyFont="1" applyBorder="1"/>
    <xf numFmtId="0" fontId="8" fillId="0" borderId="0" xfId="0" applyFont="1" applyAlignment="1">
      <alignment horizontal="left"/>
    </xf>
    <xf numFmtId="0" fontId="18" fillId="0" borderId="0" xfId="0" applyFont="1"/>
    <xf numFmtId="0" fontId="15" fillId="0" borderId="0" xfId="0" applyFont="1"/>
    <xf numFmtId="0" fontId="43" fillId="0" borderId="33" xfId="0" applyFont="1" applyFill="1" applyBorder="1" applyAlignment="1">
      <alignment horizontal="right" wrapText="1"/>
    </xf>
    <xf numFmtId="169" fontId="43" fillId="0" borderId="0" xfId="0" applyNumberFormat="1" applyFont="1" applyFill="1" applyBorder="1" applyAlignment="1">
      <alignment horizontal="right" vertical="top" wrapText="1"/>
    </xf>
    <xf numFmtId="170" fontId="43" fillId="0" borderId="0" xfId="0" applyNumberFormat="1" applyFont="1" applyFill="1" applyBorder="1" applyAlignment="1">
      <alignment horizontal="right" vertical="top" wrapText="1"/>
    </xf>
    <xf numFmtId="169" fontId="43" fillId="0" borderId="22" xfId="0" applyNumberFormat="1" applyFont="1" applyFill="1" applyBorder="1" applyAlignment="1">
      <alignment horizontal="right" vertical="top" wrapText="1"/>
    </xf>
    <xf numFmtId="170" fontId="43" fillId="0" borderId="22" xfId="0" applyNumberFormat="1" applyFont="1" applyFill="1" applyBorder="1" applyAlignment="1">
      <alignment horizontal="right" vertical="top" wrapText="1"/>
    </xf>
    <xf numFmtId="0" fontId="43" fillId="0" borderId="40" xfId="0" applyFont="1" applyFill="1" applyBorder="1" applyAlignment="1">
      <alignment horizontal="left" wrapText="1"/>
    </xf>
    <xf numFmtId="0" fontId="43" fillId="0" borderId="41" xfId="0" applyFont="1" applyFill="1" applyBorder="1" applyAlignment="1">
      <alignment horizontal="right" wrapText="1"/>
    </xf>
    <xf numFmtId="0" fontId="43" fillId="0" borderId="8" xfId="0" applyFont="1" applyFill="1" applyBorder="1" applyAlignment="1">
      <alignment horizontal="left" vertical="top" wrapText="1"/>
    </xf>
    <xf numFmtId="170" fontId="43" fillId="0" borderId="9" xfId="0" applyNumberFormat="1" applyFont="1" applyFill="1" applyBorder="1" applyAlignment="1">
      <alignment horizontal="right" vertical="top" wrapText="1"/>
    </xf>
    <xf numFmtId="0" fontId="43" fillId="0" borderId="13" xfId="0" applyFont="1" applyFill="1" applyBorder="1" applyAlignment="1">
      <alignment horizontal="left" vertical="top" wrapText="1"/>
    </xf>
    <xf numFmtId="170" fontId="43" fillId="0" borderId="14" xfId="0" applyNumberFormat="1" applyFont="1" applyFill="1" applyBorder="1" applyAlignment="1">
      <alignment horizontal="right" vertical="top" wrapText="1"/>
    </xf>
    <xf numFmtId="169" fontId="0" fillId="0" borderId="5" xfId="0" applyNumberFormat="1" applyBorder="1"/>
    <xf numFmtId="169" fontId="0" fillId="0" borderId="12" xfId="0" applyNumberFormat="1" applyBorder="1"/>
    <xf numFmtId="0" fontId="44" fillId="0" borderId="23" xfId="0" applyFont="1" applyFill="1" applyBorder="1" applyAlignment="1">
      <alignment horizontal="right" wrapText="1"/>
    </xf>
    <xf numFmtId="169" fontId="0" fillId="0" borderId="1" xfId="0" applyNumberFormat="1" applyBorder="1"/>
    <xf numFmtId="169" fontId="0" fillId="0" borderId="0" xfId="0" applyNumberFormat="1" applyFill="1" applyBorder="1"/>
    <xf numFmtId="0" fontId="6" fillId="0" borderId="0" xfId="0" applyFont="1"/>
    <xf numFmtId="0" fontId="13" fillId="0" borderId="7" xfId="0" applyFont="1" applyBorder="1"/>
    <xf numFmtId="0" fontId="13" fillId="0" borderId="9" xfId="0" applyFont="1" applyBorder="1"/>
    <xf numFmtId="0" fontId="13" fillId="0" borderId="14" xfId="0" applyFont="1" applyBorder="1"/>
    <xf numFmtId="0" fontId="8" fillId="0" borderId="0" xfId="0" applyFont="1" applyBorder="1" applyAlignment="1">
      <alignment horizontal="center" vertical="center"/>
    </xf>
    <xf numFmtId="0" fontId="8" fillId="0" borderId="42" xfId="0" applyFont="1" applyBorder="1" applyAlignment="1">
      <alignment horizontal="center" vertical="center"/>
    </xf>
    <xf numFmtId="0" fontId="8" fillId="0" borderId="19" xfId="0" applyFont="1" applyBorder="1" applyAlignment="1">
      <alignment horizontal="center" vertical="center"/>
    </xf>
    <xf numFmtId="3" fontId="13" fillId="0" borderId="6" xfId="28" applyNumberFormat="1" applyFont="1" applyBorder="1"/>
    <xf numFmtId="3" fontId="13" fillId="0" borderId="8" xfId="28" applyNumberFormat="1" applyFont="1" applyBorder="1"/>
    <xf numFmtId="3" fontId="13" fillId="0" borderId="13" xfId="28" applyNumberFormat="1" applyFont="1" applyBorder="1"/>
    <xf numFmtId="3" fontId="8" fillId="0" borderId="11" xfId="28" applyNumberFormat="1" applyFont="1" applyBorder="1"/>
    <xf numFmtId="3" fontId="8" fillId="0" borderId="16" xfId="0" applyNumberFormat="1" applyFont="1" applyBorder="1"/>
    <xf numFmtId="3" fontId="8" fillId="0" borderId="20" xfId="0" applyNumberFormat="1" applyFont="1" applyBorder="1"/>
    <xf numFmtId="0" fontId="3" fillId="0" borderId="0" xfId="0" applyFont="1" applyBorder="1"/>
    <xf numFmtId="0" fontId="8" fillId="0" borderId="0" xfId="0" applyFont="1" applyBorder="1" applyAlignment="1">
      <alignment horizontal="right" wrapText="1"/>
    </xf>
    <xf numFmtId="3" fontId="8" fillId="0" borderId="0" xfId="0" applyNumberFormat="1" applyFont="1" applyBorder="1"/>
    <xf numFmtId="0" fontId="0" fillId="0" borderId="0" xfId="0" applyBorder="1"/>
    <xf numFmtId="3" fontId="8" fillId="0" borderId="0" xfId="0" quotePrefix="1" applyNumberFormat="1" applyFont="1" applyBorder="1"/>
    <xf numFmtId="0" fontId="8" fillId="0" borderId="0" xfId="0" applyFont="1" applyBorder="1"/>
    <xf numFmtId="0" fontId="18" fillId="0" borderId="0" xfId="0" applyFont="1" applyBorder="1"/>
    <xf numFmtId="0" fontId="8" fillId="0" borderId="5" xfId="0" applyFont="1" applyBorder="1" applyAlignment="1">
      <alignment horizontal="right"/>
    </xf>
    <xf numFmtId="2" fontId="8" fillId="0" borderId="5" xfId="0" applyNumberFormat="1" applyFont="1" applyBorder="1"/>
    <xf numFmtId="0" fontId="8" fillId="0" borderId="5" xfId="0" applyFont="1" applyBorder="1"/>
    <xf numFmtId="2" fontId="8" fillId="0" borderId="12" xfId="0" applyNumberFormat="1" applyFont="1" applyBorder="1"/>
    <xf numFmtId="0" fontId="46" fillId="0" borderId="0" xfId="0" applyFont="1" applyFill="1" applyBorder="1" applyAlignment="1">
      <alignment vertical="top" wrapText="1"/>
    </xf>
    <xf numFmtId="0" fontId="47" fillId="0" borderId="0" xfId="0" applyFont="1" applyFill="1" applyBorder="1" applyAlignment="1">
      <alignment horizontal="right" vertical="top" wrapText="1"/>
    </xf>
    <xf numFmtId="0" fontId="46" fillId="0" borderId="0" xfId="0" applyFont="1" applyFill="1" applyBorder="1" applyAlignment="1">
      <alignment vertical="top" wrapText="1"/>
    </xf>
    <xf numFmtId="0" fontId="47" fillId="0" borderId="22" xfId="0" applyFont="1" applyFill="1" applyBorder="1" applyAlignment="1">
      <alignment horizontal="right" vertical="top" wrapText="1"/>
    </xf>
    <xf numFmtId="0" fontId="47" fillId="0" borderId="0" xfId="0" applyFont="1" applyFill="1" applyBorder="1" applyAlignment="1">
      <alignment horizontal="right" vertical="top" wrapText="1"/>
    </xf>
    <xf numFmtId="0" fontId="47" fillId="0" borderId="0" xfId="0" applyFont="1" applyFill="1" applyBorder="1" applyAlignment="1">
      <alignment horizontal="right" vertical="top" wrapText="1"/>
    </xf>
    <xf numFmtId="0" fontId="47" fillId="0" borderId="14" xfId="0" applyFont="1" applyFill="1" applyBorder="1" applyAlignment="1">
      <alignment horizontal="right" vertical="top" wrapText="1"/>
    </xf>
    <xf numFmtId="0" fontId="46" fillId="0" borderId="0" xfId="0" applyFont="1" applyFill="1" applyBorder="1" applyAlignment="1">
      <alignment vertical="top" wrapText="1"/>
    </xf>
    <xf numFmtId="0" fontId="42" fillId="0" borderId="46" xfId="0" applyFont="1" applyFill="1" applyBorder="1" applyAlignment="1">
      <alignment horizontal="center" wrapText="1"/>
    </xf>
    <xf numFmtId="0" fontId="42" fillId="0" borderId="0" xfId="0" applyFont="1" applyFill="1" applyBorder="1" applyAlignment="1">
      <alignment vertical="top" wrapText="1"/>
    </xf>
    <xf numFmtId="0" fontId="42" fillId="0" borderId="44" xfId="0" applyFont="1" applyFill="1" applyBorder="1" applyAlignment="1">
      <alignment horizontal="center" wrapText="1"/>
    </xf>
    <xf numFmtId="0" fontId="42" fillId="0" borderId="45" xfId="0" applyFont="1" applyFill="1" applyBorder="1" applyAlignment="1">
      <alignment horizontal="right" wrapText="1"/>
    </xf>
    <xf numFmtId="0" fontId="42" fillId="0" borderId="44" xfId="0" applyFont="1" applyFill="1" applyBorder="1" applyAlignment="1">
      <alignment horizontal="right" wrapText="1"/>
    </xf>
    <xf numFmtId="0" fontId="19" fillId="0" borderId="6" xfId="0" applyFont="1" applyBorder="1"/>
    <xf numFmtId="0" fontId="42" fillId="0" borderId="17" xfId="0" applyNumberFormat="1" applyFont="1" applyFill="1" applyBorder="1" applyAlignment="1">
      <alignment horizontal="right" vertical="top" wrapText="1"/>
    </xf>
    <xf numFmtId="3" fontId="42" fillId="0" borderId="17" xfId="0" applyNumberFormat="1" applyFont="1" applyFill="1" applyBorder="1" applyAlignment="1">
      <alignment horizontal="right" vertical="top" wrapText="1"/>
    </xf>
    <xf numFmtId="0" fontId="42" fillId="0" borderId="7" xfId="0" applyNumberFormat="1" applyFont="1" applyFill="1" applyBorder="1" applyAlignment="1">
      <alignment horizontal="right" vertical="top" wrapText="1"/>
    </xf>
    <xf numFmtId="0" fontId="19" fillId="0" borderId="0" xfId="0" applyFont="1"/>
    <xf numFmtId="0" fontId="19" fillId="0" borderId="8" xfId="0" applyFont="1" applyBorder="1"/>
    <xf numFmtId="0" fontId="42" fillId="0" borderId="0" xfId="0" applyNumberFormat="1" applyFont="1" applyFill="1" applyBorder="1" applyAlignment="1">
      <alignment horizontal="right" vertical="top" wrapText="1"/>
    </xf>
    <xf numFmtId="3" fontId="42" fillId="0" borderId="0" xfId="0" applyNumberFormat="1" applyFont="1" applyFill="1" applyBorder="1" applyAlignment="1">
      <alignment horizontal="right" vertical="top" wrapText="1"/>
    </xf>
    <xf numFmtId="0" fontId="42" fillId="0" borderId="9" xfId="0" applyNumberFormat="1" applyFont="1" applyFill="1" applyBorder="1" applyAlignment="1">
      <alignment horizontal="right" vertical="top" wrapText="1"/>
    </xf>
    <xf numFmtId="0" fontId="19" fillId="0" borderId="13" xfId="0" applyFont="1" applyBorder="1"/>
    <xf numFmtId="0" fontId="42" fillId="0" borderId="22" xfId="0" applyNumberFormat="1" applyFont="1" applyFill="1" applyBorder="1" applyAlignment="1">
      <alignment horizontal="right" vertical="top" wrapText="1"/>
    </xf>
    <xf numFmtId="3" fontId="42" fillId="0" borderId="22" xfId="0" applyNumberFormat="1" applyFont="1" applyFill="1" applyBorder="1" applyAlignment="1">
      <alignment horizontal="right" vertical="top" wrapText="1"/>
    </xf>
    <xf numFmtId="0" fontId="42" fillId="0" borderId="14" xfId="0" applyNumberFormat="1" applyFont="1" applyFill="1" applyBorder="1" applyAlignment="1">
      <alignment horizontal="right" vertical="top" wrapText="1"/>
    </xf>
    <xf numFmtId="0" fontId="19" fillId="0" borderId="0" xfId="0" applyFont="1" applyBorder="1"/>
    <xf numFmtId="0" fontId="0" fillId="0" borderId="0" xfId="0" applyAlignment="1">
      <alignment horizontal="right"/>
    </xf>
    <xf numFmtId="165" fontId="0" fillId="0" borderId="0" xfId="0" applyNumberFormat="1"/>
    <xf numFmtId="165" fontId="0" fillId="0" borderId="0" xfId="0" applyNumberFormat="1"/>
    <xf numFmtId="165" fontId="0" fillId="0" borderId="0" xfId="0" applyNumberFormat="1"/>
    <xf numFmtId="165" fontId="0" fillId="0" borderId="0" xfId="0" applyNumberFormat="1"/>
    <xf numFmtId="0" fontId="0" fillId="0" borderId="6" xfId="0" applyBorder="1" applyAlignment="1">
      <alignment horizontal="right"/>
    </xf>
    <xf numFmtId="165" fontId="0" fillId="0" borderId="7" xfId="0" applyNumberFormat="1" applyBorder="1"/>
    <xf numFmtId="0" fontId="0" fillId="0" borderId="8" xfId="0" applyBorder="1" applyAlignment="1">
      <alignment horizontal="right"/>
    </xf>
    <xf numFmtId="165" fontId="0" fillId="0" borderId="9" xfId="0" applyNumberFormat="1" applyBorder="1"/>
    <xf numFmtId="0" fontId="0" fillId="0" borderId="13" xfId="0" applyBorder="1" applyAlignment="1">
      <alignment horizontal="right"/>
    </xf>
    <xf numFmtId="165" fontId="0" fillId="0" borderId="14" xfId="0" applyNumberFormat="1" applyBorder="1"/>
    <xf numFmtId="0" fontId="6" fillId="0" borderId="22" xfId="0" quotePrefix="1" applyFont="1" applyBorder="1" applyAlignment="1">
      <alignment horizontal="left"/>
    </xf>
    <xf numFmtId="0" fontId="6" fillId="0" borderId="22" xfId="0" applyFont="1" applyBorder="1"/>
    <xf numFmtId="0" fontId="6" fillId="0" borderId="2" xfId="0" applyFont="1" applyBorder="1" applyAlignment="1">
      <alignment horizontal="centerContinuous"/>
    </xf>
    <xf numFmtId="0" fontId="6" fillId="0" borderId="3" xfId="0" applyFont="1" applyBorder="1" applyAlignment="1">
      <alignment horizontal="centerContinuous"/>
    </xf>
    <xf numFmtId="0" fontId="6" fillId="0" borderId="4" xfId="0" applyFont="1" applyBorder="1" applyAlignment="1">
      <alignment horizontal="centerContinuous"/>
    </xf>
    <xf numFmtId="0" fontId="6" fillId="0" borderId="22" xfId="0" applyFont="1" applyBorder="1" applyAlignment="1">
      <alignment horizontal="centerContinuous"/>
    </xf>
    <xf numFmtId="0" fontId="6" fillId="0" borderId="8" xfId="0" applyFont="1" applyBorder="1" applyAlignment="1">
      <alignment horizontal="center"/>
    </xf>
    <xf numFmtId="0" fontId="6" fillId="0" borderId="0" xfId="0" applyFont="1" applyBorder="1"/>
    <xf numFmtId="0" fontId="6" fillId="0" borderId="9" xfId="0" applyFont="1" applyBorder="1"/>
    <xf numFmtId="0" fontId="6" fillId="0" borderId="0" xfId="0" applyFont="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13" xfId="0" applyFont="1" applyBorder="1"/>
    <xf numFmtId="0" fontId="6" fillId="0" borderId="14" xfId="0" applyFont="1" applyBorder="1"/>
    <xf numFmtId="0" fontId="6" fillId="0" borderId="22" xfId="0" applyFont="1" applyBorder="1" applyAlignment="1">
      <alignment horizontal="center"/>
    </xf>
    <xf numFmtId="0" fontId="6" fillId="0" borderId="8" xfId="0" quotePrefix="1" applyFont="1" applyBorder="1" applyAlignment="1">
      <alignment horizontal="centerContinuous"/>
    </xf>
    <xf numFmtId="0" fontId="6" fillId="0" borderId="0" xfId="0" applyFont="1" applyBorder="1" applyAlignment="1">
      <alignment horizontal="centerContinuous"/>
    </xf>
    <xf numFmtId="0" fontId="6" fillId="0" borderId="9" xfId="0" applyFont="1" applyBorder="1" applyAlignment="1">
      <alignment horizontal="centerContinuous"/>
    </xf>
    <xf numFmtId="0" fontId="6" fillId="0" borderId="0" xfId="0" applyFont="1" applyAlignment="1">
      <alignment horizontal="centerContinuous"/>
    </xf>
    <xf numFmtId="0" fontId="6" fillId="0" borderId="0" xfId="0" quotePrefix="1" applyNumberFormat="1" applyFont="1" applyAlignment="1">
      <alignment horizontal="right"/>
    </xf>
    <xf numFmtId="171" fontId="6" fillId="0" borderId="8" xfId="0" applyNumberFormat="1" applyFont="1" applyBorder="1"/>
    <xf numFmtId="171" fontId="6" fillId="0" borderId="0" xfId="0" applyNumberFormat="1" applyFont="1" applyBorder="1"/>
    <xf numFmtId="171" fontId="6" fillId="0" borderId="9" xfId="0" applyNumberFormat="1" applyFont="1" applyBorder="1"/>
    <xf numFmtId="171" fontId="6" fillId="0" borderId="0" xfId="0" applyNumberFormat="1" applyFont="1"/>
    <xf numFmtId="0" fontId="6" fillId="0" borderId="0" xfId="0" applyFont="1" applyBorder="1" applyAlignment="1">
      <alignment horizontal="right"/>
    </xf>
    <xf numFmtId="0" fontId="6" fillId="0" borderId="0" xfId="0" quotePrefix="1" applyFont="1" applyAlignment="1">
      <alignment horizontal="left"/>
    </xf>
    <xf numFmtId="0" fontId="6" fillId="0" borderId="0" xfId="0" applyFont="1" applyAlignment="1">
      <alignment horizontal="left"/>
    </xf>
    <xf numFmtId="1" fontId="18" fillId="0" borderId="0" xfId="0" applyNumberFormat="1" applyFont="1"/>
    <xf numFmtId="0" fontId="12" fillId="0" borderId="0" xfId="0" applyFont="1" applyBorder="1" applyAlignment="1"/>
    <xf numFmtId="0" fontId="13" fillId="0" borderId="0" xfId="0" applyFont="1" applyBorder="1"/>
    <xf numFmtId="0" fontId="0" fillId="0" borderId="0" xfId="0"/>
    <xf numFmtId="0" fontId="53" fillId="0" borderId="0" xfId="0" applyFont="1"/>
    <xf numFmtId="0" fontId="54" fillId="0" borderId="0" xfId="0" applyFont="1" applyBorder="1" applyAlignment="1">
      <alignment wrapText="1"/>
    </xf>
    <xf numFmtId="0" fontId="0" fillId="0" borderId="0" xfId="0"/>
    <xf numFmtId="0" fontId="0" fillId="0" borderId="15" xfId="0" applyBorder="1"/>
    <xf numFmtId="0" fontId="0" fillId="0" borderId="16" xfId="0" applyBorder="1"/>
    <xf numFmtId="0" fontId="0" fillId="0" borderId="49" xfId="0" applyBorder="1"/>
    <xf numFmtId="0" fontId="0" fillId="0" borderId="8" xfId="0" applyBorder="1" applyAlignment="1">
      <alignment horizontal="center"/>
    </xf>
    <xf numFmtId="0" fontId="57" fillId="0" borderId="0" xfId="0" applyFont="1"/>
    <xf numFmtId="0" fontId="0" fillId="0" borderId="6" xfId="0" applyBorder="1" applyAlignment="1">
      <alignment horizontal="center"/>
    </xf>
    <xf numFmtId="0" fontId="0" fillId="0" borderId="68" xfId="0" applyBorder="1"/>
    <xf numFmtId="0" fontId="59" fillId="0" borderId="0" xfId="0" applyFont="1" applyFill="1" applyBorder="1"/>
    <xf numFmtId="1" fontId="13" fillId="0" borderId="8" xfId="0" applyNumberFormat="1" applyFont="1" applyBorder="1" applyAlignment="1">
      <alignment horizontal="center"/>
    </xf>
    <xf numFmtId="1" fontId="0" fillId="0" borderId="2" xfId="0" applyNumberFormat="1" applyBorder="1" applyAlignment="1">
      <alignment horizontal="center"/>
    </xf>
    <xf numFmtId="1" fontId="13" fillId="0" borderId="6" xfId="0" applyNumberFormat="1" applyFont="1" applyBorder="1" applyAlignment="1">
      <alignment horizontal="center"/>
    </xf>
    <xf numFmtId="3" fontId="13" fillId="0" borderId="0" xfId="28" applyNumberFormat="1" applyFont="1" applyBorder="1"/>
    <xf numFmtId="1" fontId="0" fillId="0" borderId="5" xfId="0" applyNumberFormat="1" applyBorder="1" applyAlignment="1">
      <alignment horizontal="center"/>
    </xf>
    <xf numFmtId="1" fontId="0" fillId="0" borderId="9" xfId="0" applyNumberFormat="1" applyBorder="1"/>
    <xf numFmtId="0" fontId="0" fillId="0" borderId="0" xfId="0"/>
    <xf numFmtId="0" fontId="17" fillId="0" borderId="0" xfId="0" applyFont="1" applyBorder="1" applyAlignment="1">
      <alignment horizontal="center" vertical="center" wrapText="1"/>
    </xf>
    <xf numFmtId="0" fontId="55" fillId="0" borderId="0" xfId="0" applyFont="1" applyFill="1" applyBorder="1"/>
    <xf numFmtId="2" fontId="0" fillId="0" borderId="0" xfId="0" applyNumberFormat="1" applyAlignment="1">
      <alignment horizontal="center"/>
    </xf>
    <xf numFmtId="2" fontId="0" fillId="0" borderId="0" xfId="0" applyNumberFormat="1"/>
    <xf numFmtId="2" fontId="12" fillId="0" borderId="0" xfId="0" applyNumberFormat="1" applyFont="1"/>
    <xf numFmtId="1" fontId="0" fillId="0" borderId="0" xfId="0" applyNumberFormat="1"/>
    <xf numFmtId="0" fontId="60" fillId="0" borderId="0" xfId="0" applyFont="1" applyAlignment="1">
      <alignment wrapText="1"/>
    </xf>
    <xf numFmtId="0" fontId="60" fillId="0" borderId="0" xfId="0" applyFont="1"/>
    <xf numFmtId="0" fontId="17" fillId="0" borderId="51"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164" fontId="17" fillId="0" borderId="0" xfId="0" applyNumberFormat="1"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lignment horizontal="center" vertical="center"/>
    </xf>
    <xf numFmtId="0" fontId="17" fillId="0" borderId="0" xfId="0" applyFont="1" applyFill="1" applyBorder="1" applyAlignment="1">
      <alignment horizontal="center" wrapText="1"/>
    </xf>
    <xf numFmtId="0" fontId="61" fillId="0" borderId="8" xfId="39" applyFont="1" applyBorder="1" applyAlignment="1" applyProtection="1">
      <alignment horizontal="left" vertical="center"/>
      <protection locked="0"/>
    </xf>
    <xf numFmtId="0" fontId="17" fillId="0" borderId="0" xfId="0" applyFont="1" applyBorder="1" applyAlignment="1">
      <alignment horizontal="center"/>
    </xf>
    <xf numFmtId="0" fontId="12" fillId="0" borderId="6" xfId="0" applyFont="1" applyBorder="1" applyAlignment="1"/>
    <xf numFmtId="0" fontId="12" fillId="0" borderId="8" xfId="0" applyFont="1" applyBorder="1" applyAlignment="1"/>
    <xf numFmtId="0" fontId="12" fillId="0" borderId="9" xfId="0" applyFont="1" applyBorder="1" applyAlignment="1"/>
    <xf numFmtId="0" fontId="61" fillId="0" borderId="2" xfId="39" applyFont="1" applyBorder="1" applyAlignment="1" applyProtection="1">
      <alignment horizontal="right"/>
      <protection locked="0"/>
    </xf>
    <xf numFmtId="0" fontId="12" fillId="0" borderId="14" xfId="0" applyFont="1" applyBorder="1" applyAlignment="1"/>
    <xf numFmtId="0" fontId="17" fillId="0" borderId="0" xfId="0" applyFont="1" applyFill="1" applyBorder="1" applyAlignment="1">
      <alignment horizontal="right"/>
    </xf>
    <xf numFmtId="0" fontId="61" fillId="0" borderId="2" xfId="39" applyFont="1" applyBorder="1" applyAlignment="1" applyProtection="1">
      <alignment horizontal="right" vertical="center"/>
      <protection locked="0"/>
    </xf>
    <xf numFmtId="0" fontId="17" fillId="0" borderId="4" xfId="0" applyFont="1" applyBorder="1" applyAlignment="1"/>
    <xf numFmtId="2" fontId="65" fillId="0" borderId="8" xfId="39" applyNumberFormat="1" applyFont="1" applyFill="1" applyBorder="1" applyAlignment="1" applyProtection="1">
      <alignment horizontal="right"/>
      <protection locked="0"/>
    </xf>
    <xf numFmtId="165" fontId="2" fillId="0" borderId="8" xfId="0" applyNumberFormat="1" applyFont="1" applyFill="1" applyBorder="1" applyAlignment="1"/>
    <xf numFmtId="165" fontId="2" fillId="0" borderId="0" xfId="0" applyNumberFormat="1" applyFont="1" applyFill="1" applyBorder="1" applyAlignment="1"/>
    <xf numFmtId="165" fontId="12" fillId="0" borderId="0" xfId="0" applyNumberFormat="1" applyFont="1" applyBorder="1" applyAlignment="1"/>
    <xf numFmtId="2" fontId="17" fillId="0" borderId="0" xfId="0" applyNumberFormat="1" applyFont="1" applyBorder="1" applyAlignment="1"/>
    <xf numFmtId="165" fontId="66" fillId="0" borderId="0" xfId="0" applyNumberFormat="1" applyFont="1" applyBorder="1" applyAlignment="1"/>
    <xf numFmtId="0" fontId="66" fillId="0" borderId="15" xfId="0" applyFont="1" applyBorder="1" applyAlignment="1"/>
    <xf numFmtId="0" fontId="2" fillId="0" borderId="16" xfId="0" applyFont="1" applyBorder="1" applyAlignment="1"/>
    <xf numFmtId="0" fontId="64" fillId="0" borderId="8" xfId="0" applyFont="1" applyBorder="1" applyAlignment="1" applyProtection="1">
      <alignment horizontal="right"/>
      <protection locked="0"/>
    </xf>
    <xf numFmtId="2" fontId="12" fillId="0" borderId="0" xfId="0" applyNumberFormat="1" applyFont="1" applyBorder="1" applyAlignment="1"/>
    <xf numFmtId="165" fontId="67" fillId="0" borderId="0" xfId="0" applyNumberFormat="1" applyFont="1" applyBorder="1" applyAlignment="1">
      <alignment horizontal="center"/>
    </xf>
    <xf numFmtId="168" fontId="2" fillId="0" borderId="15" xfId="28" applyNumberFormat="1" applyFont="1" applyBorder="1" applyAlignment="1">
      <alignment horizontal="center"/>
    </xf>
    <xf numFmtId="3" fontId="61" fillId="0" borderId="16" xfId="0" applyNumberFormat="1" applyFont="1" applyBorder="1" applyAlignment="1">
      <alignment horizontal="right" vertical="center"/>
    </xf>
    <xf numFmtId="0" fontId="17" fillId="0" borderId="0" xfId="0" applyFont="1" applyBorder="1" applyAlignment="1">
      <alignment horizontal="center" wrapText="1"/>
    </xf>
    <xf numFmtId="168" fontId="12" fillId="0" borderId="0" xfId="28" applyNumberFormat="1" applyFont="1" applyAlignment="1"/>
    <xf numFmtId="11" fontId="12" fillId="0" borderId="0" xfId="0" applyNumberFormat="1" applyFont="1" applyBorder="1" applyAlignment="1"/>
    <xf numFmtId="2" fontId="65" fillId="0" borderId="8" xfId="39" applyNumberFormat="1" applyFont="1" applyFill="1" applyBorder="1" applyAlignment="1" applyProtection="1">
      <protection locked="0"/>
    </xf>
    <xf numFmtId="168" fontId="12" fillId="0" borderId="15" xfId="28" applyNumberFormat="1" applyFont="1" applyBorder="1" applyAlignment="1"/>
    <xf numFmtId="3" fontId="2" fillId="0" borderId="16" xfId="0" applyNumberFormat="1" applyFont="1" applyBorder="1" applyAlignment="1">
      <alignment horizontal="right" vertical="center"/>
    </xf>
    <xf numFmtId="0" fontId="61" fillId="0" borderId="0" xfId="0" applyFont="1" applyBorder="1" applyAlignment="1">
      <alignment horizontal="center" vertical="center" wrapText="1"/>
    </xf>
    <xf numFmtId="0" fontId="17" fillId="0" borderId="5" xfId="0" applyFont="1" applyBorder="1" applyAlignment="1">
      <alignment horizontal="center" wrapText="1"/>
    </xf>
    <xf numFmtId="0" fontId="12" fillId="0" borderId="5" xfId="0" applyFont="1" applyBorder="1" applyAlignment="1"/>
    <xf numFmtId="2" fontId="64" fillId="0" borderId="6" xfId="39" applyNumberFormat="1" applyFont="1" applyFill="1" applyBorder="1" applyAlignment="1" applyProtection="1">
      <alignment horizontal="right"/>
      <protection locked="0"/>
    </xf>
    <xf numFmtId="165" fontId="2" fillId="0" borderId="6" xfId="0" applyNumberFormat="1" applyFont="1" applyFill="1" applyBorder="1" applyAlignment="1"/>
    <xf numFmtId="165" fontId="2" fillId="0" borderId="17" xfId="0" applyNumberFormat="1" applyFont="1" applyFill="1" applyBorder="1" applyAlignment="1"/>
    <xf numFmtId="165" fontId="12" fillId="0" borderId="17" xfId="0" applyNumberFormat="1" applyFont="1" applyBorder="1" applyAlignment="1"/>
    <xf numFmtId="2" fontId="17" fillId="0" borderId="17" xfId="0" applyNumberFormat="1" applyFont="1" applyBorder="1" applyAlignment="1"/>
    <xf numFmtId="0" fontId="2" fillId="0" borderId="17" xfId="0" applyFont="1" applyBorder="1" applyAlignment="1"/>
    <xf numFmtId="168" fontId="2" fillId="0" borderId="63" xfId="28" applyNumberFormat="1" applyFont="1" applyBorder="1" applyAlignment="1">
      <alignment horizontal="center"/>
    </xf>
    <xf numFmtId="3" fontId="61" fillId="0" borderId="68" xfId="28" applyNumberFormat="1" applyFont="1" applyBorder="1" applyAlignment="1">
      <alignment horizontal="right"/>
    </xf>
    <xf numFmtId="3" fontId="17" fillId="0" borderId="0" xfId="28" applyNumberFormat="1"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70" xfId="0" applyFont="1" applyBorder="1" applyAlignment="1">
      <alignment horizontal="center" vertical="center"/>
    </xf>
    <xf numFmtId="0" fontId="17" fillId="0" borderId="48" xfId="0" applyFont="1" applyBorder="1" applyAlignment="1">
      <alignment horizontal="center" vertical="center"/>
    </xf>
    <xf numFmtId="43" fontId="12" fillId="0" borderId="0" xfId="0" applyNumberFormat="1" applyFont="1" applyBorder="1" applyAlignment="1"/>
    <xf numFmtId="0" fontId="2" fillId="0" borderId="0" xfId="0" applyFont="1" applyBorder="1" applyAlignment="1"/>
    <xf numFmtId="168" fontId="12" fillId="0" borderId="15" xfId="28" applyNumberFormat="1" applyFont="1" applyBorder="1" applyAlignment="1">
      <alignment horizontal="center"/>
    </xf>
    <xf numFmtId="3" fontId="12" fillId="0" borderId="16" xfId="28" applyNumberFormat="1" applyFont="1" applyBorder="1" applyAlignment="1">
      <alignment horizontal="right"/>
    </xf>
    <xf numFmtId="0" fontId="17" fillId="0" borderId="1" xfId="0" applyFont="1" applyBorder="1" applyAlignment="1">
      <alignment horizontal="right"/>
    </xf>
    <xf numFmtId="168" fontId="12" fillId="0" borderId="1" xfId="28" applyNumberFormat="1" applyFont="1" applyBorder="1" applyAlignment="1">
      <alignment horizontal="center"/>
    </xf>
    <xf numFmtId="3" fontId="12" fillId="0" borderId="63" xfId="0" applyNumberFormat="1" applyFont="1" applyFill="1" applyBorder="1" applyAlignment="1">
      <alignment horizontal="right"/>
    </xf>
    <xf numFmtId="3" fontId="12" fillId="0" borderId="7" xfId="0" applyNumberFormat="1" applyFont="1" applyFill="1" applyBorder="1" applyAlignment="1">
      <alignment horizontal="right"/>
    </xf>
    <xf numFmtId="3" fontId="12" fillId="0" borderId="6" xfId="0" applyNumberFormat="1" applyFont="1" applyFill="1" applyBorder="1" applyAlignment="1">
      <alignment horizontal="right"/>
    </xf>
    <xf numFmtId="3" fontId="2" fillId="0" borderId="17" xfId="28" applyNumberFormat="1" applyFont="1" applyBorder="1" applyAlignment="1"/>
    <xf numFmtId="3" fontId="2" fillId="0" borderId="6" xfId="28" applyNumberFormat="1" applyFont="1" applyBorder="1" applyAlignment="1"/>
    <xf numFmtId="168" fontId="12" fillId="0" borderId="57" xfId="0" applyNumberFormat="1" applyFont="1" applyBorder="1" applyAlignment="1"/>
    <xf numFmtId="165" fontId="2" fillId="0" borderId="0" xfId="0" applyNumberFormat="1" applyFont="1" applyBorder="1" applyAlignment="1"/>
    <xf numFmtId="3" fontId="2" fillId="0" borderId="16" xfId="28" applyNumberFormat="1" applyFont="1" applyBorder="1" applyAlignment="1">
      <alignment horizontal="right" vertical="center"/>
    </xf>
    <xf numFmtId="3" fontId="61" fillId="0" borderId="0" xfId="0" applyNumberFormat="1" applyFont="1" applyBorder="1" applyAlignment="1">
      <alignment horizontal="right" vertical="center"/>
    </xf>
    <xf numFmtId="0" fontId="17" fillId="0" borderId="12" xfId="0" applyFont="1" applyBorder="1" applyAlignment="1">
      <alignment horizontal="right"/>
    </xf>
    <xf numFmtId="0" fontId="61" fillId="0" borderId="15" xfId="0" applyFont="1" applyFill="1" applyBorder="1" applyAlignment="1">
      <alignment wrapText="1"/>
    </xf>
    <xf numFmtId="3" fontId="12" fillId="0" borderId="15" xfId="0" applyNumberFormat="1" applyFont="1" applyFill="1" applyBorder="1" applyAlignment="1">
      <alignment horizontal="right"/>
    </xf>
    <xf numFmtId="3" fontId="2" fillId="0" borderId="9" xfId="0" applyNumberFormat="1" applyFont="1" applyBorder="1" applyAlignment="1">
      <alignment horizontal="right"/>
    </xf>
    <xf numFmtId="3" fontId="2" fillId="0" borderId="8" xfId="0" applyNumberFormat="1" applyFont="1" applyBorder="1" applyAlignment="1">
      <alignment horizontal="right"/>
    </xf>
    <xf numFmtId="3" fontId="2" fillId="0" borderId="0" xfId="28" applyNumberFormat="1" applyFont="1" applyBorder="1" applyAlignment="1"/>
    <xf numFmtId="3" fontId="2" fillId="0" borderId="8" xfId="28" applyNumberFormat="1" applyFont="1" applyBorder="1" applyAlignment="1"/>
    <xf numFmtId="168" fontId="12" fillId="0" borderId="55" xfId="0" applyNumberFormat="1" applyFont="1" applyBorder="1" applyAlignment="1"/>
    <xf numFmtId="167" fontId="61" fillId="0" borderId="0" xfId="0" applyNumberFormat="1" applyFont="1" applyBorder="1" applyAlignment="1">
      <alignment horizontal="right" vertical="center"/>
    </xf>
    <xf numFmtId="0" fontId="12" fillId="0" borderId="15" xfId="0" applyFont="1" applyBorder="1" applyAlignment="1">
      <alignment horizontal="center"/>
    </xf>
    <xf numFmtId="3" fontId="61" fillId="0" borderId="16" xfId="28" applyNumberFormat="1" applyFont="1" applyBorder="1" applyAlignment="1">
      <alignment horizontal="right" vertical="center"/>
    </xf>
    <xf numFmtId="2" fontId="65" fillId="0" borderId="13" xfId="39" applyNumberFormat="1" applyFont="1" applyFill="1" applyBorder="1" applyAlignment="1" applyProtection="1">
      <alignment horizontal="right"/>
      <protection locked="0"/>
    </xf>
    <xf numFmtId="165" fontId="2" fillId="0" borderId="13" xfId="0" applyNumberFormat="1" applyFont="1" applyFill="1" applyBorder="1" applyAlignment="1"/>
    <xf numFmtId="165" fontId="2" fillId="0" borderId="22" xfId="0" applyNumberFormat="1" applyFont="1" applyFill="1" applyBorder="1" applyAlignment="1"/>
    <xf numFmtId="2" fontId="17" fillId="0" borderId="22" xfId="0" applyNumberFormat="1" applyFont="1" applyBorder="1" applyAlignment="1"/>
    <xf numFmtId="0" fontId="2" fillId="0" borderId="22" xfId="0" applyFont="1" applyBorder="1" applyAlignment="1"/>
    <xf numFmtId="168" fontId="12" fillId="0" borderId="61" xfId="28" applyNumberFormat="1" applyFont="1" applyBorder="1" applyAlignment="1">
      <alignment horizontal="center"/>
    </xf>
    <xf numFmtId="3" fontId="2" fillId="0" borderId="49" xfId="28" applyNumberFormat="1" applyFont="1" applyBorder="1" applyAlignment="1">
      <alignment horizontal="right" vertical="center"/>
    </xf>
    <xf numFmtId="3" fontId="12" fillId="0" borderId="61" xfId="0" applyNumberFormat="1" applyFont="1" applyFill="1" applyBorder="1" applyAlignment="1">
      <alignment horizontal="right"/>
    </xf>
    <xf numFmtId="3" fontId="12" fillId="0" borderId="14" xfId="0" applyNumberFormat="1" applyFont="1" applyFill="1" applyBorder="1" applyAlignment="1">
      <alignment horizontal="right"/>
    </xf>
    <xf numFmtId="3" fontId="2" fillId="0" borderId="13" xfId="28" applyNumberFormat="1" applyFont="1" applyBorder="1" applyAlignment="1">
      <alignment horizontal="right"/>
    </xf>
    <xf numFmtId="3" fontId="2" fillId="0" borderId="14" xfId="28" applyNumberFormat="1" applyFont="1" applyBorder="1" applyAlignment="1">
      <alignment horizontal="right"/>
    </xf>
    <xf numFmtId="3" fontId="2" fillId="0" borderId="22" xfId="28" applyNumberFormat="1" applyFont="1" applyBorder="1" applyAlignment="1"/>
    <xf numFmtId="3" fontId="2" fillId="0" borderId="13" xfId="28" applyNumberFormat="1" applyFont="1" applyBorder="1" applyAlignment="1"/>
    <xf numFmtId="168" fontId="12" fillId="0" borderId="56" xfId="0" applyNumberFormat="1" applyFont="1" applyBorder="1" applyAlignment="1"/>
    <xf numFmtId="165" fontId="2" fillId="0" borderId="3" xfId="0" applyNumberFormat="1" applyFont="1" applyFill="1" applyBorder="1" applyAlignment="1"/>
    <xf numFmtId="2" fontId="17" fillId="0" borderId="3" xfId="0" applyNumberFormat="1" applyFont="1" applyBorder="1" applyAlignment="1"/>
    <xf numFmtId="0" fontId="2" fillId="0" borderId="3" xfId="0" applyFont="1" applyBorder="1" applyAlignment="1"/>
    <xf numFmtId="168" fontId="12" fillId="0" borderId="62" xfId="28" applyNumberFormat="1" applyFont="1" applyBorder="1" applyAlignment="1">
      <alignment horizontal="center"/>
    </xf>
    <xf numFmtId="3" fontId="61" fillId="0" borderId="48" xfId="28" applyNumberFormat="1" applyFont="1" applyBorder="1" applyAlignment="1">
      <alignment horizontal="right" vertical="center"/>
    </xf>
    <xf numFmtId="3" fontId="17" fillId="0" borderId="9" xfId="0" applyNumberFormat="1" applyFont="1" applyBorder="1" applyAlignment="1">
      <alignment horizontal="right" vertical="center"/>
    </xf>
    <xf numFmtId="3" fontId="12" fillId="0" borderId="5" xfId="0" applyNumberFormat="1" applyFont="1" applyBorder="1" applyAlignment="1">
      <alignment horizontal="right" vertical="center"/>
    </xf>
    <xf numFmtId="0" fontId="61" fillId="0" borderId="64" xfId="0" applyFont="1" applyFill="1" applyBorder="1" applyAlignment="1">
      <alignment wrapText="1"/>
    </xf>
    <xf numFmtId="3" fontId="12" fillId="0" borderId="21" xfId="0" applyNumberFormat="1" applyFont="1" applyBorder="1" applyAlignment="1">
      <alignment horizontal="right"/>
    </xf>
    <xf numFmtId="3" fontId="12" fillId="0" borderId="39" xfId="0" applyNumberFormat="1" applyFont="1" applyBorder="1" applyAlignment="1">
      <alignment horizontal="right"/>
    </xf>
    <xf numFmtId="3" fontId="12" fillId="0" borderId="19" xfId="0" applyNumberFormat="1" applyFont="1" applyBorder="1" applyAlignment="1">
      <alignment horizontal="right"/>
    </xf>
    <xf numFmtId="3" fontId="12" fillId="0" borderId="50" xfId="0" applyNumberFormat="1" applyFont="1" applyBorder="1" applyAlignment="1">
      <alignment horizontal="right"/>
    </xf>
    <xf numFmtId="3" fontId="12" fillId="0" borderId="54" xfId="0" applyNumberFormat="1" applyFont="1" applyBorder="1" applyAlignment="1">
      <alignment horizontal="right"/>
    </xf>
    <xf numFmtId="3" fontId="12" fillId="0" borderId="0" xfId="0" applyNumberFormat="1" applyFont="1" applyBorder="1" applyAlignment="1">
      <alignment horizontal="right"/>
    </xf>
    <xf numFmtId="165" fontId="12" fillId="0" borderId="22" xfId="0" applyNumberFormat="1" applyFont="1" applyBorder="1" applyAlignment="1"/>
    <xf numFmtId="1" fontId="2" fillId="0" borderId="22" xfId="0" applyNumberFormat="1" applyFont="1" applyBorder="1" applyAlignment="1"/>
    <xf numFmtId="3" fontId="61" fillId="0" borderId="49" xfId="28" applyNumberFormat="1" applyFont="1" applyBorder="1" applyAlignment="1">
      <alignment horizontal="right" vertical="center"/>
    </xf>
    <xf numFmtId="3" fontId="17" fillId="0" borderId="5" xfId="0" applyNumberFormat="1" applyFont="1" applyBorder="1" applyAlignment="1">
      <alignment horizontal="right" vertical="center"/>
    </xf>
    <xf numFmtId="0" fontId="70" fillId="0" borderId="10" xfId="0" applyFont="1" applyFill="1" applyBorder="1" applyAlignment="1">
      <alignment wrapText="1"/>
    </xf>
    <xf numFmtId="168" fontId="12" fillId="0" borderId="63" xfId="28" applyNumberFormat="1" applyFont="1" applyBorder="1" applyAlignment="1">
      <alignment horizontal="center"/>
    </xf>
    <xf numFmtId="3" fontId="61" fillId="0" borderId="68" xfId="28" applyNumberFormat="1" applyFont="1" applyBorder="1" applyAlignment="1">
      <alignment horizontal="right" vertical="center"/>
    </xf>
    <xf numFmtId="0" fontId="17" fillId="0" borderId="6" xfId="0" applyFont="1" applyBorder="1" applyAlignment="1">
      <alignment horizontal="right"/>
    </xf>
    <xf numFmtId="3" fontId="12" fillId="0" borderId="17" xfId="0" applyNumberFormat="1" applyFont="1" applyBorder="1" applyAlignment="1"/>
    <xf numFmtId="3" fontId="12" fillId="0" borderId="7" xfId="0" applyNumberFormat="1" applyFont="1" applyBorder="1" applyAlignment="1">
      <alignment horizontal="right" vertical="center"/>
    </xf>
    <xf numFmtId="3" fontId="17" fillId="0" borderId="0" xfId="0" applyNumberFormat="1" applyFont="1" applyBorder="1" applyAlignment="1">
      <alignment horizontal="center"/>
    </xf>
    <xf numFmtId="0" fontId="70" fillId="0" borderId="15" xfId="0" applyFont="1" applyFill="1" applyBorder="1" applyAlignment="1">
      <alignment wrapText="1"/>
    </xf>
    <xf numFmtId="2" fontId="65" fillId="0" borderId="8" xfId="39" applyNumberFormat="1" applyFont="1" applyFill="1" applyBorder="1" applyAlignment="1" applyProtection="1">
      <alignment horizontal="left"/>
      <protection locked="0"/>
    </xf>
    <xf numFmtId="165" fontId="17" fillId="0" borderId="0" xfId="0" applyNumberFormat="1" applyFont="1" applyBorder="1" applyAlignment="1"/>
    <xf numFmtId="0" fontId="12" fillId="0" borderId="7" xfId="0" applyFont="1" applyBorder="1" applyAlignment="1"/>
    <xf numFmtId="0" fontId="17" fillId="0" borderId="13" xfId="0" applyFont="1" applyFill="1" applyBorder="1" applyAlignment="1">
      <alignment horizontal="right"/>
    </xf>
    <xf numFmtId="168" fontId="12" fillId="0" borderId="22" xfId="28" applyNumberFormat="1" applyFont="1" applyFill="1" applyBorder="1" applyAlignment="1"/>
    <xf numFmtId="2" fontId="65" fillId="0" borderId="13" xfId="39" applyNumberFormat="1" applyFont="1" applyFill="1" applyBorder="1" applyAlignment="1" applyProtection="1">
      <protection locked="0"/>
    </xf>
    <xf numFmtId="165" fontId="17" fillId="0" borderId="22" xfId="0" applyNumberFormat="1" applyFont="1" applyBorder="1" applyAlignment="1"/>
    <xf numFmtId="2" fontId="12" fillId="0" borderId="14" xfId="0" applyNumberFormat="1" applyFont="1" applyBorder="1" applyAlignment="1"/>
    <xf numFmtId="0" fontId="17" fillId="0" borderId="0" xfId="0" applyFont="1" applyBorder="1" applyAlignment="1">
      <alignment horizontal="right"/>
    </xf>
    <xf numFmtId="1" fontId="66" fillId="0" borderId="0" xfId="0" applyNumberFormat="1" applyFont="1" applyBorder="1" applyAlignment="1"/>
    <xf numFmtId="166" fontId="12" fillId="0" borderId="0" xfId="43" applyNumberFormat="1" applyFont="1" applyBorder="1" applyAlignment="1"/>
    <xf numFmtId="168" fontId="61" fillId="0" borderId="21" xfId="28" applyNumberFormat="1" applyFont="1" applyBorder="1" applyAlignment="1">
      <alignment horizontal="right" vertical="center"/>
    </xf>
    <xf numFmtId="3" fontId="17" fillId="0" borderId="20" xfId="28" applyNumberFormat="1" applyFont="1" applyBorder="1" applyAlignment="1">
      <alignment horizontal="right" vertical="center"/>
    </xf>
    <xf numFmtId="43" fontId="61" fillId="0" borderId="0" xfId="0" applyNumberFormat="1" applyFont="1" applyBorder="1" applyAlignment="1">
      <alignment horizontal="center" vertical="center"/>
    </xf>
    <xf numFmtId="3" fontId="12" fillId="0" borderId="0" xfId="0" applyNumberFormat="1" applyFont="1" applyBorder="1" applyAlignment="1"/>
    <xf numFmtId="0" fontId="70" fillId="0" borderId="0" xfId="0" applyFont="1" applyFill="1" applyBorder="1" applyAlignment="1">
      <alignment wrapText="1"/>
    </xf>
    <xf numFmtId="1" fontId="12" fillId="0" borderId="0" xfId="0" applyNumberFormat="1" applyFont="1" applyFill="1" applyBorder="1" applyAlignment="1"/>
    <xf numFmtId="0" fontId="12" fillId="0" borderId="0" xfId="0" applyFont="1" applyFill="1" applyBorder="1" applyAlignment="1"/>
    <xf numFmtId="0" fontId="17" fillId="0" borderId="0" xfId="0" applyFont="1" applyBorder="1"/>
    <xf numFmtId="165" fontId="61" fillId="0" borderId="17" xfId="0" applyNumberFormat="1" applyFont="1" applyBorder="1" applyAlignment="1">
      <alignment horizontal="right"/>
    </xf>
    <xf numFmtId="165" fontId="17" fillId="0" borderId="17" xfId="0" applyNumberFormat="1" applyFont="1" applyBorder="1" applyAlignment="1"/>
    <xf numFmtId="43" fontId="12" fillId="0" borderId="0" xfId="0" applyNumberFormat="1" applyFont="1" applyBorder="1" applyAlignment="1">
      <alignment wrapText="1"/>
    </xf>
    <xf numFmtId="0" fontId="17" fillId="0" borderId="2" xfId="0" applyFont="1" applyBorder="1" applyAlignment="1">
      <alignment horizontal="right"/>
    </xf>
    <xf numFmtId="0" fontId="17" fillId="0" borderId="4" xfId="0" applyFont="1" applyBorder="1" applyAlignment="1">
      <alignment horizontal="right" vertical="center"/>
    </xf>
    <xf numFmtId="165" fontId="2" fillId="0" borderId="22" xfId="0" applyNumberFormat="1" applyFont="1" applyBorder="1" applyAlignment="1"/>
    <xf numFmtId="2" fontId="12" fillId="0" borderId="2" xfId="43" applyNumberFormat="1" applyFont="1" applyBorder="1" applyAlignment="1">
      <alignment horizontal="right"/>
    </xf>
    <xf numFmtId="4" fontId="12" fillId="0" borderId="4" xfId="28" applyNumberFormat="1" applyFont="1" applyBorder="1" applyAlignment="1">
      <alignment horizontal="right"/>
    </xf>
    <xf numFmtId="4" fontId="12" fillId="0" borderId="2" xfId="0" applyNumberFormat="1" applyFont="1" applyFill="1" applyBorder="1" applyAlignment="1">
      <alignment horizontal="right"/>
    </xf>
    <xf numFmtId="4" fontId="12" fillId="0" borderId="4" xfId="28" applyNumberFormat="1" applyFont="1" applyBorder="1" applyAlignment="1"/>
    <xf numFmtId="4" fontId="12" fillId="0" borderId="2" xfId="28" applyNumberFormat="1" applyFont="1" applyBorder="1" applyAlignment="1"/>
    <xf numFmtId="4" fontId="12" fillId="0" borderId="4" xfId="0" applyNumberFormat="1" applyFont="1" applyBorder="1" applyAlignment="1"/>
    <xf numFmtId="3" fontId="12" fillId="0" borderId="0" xfId="0" applyNumberFormat="1" applyFont="1" applyFill="1" applyBorder="1" applyAlignment="1"/>
    <xf numFmtId="0" fontId="17" fillId="0" borderId="0" xfId="0" applyFont="1" applyFill="1" applyBorder="1" applyAlignment="1">
      <alignment horizontal="center" vertical="center" wrapText="1"/>
    </xf>
    <xf numFmtId="0" fontId="12" fillId="0" borderId="0" xfId="0" applyFont="1" applyFill="1" applyBorder="1" applyAlignment="1">
      <alignment horizontal="center"/>
    </xf>
    <xf numFmtId="3" fontId="17" fillId="0" borderId="0" xfId="0" applyNumberFormat="1" applyFont="1" applyBorder="1" applyAlignment="1"/>
    <xf numFmtId="0" fontId="72" fillId="0" borderId="0" xfId="0" applyFont="1" applyFill="1" applyBorder="1" applyAlignment="1">
      <alignment horizontal="left"/>
    </xf>
    <xf numFmtId="0" fontId="17" fillId="0" borderId="0" xfId="0" applyFont="1" applyBorder="1" applyAlignment="1"/>
    <xf numFmtId="0" fontId="72" fillId="0" borderId="0" xfId="0" applyFont="1" applyBorder="1" applyAlignment="1"/>
    <xf numFmtId="0" fontId="12" fillId="0" borderId="51" xfId="0" applyFont="1" applyBorder="1" applyAlignment="1"/>
    <xf numFmtId="9" fontId="12" fillId="0" borderId="0" xfId="43" applyNumberFormat="1" applyFont="1" applyFill="1" applyBorder="1" applyAlignment="1"/>
    <xf numFmtId="0" fontId="12" fillId="0" borderId="0" xfId="0" applyFont="1" applyFill="1" applyBorder="1" applyAlignment="1">
      <alignment horizontal="left"/>
    </xf>
    <xf numFmtId="168" fontId="12" fillId="0" borderId="0" xfId="28" applyNumberFormat="1" applyFont="1" applyBorder="1" applyAlignment="1"/>
    <xf numFmtId="166" fontId="12" fillId="0" borderId="15" xfId="43" applyNumberFormat="1" applyFont="1" applyBorder="1" applyAlignment="1"/>
    <xf numFmtId="166" fontId="12" fillId="0" borderId="16" xfId="43" applyNumberFormat="1" applyFont="1" applyBorder="1" applyAlignment="1"/>
    <xf numFmtId="166" fontId="12" fillId="0" borderId="15" xfId="0" applyNumberFormat="1" applyFont="1" applyBorder="1"/>
    <xf numFmtId="166" fontId="12" fillId="0" borderId="16" xfId="0" applyNumberFormat="1" applyFont="1" applyBorder="1"/>
    <xf numFmtId="3" fontId="12" fillId="0" borderId="0" xfId="28" applyNumberFormat="1" applyFont="1" applyBorder="1" applyAlignment="1"/>
    <xf numFmtId="0" fontId="64" fillId="0" borderId="0" xfId="39" applyFont="1" applyFill="1" applyBorder="1" applyAlignment="1" applyProtection="1">
      <alignment horizontal="center"/>
      <protection locked="0"/>
    </xf>
    <xf numFmtId="0" fontId="71" fillId="0" borderId="0" xfId="0" applyFont="1" applyFill="1" applyBorder="1" applyAlignment="1">
      <alignment horizontal="left"/>
    </xf>
    <xf numFmtId="0" fontId="12"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2" fontId="17" fillId="0" borderId="9" xfId="0" applyNumberFormat="1" applyFont="1" applyBorder="1" applyAlignment="1">
      <alignment horizontal="center" vertical="center"/>
    </xf>
    <xf numFmtId="0" fontId="12" fillId="0" borderId="0" xfId="0" applyFont="1" applyBorder="1" applyAlignment="1">
      <alignment horizontal="right"/>
    </xf>
    <xf numFmtId="0" fontId="71" fillId="0" borderId="0" xfId="0" applyFont="1" applyFill="1" applyBorder="1"/>
    <xf numFmtId="0" fontId="17" fillId="0" borderId="52" xfId="0" applyFont="1" applyBorder="1" applyAlignment="1">
      <alignment horizontal="center" vertical="center"/>
    </xf>
    <xf numFmtId="9" fontId="17" fillId="0" borderId="52" xfId="43" applyFont="1" applyBorder="1" applyAlignment="1">
      <alignment horizontal="center" vertical="center"/>
    </xf>
    <xf numFmtId="0" fontId="61" fillId="0" borderId="0" xfId="0" applyFont="1" applyBorder="1" applyAlignment="1" applyProtection="1">
      <protection locked="0"/>
    </xf>
    <xf numFmtId="0" fontId="2" fillId="0" borderId="0" xfId="0" applyFont="1" applyAlignment="1"/>
    <xf numFmtId="0" fontId="61" fillId="0" borderId="0" xfId="0" applyFont="1" applyFill="1" applyBorder="1" applyAlignment="1" applyProtection="1">
      <protection locked="0"/>
    </xf>
    <xf numFmtId="164" fontId="12" fillId="0" borderId="0" xfId="0" applyNumberFormat="1" applyFont="1" applyAlignment="1"/>
    <xf numFmtId="0" fontId="2" fillId="0" borderId="0" xfId="0" applyFont="1" applyAlignment="1">
      <alignment vertical="center"/>
    </xf>
    <xf numFmtId="0" fontId="61" fillId="0" borderId="0" xfId="0" applyFont="1" applyFill="1" applyBorder="1" applyAlignment="1" applyProtection="1">
      <alignment horizontal="right"/>
      <protection locked="0"/>
    </xf>
    <xf numFmtId="0" fontId="2" fillId="0" borderId="0" xfId="0" applyFont="1" applyAlignment="1">
      <alignment wrapText="1"/>
    </xf>
    <xf numFmtId="0" fontId="2" fillId="0" borderId="0" xfId="0" applyFont="1" applyBorder="1" applyAlignment="1">
      <alignment wrapText="1"/>
    </xf>
    <xf numFmtId="164" fontId="12" fillId="0" borderId="0" xfId="0" applyNumberFormat="1" applyFont="1" applyBorder="1" applyAlignment="1"/>
    <xf numFmtId="0" fontId="17" fillId="0" borderId="0" xfId="0" applyFont="1" applyBorder="1" applyAlignment="1" applyProtection="1">
      <protection locked="0"/>
    </xf>
    <xf numFmtId="0" fontId="12" fillId="0" borderId="0" xfId="0" applyFont="1" applyBorder="1"/>
    <xf numFmtId="0" fontId="66" fillId="0" borderId="0" xfId="0" applyFont="1" applyAlignment="1"/>
    <xf numFmtId="0" fontId="12" fillId="0" borderId="0" xfId="0" applyFont="1"/>
    <xf numFmtId="0" fontId="71" fillId="0" borderId="0" xfId="0" applyFont="1" applyFill="1" applyBorder="1" applyAlignment="1">
      <alignment horizontal="center" vertical="center"/>
    </xf>
    <xf numFmtId="0" fontId="17" fillId="0" borderId="0" xfId="0" applyFont="1" applyAlignment="1"/>
    <xf numFmtId="0" fontId="61" fillId="0" borderId="6" xfId="39" applyFont="1" applyBorder="1" applyAlignment="1" applyProtection="1">
      <alignment horizontal="right"/>
      <protection locked="0"/>
    </xf>
    <xf numFmtId="0" fontId="61" fillId="0" borderId="8" xfId="39" applyFont="1" applyBorder="1" applyAlignment="1" applyProtection="1">
      <alignment horizontal="right" vertical="center"/>
      <protection locked="0"/>
    </xf>
    <xf numFmtId="2" fontId="61" fillId="0" borderId="0" xfId="0" applyNumberFormat="1" applyFont="1" applyBorder="1" applyAlignment="1">
      <alignment horizontal="center" vertical="center"/>
    </xf>
    <xf numFmtId="0" fontId="2" fillId="0" borderId="5" xfId="0" applyFont="1" applyBorder="1" applyAlignment="1">
      <alignment horizontal="center"/>
    </xf>
    <xf numFmtId="2" fontId="61" fillId="24" borderId="52" xfId="0" applyNumberFormat="1" applyFont="1" applyFill="1" applyBorder="1" applyAlignment="1">
      <alignment horizontal="left" vertical="center"/>
    </xf>
    <xf numFmtId="2" fontId="61" fillId="24" borderId="52" xfId="0" applyNumberFormat="1" applyFont="1" applyFill="1" applyBorder="1" applyAlignment="1">
      <alignment horizontal="center" vertical="center"/>
    </xf>
    <xf numFmtId="2" fontId="61" fillId="0" borderId="0" xfId="39" applyNumberFormat="1" applyFont="1" applyFill="1" applyBorder="1" applyAlignment="1" applyProtection="1">
      <alignment horizontal="left"/>
      <protection locked="0"/>
    </xf>
    <xf numFmtId="165" fontId="2" fillId="0" borderId="8" xfId="0" applyNumberFormat="1" applyFont="1" applyBorder="1" applyAlignment="1"/>
    <xf numFmtId="2" fontId="61" fillId="0" borderId="8" xfId="39" applyNumberFormat="1" applyFont="1" applyFill="1" applyBorder="1" applyAlignment="1" applyProtection="1">
      <alignment horizontal="left"/>
      <protection locked="0"/>
    </xf>
    <xf numFmtId="2" fontId="2" fillId="0" borderId="8" xfId="39" applyNumberFormat="1" applyFont="1" applyFill="1" applyBorder="1" applyAlignment="1" applyProtection="1">
      <alignment horizontal="left"/>
      <protection locked="0"/>
    </xf>
    <xf numFmtId="2" fontId="2" fillId="0" borderId="0" xfId="39" applyNumberFormat="1" applyFont="1" applyFill="1" applyBorder="1" applyAlignment="1" applyProtection="1">
      <alignment horizontal="left"/>
      <protection locked="0"/>
    </xf>
    <xf numFmtId="2" fontId="61" fillId="0" borderId="6" xfId="39" applyNumberFormat="1" applyFont="1" applyFill="1" applyBorder="1" applyAlignment="1" applyProtection="1">
      <alignment horizontal="left"/>
      <protection locked="0"/>
    </xf>
    <xf numFmtId="0" fontId="2" fillId="0" borderId="51" xfId="0" applyFont="1" applyBorder="1" applyAlignment="1">
      <alignment horizontal="left"/>
    </xf>
    <xf numFmtId="0" fontId="2" fillId="0" borderId="0" xfId="0" applyFont="1"/>
    <xf numFmtId="0" fontId="2" fillId="0" borderId="9" xfId="0" applyFont="1" applyBorder="1"/>
    <xf numFmtId="0" fontId="2" fillId="0" borderId="8" xfId="0" applyFont="1" applyBorder="1"/>
    <xf numFmtId="0" fontId="2" fillId="24" borderId="52" xfId="0" applyFont="1" applyFill="1" applyBorder="1"/>
    <xf numFmtId="168" fontId="61" fillId="24" borderId="52" xfId="0" applyNumberFormat="1" applyFont="1" applyFill="1" applyBorder="1"/>
    <xf numFmtId="0" fontId="2" fillId="0" borderId="0" xfId="0" applyFont="1" applyBorder="1"/>
    <xf numFmtId="0" fontId="2" fillId="0" borderId="51" xfId="0" applyFont="1" applyFill="1" applyBorder="1"/>
    <xf numFmtId="0" fontId="68" fillId="0" borderId="0" xfId="0" applyFont="1" applyAlignment="1"/>
    <xf numFmtId="0" fontId="0" fillId="0" borderId="0" xfId="0"/>
    <xf numFmtId="0" fontId="61" fillId="0" borderId="0" xfId="0" applyFont="1" applyBorder="1" applyAlignment="1">
      <alignment horizontal="center" vertical="center" wrapText="1"/>
    </xf>
    <xf numFmtId="168" fontId="61" fillId="24" borderId="52" xfId="28" applyNumberFormat="1" applyFont="1" applyFill="1" applyBorder="1" applyAlignment="1">
      <alignment horizontal="left" vertical="center"/>
    </xf>
    <xf numFmtId="0" fontId="8" fillId="0" borderId="0" xfId="0" applyFont="1" applyBorder="1" applyAlignment="1">
      <alignment wrapText="1"/>
    </xf>
    <xf numFmtId="0" fontId="74" fillId="0" borderId="0" xfId="0" applyFont="1" applyAlignment="1">
      <alignment horizontal="left"/>
    </xf>
    <xf numFmtId="0" fontId="74" fillId="0" borderId="1" xfId="0" applyFont="1" applyBorder="1" applyAlignment="1">
      <alignment horizontal="left"/>
    </xf>
    <xf numFmtId="0" fontId="74" fillId="0" borderId="0" xfId="0" applyFont="1" applyBorder="1" applyAlignment="1">
      <alignment horizontal="left"/>
    </xf>
    <xf numFmtId="0" fontId="52" fillId="0" borderId="0" xfId="0" applyFont="1" applyAlignment="1">
      <alignment horizontal="left"/>
    </xf>
    <xf numFmtId="0" fontId="74" fillId="0" borderId="0" xfId="0" applyFont="1"/>
    <xf numFmtId="0" fontId="74" fillId="0" borderId="0" xfId="0" applyFont="1" applyAlignment="1">
      <alignment horizontal="right"/>
    </xf>
    <xf numFmtId="0" fontId="74" fillId="0" borderId="5" xfId="0" applyFont="1" applyBorder="1" applyAlignment="1">
      <alignment horizontal="left"/>
    </xf>
    <xf numFmtId="49" fontId="74" fillId="0" borderId="0" xfId="0" applyNumberFormat="1" applyFont="1" applyBorder="1" applyAlignment="1">
      <alignment horizontal="right"/>
    </xf>
    <xf numFmtId="0" fontId="75" fillId="0" borderId="0" xfId="0" applyFont="1" applyBorder="1"/>
    <xf numFmtId="0" fontId="75" fillId="0" borderId="0" xfId="0" applyFont="1"/>
    <xf numFmtId="0" fontId="74" fillId="0" borderId="22" xfId="0" applyFont="1" applyBorder="1" applyAlignment="1">
      <alignment wrapText="1"/>
    </xf>
    <xf numFmtId="0" fontId="74" fillId="0" borderId="22" xfId="0" applyFont="1" applyBorder="1" applyAlignment="1">
      <alignment horizontal="right" wrapText="1"/>
    </xf>
    <xf numFmtId="0" fontId="74" fillId="0" borderId="12" xfId="0" applyFont="1" applyBorder="1" applyAlignment="1">
      <alignment horizontal="left"/>
    </xf>
    <xf numFmtId="0" fontId="74" fillId="0" borderId="0" xfId="0" applyFont="1" applyBorder="1" applyAlignment="1">
      <alignment horizontal="right" wrapText="1"/>
    </xf>
    <xf numFmtId="168" fontId="61" fillId="0" borderId="0" xfId="0" applyNumberFormat="1" applyFont="1" applyBorder="1"/>
    <xf numFmtId="0" fontId="61" fillId="0" borderId="0" xfId="0" applyFont="1" applyBorder="1"/>
    <xf numFmtId="0" fontId="2" fillId="0" borderId="15" xfId="0" applyFont="1" applyBorder="1"/>
    <xf numFmtId="0" fontId="2" fillId="0" borderId="16" xfId="0" applyFont="1" applyBorder="1"/>
    <xf numFmtId="2" fontId="61" fillId="0" borderId="16" xfId="0" applyNumberFormat="1" applyFont="1" applyFill="1" applyBorder="1" applyAlignment="1">
      <alignment horizontal="center" vertical="center"/>
    </xf>
    <xf numFmtId="168" fontId="61" fillId="24" borderId="51" xfId="28" applyNumberFormat="1" applyFont="1" applyFill="1" applyBorder="1" applyAlignment="1">
      <alignment horizontal="left" vertical="center"/>
    </xf>
    <xf numFmtId="0" fontId="61" fillId="0" borderId="0" xfId="0" applyFont="1" applyBorder="1" applyAlignment="1">
      <alignment horizontal="left" vertical="center" wrapText="1"/>
    </xf>
    <xf numFmtId="2" fontId="61" fillId="24" borderId="51" xfId="0" applyNumberFormat="1" applyFont="1" applyFill="1" applyBorder="1" applyAlignment="1">
      <alignment horizontal="left" vertical="center"/>
    </xf>
    <xf numFmtId="168" fontId="61" fillId="24" borderId="74" xfId="28" applyNumberFormat="1" applyFont="1" applyFill="1" applyBorder="1" applyAlignment="1">
      <alignment horizontal="left" vertical="center"/>
    </xf>
    <xf numFmtId="168" fontId="2" fillId="0" borderId="8" xfId="0" applyNumberFormat="1" applyFont="1" applyBorder="1"/>
    <xf numFmtId="0" fontId="2" fillId="0" borderId="75" xfId="0" applyFont="1" applyBorder="1"/>
    <xf numFmtId="0" fontId="2" fillId="0" borderId="55" xfId="0" applyFont="1" applyBorder="1"/>
    <xf numFmtId="0" fontId="61" fillId="0" borderId="75" xfId="0" applyFont="1" applyBorder="1"/>
    <xf numFmtId="0" fontId="2" fillId="24" borderId="53" xfId="0" applyFont="1" applyFill="1" applyBorder="1"/>
    <xf numFmtId="0" fontId="61" fillId="0" borderId="67" xfId="0" applyFont="1" applyBorder="1" applyAlignment="1">
      <alignment horizontal="center"/>
    </xf>
    <xf numFmtId="0" fontId="2" fillId="0" borderId="0" xfId="0" applyFont="1" applyBorder="1" applyAlignment="1">
      <alignment horizontal="center"/>
    </xf>
    <xf numFmtId="2" fontId="64" fillId="0" borderId="8" xfId="39" applyNumberFormat="1" applyFont="1" applyFill="1" applyBorder="1" applyAlignment="1" applyProtection="1">
      <alignment horizontal="left"/>
      <protection locked="0"/>
    </xf>
    <xf numFmtId="0" fontId="61" fillId="0" borderId="13" xfId="0" applyFont="1" applyBorder="1" applyAlignment="1" applyProtection="1">
      <alignment horizontal="left"/>
      <protection locked="0"/>
    </xf>
    <xf numFmtId="9" fontId="2" fillId="0" borderId="0" xfId="43" applyFont="1"/>
    <xf numFmtId="43" fontId="2" fillId="0" borderId="8" xfId="0" applyNumberFormat="1" applyFont="1" applyBorder="1"/>
    <xf numFmtId="43" fontId="2" fillId="0" borderId="0" xfId="0" applyNumberFormat="1" applyFont="1" applyBorder="1"/>
    <xf numFmtId="1" fontId="12" fillId="0" borderId="0" xfId="0" applyNumberFormat="1" applyFont="1" applyBorder="1" applyAlignment="1"/>
    <xf numFmtId="0" fontId="64" fillId="0" borderId="0" xfId="0" applyFont="1" applyFill="1" applyBorder="1" applyAlignment="1">
      <alignment horizontal="left"/>
    </xf>
    <xf numFmtId="0" fontId="64" fillId="0" borderId="0" xfId="0" applyFont="1" applyBorder="1" applyAlignment="1">
      <alignment horizontal="left" vertical="center"/>
    </xf>
    <xf numFmtId="0" fontId="64" fillId="0" borderId="0" xfId="39" applyFont="1" applyFill="1" applyBorder="1" applyAlignment="1" applyProtection="1">
      <alignment horizontal="left"/>
      <protection locked="0"/>
    </xf>
    <xf numFmtId="165" fontId="12" fillId="0" borderId="0" xfId="39" applyNumberFormat="1" applyFont="1" applyFill="1" applyBorder="1" applyAlignment="1" applyProtection="1">
      <protection locked="0"/>
    </xf>
    <xf numFmtId="1" fontId="12" fillId="0" borderId="0" xfId="0" applyNumberFormat="1" applyFont="1" applyBorder="1" applyAlignment="1">
      <alignment horizontal="right"/>
    </xf>
    <xf numFmtId="168" fontId="12" fillId="0" borderId="0" xfId="0" applyNumberFormat="1" applyFont="1" applyBorder="1" applyAlignment="1"/>
    <xf numFmtId="3" fontId="12" fillId="0" borderId="1" xfId="0" applyNumberFormat="1" applyFont="1" applyBorder="1" applyAlignment="1"/>
    <xf numFmtId="0" fontId="12" fillId="0" borderId="12" xfId="0" applyFont="1" applyBorder="1" applyAlignment="1"/>
    <xf numFmtId="0" fontId="61" fillId="0" borderId="23" xfId="0" applyFont="1" applyBorder="1" applyAlignment="1"/>
    <xf numFmtId="0" fontId="61" fillId="0" borderId="77" xfId="0" applyFont="1" applyBorder="1" applyAlignment="1">
      <alignment horizontal="center"/>
    </xf>
    <xf numFmtId="9" fontId="17" fillId="0" borderId="23" xfId="43" applyFont="1" applyBorder="1" applyAlignment="1"/>
    <xf numFmtId="168" fontId="12" fillId="0" borderId="0" xfId="28" applyNumberFormat="1" applyFont="1" applyBorder="1" applyAlignment="1"/>
    <xf numFmtId="0" fontId="64" fillId="0" borderId="6" xfId="39" applyFont="1" applyBorder="1" applyAlignment="1" applyProtection="1">
      <alignment horizontal="center"/>
      <protection locked="0"/>
    </xf>
    <xf numFmtId="0" fontId="64" fillId="0" borderId="17" xfId="39" applyFont="1" applyBorder="1" applyAlignment="1" applyProtection="1">
      <alignment horizontal="center"/>
      <protection locked="0"/>
    </xf>
    <xf numFmtId="0" fontId="64" fillId="0" borderId="7" xfId="39" applyFont="1" applyBorder="1" applyAlignment="1" applyProtection="1">
      <alignment horizontal="center"/>
      <protection locked="0"/>
    </xf>
    <xf numFmtId="2" fontId="17" fillId="0" borderId="9" xfId="0" applyNumberFormat="1" applyFont="1" applyFill="1" applyBorder="1" applyAlignment="1">
      <alignment horizontal="center" vertical="center"/>
    </xf>
    <xf numFmtId="0" fontId="17" fillId="0" borderId="9" xfId="0" applyFont="1" applyBorder="1" applyAlignment="1">
      <alignment horizontal="center" vertical="center"/>
    </xf>
    <xf numFmtId="0" fontId="12" fillId="0" borderId="14" xfId="0" applyFont="1" applyBorder="1" applyAlignment="1">
      <alignment horizontal="center" vertical="center"/>
    </xf>
    <xf numFmtId="172" fontId="2" fillId="0" borderId="0" xfId="0" applyNumberFormat="1" applyFont="1"/>
    <xf numFmtId="0" fontId="2" fillId="0" borderId="0" xfId="49">
      <alignment wrapText="1"/>
    </xf>
    <xf numFmtId="0" fontId="78" fillId="0" borderId="43" xfId="49" applyFont="1" applyFill="1" applyBorder="1" applyAlignment="1">
      <alignment vertical="top" wrapText="1"/>
    </xf>
    <xf numFmtId="0" fontId="78" fillId="0" borderId="78" xfId="49" applyFont="1" applyFill="1" applyBorder="1" applyAlignment="1">
      <alignment horizontal="right" vertical="top" wrapText="1"/>
    </xf>
    <xf numFmtId="0" fontId="78" fillId="0" borderId="43" xfId="49" applyFont="1" applyFill="1" applyBorder="1" applyAlignment="1">
      <alignment horizontal="right" vertical="top" wrapText="1"/>
    </xf>
    <xf numFmtId="0" fontId="78" fillId="0" borderId="52" xfId="49" applyFont="1" applyFill="1" applyBorder="1" applyAlignment="1">
      <alignment horizontal="right" vertical="top" wrapText="1"/>
    </xf>
    <xf numFmtId="0" fontId="2" fillId="0" borderId="0" xfId="49" applyBorder="1">
      <alignment wrapText="1"/>
    </xf>
    <xf numFmtId="0" fontId="78" fillId="0" borderId="0" xfId="49" applyFont="1" applyFill="1" applyBorder="1" applyAlignment="1">
      <alignment vertical="top" wrapText="1"/>
    </xf>
    <xf numFmtId="173" fontId="78" fillId="0" borderId="0" xfId="49" applyNumberFormat="1" applyFont="1" applyFill="1" applyBorder="1" applyAlignment="1">
      <alignment horizontal="right" vertical="top" wrapText="1"/>
    </xf>
    <xf numFmtId="0" fontId="78" fillId="0" borderId="22" xfId="49" applyFont="1" applyFill="1" applyBorder="1" applyAlignment="1">
      <alignment vertical="top" wrapText="1"/>
    </xf>
    <xf numFmtId="173" fontId="78" fillId="0" borderId="22" xfId="49" applyNumberFormat="1" applyFont="1" applyFill="1" applyBorder="1" applyAlignment="1">
      <alignment horizontal="right" vertical="top" wrapText="1"/>
    </xf>
    <xf numFmtId="0" fontId="79" fillId="0" borderId="0" xfId="49" applyFont="1" applyFill="1" applyBorder="1" applyAlignment="1">
      <alignment vertical="top" wrapText="1"/>
    </xf>
    <xf numFmtId="1" fontId="80" fillId="0" borderId="0" xfId="49" applyNumberFormat="1" applyFont="1" applyFill="1" applyBorder="1" applyAlignment="1">
      <alignment horizontal="right" vertical="top" wrapText="1"/>
    </xf>
    <xf numFmtId="0" fontId="81" fillId="0" borderId="17" xfId="49" applyFont="1" applyFill="1" applyBorder="1" applyAlignment="1">
      <alignment vertical="top" wrapText="1"/>
    </xf>
    <xf numFmtId="1" fontId="81" fillId="0" borderId="17" xfId="49" applyNumberFormat="1" applyFont="1" applyFill="1" applyBorder="1" applyAlignment="1">
      <alignment horizontal="right" vertical="top" wrapText="1"/>
    </xf>
    <xf numFmtId="0" fontId="81" fillId="0" borderId="0" xfId="49" applyFont="1" applyFill="1" applyBorder="1" applyAlignment="1">
      <alignment vertical="top" wrapText="1"/>
    </xf>
    <xf numFmtId="1" fontId="81" fillId="0" borderId="0" xfId="49" applyNumberFormat="1" applyFont="1" applyFill="1" applyBorder="1" applyAlignment="1">
      <alignment horizontal="right" vertical="top" wrapText="1"/>
    </xf>
    <xf numFmtId="0" fontId="81" fillId="0" borderId="22" xfId="49" applyFont="1" applyFill="1" applyBorder="1" applyAlignment="1">
      <alignment vertical="top" wrapText="1"/>
    </xf>
    <xf numFmtId="9" fontId="81" fillId="0" borderId="22" xfId="43" applyFont="1" applyFill="1" applyBorder="1" applyAlignment="1">
      <alignment horizontal="right" vertical="top" wrapText="1"/>
    </xf>
    <xf numFmtId="165" fontId="81" fillId="0" borderId="0" xfId="0" applyNumberFormat="1" applyFont="1" applyAlignment="1">
      <alignment horizontal="right" vertical="center" wrapText="1"/>
    </xf>
    <xf numFmtId="165" fontId="81" fillId="0" borderId="0" xfId="49" applyNumberFormat="1" applyFont="1" applyFill="1" applyBorder="1" applyAlignment="1">
      <alignment horizontal="right" vertical="center" wrapText="1"/>
    </xf>
    <xf numFmtId="2" fontId="81" fillId="0" borderId="0" xfId="49" applyNumberFormat="1" applyFont="1" applyFill="1" applyBorder="1" applyAlignment="1">
      <alignment horizontal="right" vertical="center" wrapText="1"/>
    </xf>
    <xf numFmtId="1" fontId="81" fillId="0" borderId="0" xfId="49" applyNumberFormat="1" applyFont="1" applyFill="1" applyBorder="1" applyAlignment="1">
      <alignment horizontal="right" vertical="center" wrapText="1"/>
    </xf>
    <xf numFmtId="43" fontId="81" fillId="0" borderId="79" xfId="28" applyNumberFormat="1" applyFont="1" applyFill="1" applyBorder="1" applyAlignment="1">
      <alignment horizontal="right" vertical="center" wrapText="1"/>
    </xf>
    <xf numFmtId="168" fontId="82" fillId="0" borderId="0" xfId="28" applyNumberFormat="1" applyFont="1" applyFill="1" applyBorder="1" applyAlignment="1">
      <alignment horizontal="center" vertical="center" wrapText="1"/>
    </xf>
    <xf numFmtId="0" fontId="2" fillId="0" borderId="0" xfId="49" applyFont="1" applyAlignment="1">
      <alignment vertical="center" wrapText="1"/>
    </xf>
    <xf numFmtId="174" fontId="81" fillId="0" borderId="2" xfId="49" applyNumberFormat="1" applyFont="1" applyFill="1" applyBorder="1" applyAlignment="1">
      <alignment horizontal="right" vertical="center" wrapText="1"/>
    </xf>
    <xf numFmtId="174" fontId="81" fillId="0" borderId="3" xfId="49" applyNumberFormat="1" applyFont="1" applyFill="1" applyBorder="1" applyAlignment="1">
      <alignment horizontal="right" vertical="center" wrapText="1"/>
    </xf>
    <xf numFmtId="43" fontId="82" fillId="0" borderId="80" xfId="28" applyNumberFormat="1" applyFont="1" applyFill="1" applyBorder="1" applyAlignment="1">
      <alignment horizontal="right" vertical="center" wrapText="1"/>
    </xf>
    <xf numFmtId="173" fontId="78" fillId="0" borderId="2" xfId="49" applyNumberFormat="1" applyFont="1" applyFill="1" applyBorder="1" applyAlignment="1">
      <alignment horizontal="right" vertical="top" wrapText="1"/>
    </xf>
    <xf numFmtId="164" fontId="78" fillId="0" borderId="3" xfId="49" applyNumberFormat="1" applyFont="1" applyFill="1" applyBorder="1" applyAlignment="1">
      <alignment horizontal="right" vertical="top" wrapText="1"/>
    </xf>
    <xf numFmtId="173" fontId="78" fillId="0" borderId="3" xfId="49" applyNumberFormat="1" applyFont="1" applyFill="1" applyBorder="1" applyAlignment="1">
      <alignment horizontal="right" vertical="top" wrapText="1"/>
    </xf>
    <xf numFmtId="43" fontId="82" fillId="0" borderId="81" xfId="28" applyNumberFormat="1" applyFont="1" applyFill="1" applyBorder="1" applyAlignment="1">
      <alignment horizontal="right" vertical="center" wrapText="1"/>
    </xf>
    <xf numFmtId="168" fontId="82" fillId="0" borderId="6" xfId="28" applyNumberFormat="1" applyFont="1" applyFill="1" applyBorder="1" applyAlignment="1">
      <alignment horizontal="center" vertical="center" wrapText="1"/>
    </xf>
    <xf numFmtId="168" fontId="82" fillId="0" borderId="17" xfId="28" applyNumberFormat="1" applyFont="1" applyFill="1" applyBorder="1" applyAlignment="1">
      <alignment horizontal="center" vertical="center" wrapText="1"/>
    </xf>
    <xf numFmtId="168" fontId="82" fillId="0" borderId="7" xfId="28" applyNumberFormat="1" applyFont="1" applyFill="1" applyBorder="1" applyAlignment="1">
      <alignment horizontal="center" vertical="center" wrapText="1"/>
    </xf>
    <xf numFmtId="168" fontId="82" fillId="0" borderId="13" xfId="28" applyNumberFormat="1" applyFont="1" applyFill="1" applyBorder="1" applyAlignment="1">
      <alignment horizontal="center" vertical="center" wrapText="1"/>
    </xf>
    <xf numFmtId="168" fontId="82" fillId="0" borderId="22" xfId="28" applyNumberFormat="1" applyFont="1" applyFill="1" applyBorder="1" applyAlignment="1">
      <alignment horizontal="center" vertical="center" wrapText="1"/>
    </xf>
    <xf numFmtId="168" fontId="82" fillId="0" borderId="14" xfId="28" applyNumberFormat="1" applyFont="1" applyFill="1" applyBorder="1" applyAlignment="1">
      <alignment horizontal="center" vertical="center" wrapText="1"/>
    </xf>
    <xf numFmtId="168" fontId="81" fillId="0" borderId="2" xfId="28" applyNumberFormat="1" applyFont="1" applyFill="1" applyBorder="1" applyAlignment="1">
      <alignment horizontal="center" vertical="center" wrapText="1"/>
    </xf>
    <xf numFmtId="168" fontId="81" fillId="0" borderId="23" xfId="28" applyNumberFormat="1" applyFont="1" applyFill="1" applyBorder="1" applyAlignment="1">
      <alignment horizontal="center" vertical="center" wrapText="1"/>
    </xf>
    <xf numFmtId="165" fontId="81" fillId="0" borderId="8" xfId="49" applyNumberFormat="1" applyFont="1" applyFill="1" applyBorder="1" applyAlignment="1">
      <alignment horizontal="center" vertical="center" wrapText="1"/>
    </xf>
    <xf numFmtId="2" fontId="81" fillId="0" borderId="23" xfId="49" applyNumberFormat="1" applyFont="1" applyFill="1" applyBorder="1" applyAlignment="1">
      <alignment horizontal="center" vertical="center" wrapText="1"/>
    </xf>
    <xf numFmtId="2" fontId="81" fillId="0" borderId="7" xfId="49" applyNumberFormat="1" applyFont="1" applyFill="1" applyBorder="1" applyAlignment="1">
      <alignment horizontal="center" vertical="center" wrapText="1"/>
    </xf>
    <xf numFmtId="0" fontId="2" fillId="0" borderId="4" xfId="49" applyBorder="1">
      <alignment wrapText="1"/>
    </xf>
    <xf numFmtId="0" fontId="2" fillId="0" borderId="0" xfId="49" applyAlignment="1">
      <alignment horizontal="center" wrapText="1"/>
    </xf>
    <xf numFmtId="0" fontId="0" fillId="0" borderId="0" xfId="0" applyAlignment="1">
      <alignment wrapText="1"/>
    </xf>
    <xf numFmtId="0" fontId="78" fillId="0" borderId="0" xfId="0" applyFont="1" applyFill="1" applyBorder="1" applyAlignment="1">
      <alignment vertical="top" wrapText="1"/>
    </xf>
    <xf numFmtId="173" fontId="78" fillId="0" borderId="0" xfId="0" applyNumberFormat="1" applyFont="1" applyFill="1" applyBorder="1" applyAlignment="1">
      <alignment horizontal="right" vertical="top" wrapText="1"/>
    </xf>
    <xf numFmtId="0" fontId="79" fillId="0" borderId="17" xfId="0" applyFont="1" applyFill="1" applyBorder="1" applyAlignment="1">
      <alignment vertical="top" wrapText="1"/>
    </xf>
    <xf numFmtId="165" fontId="79" fillId="0" borderId="17" xfId="0" applyNumberFormat="1" applyFont="1" applyFill="1" applyBorder="1" applyAlignment="1">
      <alignment horizontal="right" vertical="top" wrapText="1"/>
    </xf>
    <xf numFmtId="0" fontId="79" fillId="0" borderId="0" xfId="0" applyFont="1" applyFill="1" applyBorder="1" applyAlignment="1">
      <alignment vertical="top" wrapText="1"/>
    </xf>
    <xf numFmtId="165" fontId="79" fillId="0" borderId="0" xfId="0" applyNumberFormat="1" applyFont="1" applyFill="1" applyBorder="1" applyAlignment="1">
      <alignment horizontal="right" vertical="top" wrapText="1"/>
    </xf>
    <xf numFmtId="1" fontId="79" fillId="0" borderId="0" xfId="0" applyNumberFormat="1" applyFont="1" applyFill="1" applyBorder="1" applyAlignment="1">
      <alignment horizontal="right" vertical="top" wrapText="1"/>
    </xf>
    <xf numFmtId="1" fontId="79" fillId="0" borderId="0" xfId="0" applyNumberFormat="1" applyFont="1" applyFill="1" applyBorder="1" applyAlignment="1">
      <alignment vertical="top" wrapText="1"/>
    </xf>
    <xf numFmtId="0" fontId="85" fillId="0" borderId="17" xfId="0" applyFont="1" applyFill="1" applyBorder="1" applyAlignment="1">
      <alignment vertical="top" wrapText="1"/>
    </xf>
    <xf numFmtId="165" fontId="85" fillId="0" borderId="17" xfId="0" applyNumberFormat="1" applyFont="1" applyFill="1" applyBorder="1" applyAlignment="1">
      <alignment horizontal="right" vertical="top" wrapText="1"/>
    </xf>
    <xf numFmtId="0" fontId="85" fillId="0" borderId="0" xfId="0" applyFont="1" applyFill="1" applyBorder="1" applyAlignment="1">
      <alignment vertical="top" wrapText="1"/>
    </xf>
    <xf numFmtId="173" fontId="85" fillId="0" borderId="0" xfId="0" applyNumberFormat="1" applyFont="1" applyFill="1" applyBorder="1" applyAlignment="1">
      <alignment horizontal="right" vertical="top" wrapText="1"/>
    </xf>
    <xf numFmtId="166" fontId="85" fillId="0" borderId="0" xfId="43" applyNumberFormat="1" applyFont="1" applyFill="1" applyBorder="1" applyAlignment="1">
      <alignment horizontal="right" vertical="top" wrapText="1"/>
    </xf>
    <xf numFmtId="0" fontId="78" fillId="0" borderId="47" xfId="0" applyFont="1" applyFill="1" applyBorder="1" applyAlignment="1">
      <alignment vertical="top" wrapText="1"/>
    </xf>
    <xf numFmtId="0" fontId="85" fillId="0" borderId="47" xfId="0" applyFont="1" applyFill="1" applyBorder="1" applyAlignment="1">
      <alignment vertical="top" wrapText="1"/>
    </xf>
    <xf numFmtId="1" fontId="53" fillId="0" borderId="1" xfId="0" applyNumberFormat="1" applyFont="1" applyFill="1" applyBorder="1" applyAlignment="1">
      <alignment vertical="top" wrapText="1"/>
    </xf>
    <xf numFmtId="1" fontId="53" fillId="0" borderId="17" xfId="0" applyNumberFormat="1" applyFont="1" applyFill="1" applyBorder="1" applyAlignment="1">
      <alignment vertical="top" wrapText="1"/>
    </xf>
    <xf numFmtId="1" fontId="53" fillId="0" borderId="7" xfId="0" applyNumberFormat="1" applyFont="1" applyFill="1" applyBorder="1" applyAlignment="1">
      <alignment vertical="top" wrapText="1"/>
    </xf>
    <xf numFmtId="1" fontId="53" fillId="0" borderId="12" xfId="0" applyNumberFormat="1" applyFont="1" applyFill="1" applyBorder="1" applyAlignment="1">
      <alignment vertical="top" wrapText="1"/>
    </xf>
    <xf numFmtId="1" fontId="53" fillId="0" borderId="22" xfId="0" applyNumberFormat="1" applyFont="1" applyFill="1" applyBorder="1" applyAlignment="1">
      <alignment vertical="top" wrapText="1"/>
    </xf>
    <xf numFmtId="1" fontId="53" fillId="0" borderId="14" xfId="0" applyNumberFormat="1" applyFont="1" applyFill="1" applyBorder="1" applyAlignment="1">
      <alignment vertical="top" wrapText="1"/>
    </xf>
    <xf numFmtId="2" fontId="8" fillId="0" borderId="2" xfId="0" applyNumberFormat="1" applyFont="1" applyBorder="1" applyAlignment="1">
      <alignment horizontal="right" wrapText="1"/>
    </xf>
    <xf numFmtId="1" fontId="8" fillId="0" borderId="12" xfId="0" applyNumberFormat="1" applyFont="1" applyBorder="1" applyAlignment="1">
      <alignment wrapText="1"/>
    </xf>
    <xf numFmtId="1" fontId="8" fillId="0" borderId="22" xfId="0" applyNumberFormat="1" applyFont="1" applyBorder="1" applyAlignment="1">
      <alignment wrapText="1"/>
    </xf>
    <xf numFmtId="1" fontId="8" fillId="0" borderId="49" xfId="0" applyNumberFormat="1" applyFont="1" applyBorder="1" applyAlignment="1">
      <alignment wrapText="1"/>
    </xf>
    <xf numFmtId="0" fontId="87" fillId="0" borderId="13" xfId="0" applyFont="1" applyBorder="1" applyAlignment="1">
      <alignment horizontal="center" wrapText="1"/>
    </xf>
    <xf numFmtId="166" fontId="87" fillId="0" borderId="22" xfId="43" applyNumberFormat="1" applyFont="1" applyBorder="1" applyAlignment="1">
      <alignment horizontal="center" wrapText="1"/>
    </xf>
    <xf numFmtId="166" fontId="87" fillId="0" borderId="14" xfId="43" applyNumberFormat="1" applyFont="1" applyBorder="1" applyAlignment="1">
      <alignment horizontal="center" wrapText="1"/>
    </xf>
    <xf numFmtId="0" fontId="0" fillId="0" borderId="0" xfId="0" applyBorder="1" applyAlignment="1">
      <alignment wrapText="1"/>
    </xf>
    <xf numFmtId="0" fontId="8" fillId="0" borderId="0" xfId="0" applyFont="1" applyBorder="1" applyAlignment="1">
      <alignment horizontal="center" wrapText="1"/>
    </xf>
    <xf numFmtId="1" fontId="8" fillId="0" borderId="23" xfId="0" applyNumberFormat="1" applyFont="1" applyBorder="1" applyAlignment="1">
      <alignment wrapText="1"/>
    </xf>
    <xf numFmtId="1" fontId="88" fillId="0" borderId="1" xfId="0" applyNumberFormat="1" applyFont="1" applyBorder="1" applyAlignment="1">
      <alignment wrapText="1"/>
    </xf>
    <xf numFmtId="1" fontId="88" fillId="0" borderId="12" xfId="0" applyNumberFormat="1" applyFont="1" applyBorder="1" applyAlignment="1">
      <alignment wrapText="1"/>
    </xf>
    <xf numFmtId="166" fontId="8" fillId="0" borderId="0" xfId="43" applyNumberFormat="1" applyFont="1" applyBorder="1" applyAlignment="1">
      <alignment horizontal="center" wrapText="1"/>
    </xf>
    <xf numFmtId="1" fontId="8" fillId="0" borderId="0" xfId="0" applyNumberFormat="1" applyFont="1" applyBorder="1" applyAlignment="1">
      <alignment horizontal="center" wrapText="1"/>
    </xf>
    <xf numFmtId="165" fontId="12" fillId="0" borderId="6" xfId="0" applyNumberFormat="1" applyFont="1" applyBorder="1" applyAlignment="1"/>
    <xf numFmtId="165" fontId="2" fillId="0" borderId="13" xfId="0" applyNumberFormat="1" applyFont="1" applyBorder="1" applyAlignment="1"/>
    <xf numFmtId="0" fontId="61" fillId="0" borderId="0" xfId="0" applyFont="1" applyAlignment="1"/>
    <xf numFmtId="0" fontId="0" fillId="0" borderId="19" xfId="0" applyBorder="1" applyAlignment="1">
      <alignment wrapText="1"/>
    </xf>
    <xf numFmtId="0" fontId="9" fillId="0" borderId="19" xfId="35" applyBorder="1" applyAlignment="1" applyProtection="1"/>
    <xf numFmtId="0" fontId="61" fillId="0" borderId="10" xfId="0" applyFont="1" applyBorder="1" applyAlignment="1">
      <alignment wrapText="1"/>
    </xf>
    <xf numFmtId="0" fontId="61" fillId="0" borderId="42" xfId="0" applyFont="1" applyBorder="1" applyAlignment="1">
      <alignment wrapText="1"/>
    </xf>
    <xf numFmtId="0" fontId="61" fillId="0" borderId="11" xfId="0" applyFont="1" applyBorder="1" applyAlignment="1">
      <alignment wrapText="1"/>
    </xf>
    <xf numFmtId="0" fontId="0" fillId="0" borderId="0" xfId="0" applyAlignment="1"/>
    <xf numFmtId="0" fontId="0" fillId="0" borderId="15" xfId="0" applyBorder="1" applyAlignment="1"/>
    <xf numFmtId="0" fontId="0" fillId="0" borderId="0" xfId="0" applyBorder="1" applyAlignment="1"/>
    <xf numFmtId="0" fontId="0" fillId="0" borderId="16" xfId="0" applyBorder="1" applyAlignment="1"/>
    <xf numFmtId="0" fontId="61" fillId="0" borderId="63" xfId="0" applyFont="1" applyBorder="1" applyAlignment="1"/>
    <xf numFmtId="0" fontId="0" fillId="0" borderId="17" xfId="0" applyBorder="1" applyAlignment="1"/>
    <xf numFmtId="165" fontId="61" fillId="0" borderId="68" xfId="0" applyNumberFormat="1" applyFont="1" applyBorder="1" applyAlignment="1"/>
    <xf numFmtId="0" fontId="61" fillId="0" borderId="15" xfId="0" applyFont="1" applyBorder="1" applyAlignment="1"/>
    <xf numFmtId="165" fontId="61" fillId="0" borderId="16" xfId="0" applyNumberFormat="1" applyFont="1" applyBorder="1" applyAlignment="1"/>
    <xf numFmtId="0" fontId="61" fillId="0" borderId="62" xfId="0" applyFont="1" applyBorder="1" applyAlignment="1"/>
    <xf numFmtId="0" fontId="0" fillId="0" borderId="3" xfId="0" applyBorder="1" applyAlignment="1"/>
    <xf numFmtId="9" fontId="61" fillId="0" borderId="48" xfId="43" applyFont="1" applyBorder="1" applyAlignment="1"/>
    <xf numFmtId="0" fontId="68" fillId="0" borderId="0" xfId="0" applyFont="1" applyBorder="1" applyAlignment="1"/>
    <xf numFmtId="0" fontId="68" fillId="0" borderId="16" xfId="0" applyFont="1" applyBorder="1" applyAlignment="1"/>
    <xf numFmtId="0" fontId="2" fillId="0" borderId="15" xfId="0" applyFont="1" applyBorder="1" applyAlignment="1"/>
    <xf numFmtId="0" fontId="0" fillId="0" borderId="2" xfId="0" applyBorder="1" applyAlignment="1"/>
    <xf numFmtId="165" fontId="0" fillId="0" borderId="4" xfId="0" applyNumberFormat="1" applyBorder="1" applyAlignment="1"/>
    <xf numFmtId="3" fontId="0" fillId="0" borderId="0" xfId="0" applyNumberFormat="1" applyBorder="1" applyAlignment="1"/>
    <xf numFmtId="0" fontId="0" fillId="0" borderId="51" xfId="0" applyBorder="1" applyAlignment="1"/>
    <xf numFmtId="0" fontId="0" fillId="0" borderId="52" xfId="0" applyBorder="1" applyAlignment="1"/>
    <xf numFmtId="0" fontId="61" fillId="0" borderId="53" xfId="0" applyFont="1" applyBorder="1" applyAlignment="1">
      <alignment horizontal="right"/>
    </xf>
    <xf numFmtId="0" fontId="61" fillId="0" borderId="51" xfId="0" applyFont="1" applyBorder="1" applyAlignment="1"/>
    <xf numFmtId="0" fontId="61" fillId="0" borderId="53" xfId="0" applyFont="1" applyBorder="1" applyAlignment="1"/>
    <xf numFmtId="4" fontId="0" fillId="0" borderId="16" xfId="0" applyNumberFormat="1" applyBorder="1" applyAlignment="1"/>
    <xf numFmtId="43" fontId="0" fillId="0" borderId="16" xfId="0" applyNumberFormat="1" applyBorder="1" applyAlignment="1"/>
    <xf numFmtId="3" fontId="0" fillId="25" borderId="0" xfId="0" applyNumberFormat="1" applyFill="1" applyBorder="1" applyAlignment="1"/>
    <xf numFmtId="0" fontId="2" fillId="0" borderId="21" xfId="0" applyFont="1" applyBorder="1" applyAlignment="1"/>
    <xf numFmtId="0" fontId="0" fillId="0" borderId="19" xfId="0" applyBorder="1" applyAlignment="1"/>
    <xf numFmtId="4" fontId="0" fillId="0" borderId="20" xfId="0" applyNumberFormat="1" applyBorder="1" applyAlignment="1"/>
    <xf numFmtId="3" fontId="0" fillId="0" borderId="0" xfId="0" applyNumberFormat="1" applyAlignment="1"/>
    <xf numFmtId="43" fontId="0" fillId="0" borderId="23" xfId="0" applyNumberFormat="1" applyFill="1" applyBorder="1" applyAlignment="1"/>
    <xf numFmtId="2" fontId="90" fillId="0" borderId="6" xfId="39" applyNumberFormat="1" applyFont="1" applyFill="1" applyBorder="1" applyAlignment="1" applyProtection="1">
      <alignment horizontal="left"/>
      <protection locked="0"/>
    </xf>
    <xf numFmtId="0" fontId="0" fillId="0" borderId="0" xfId="0"/>
    <xf numFmtId="0" fontId="0" fillId="0" borderId="0" xfId="0"/>
    <xf numFmtId="0" fontId="9" fillId="0" borderId="0" xfId="35" applyAlignment="1" applyProtection="1"/>
    <xf numFmtId="0" fontId="2" fillId="0" borderId="21" xfId="0" applyFont="1" applyBorder="1"/>
    <xf numFmtId="0" fontId="2" fillId="0" borderId="20" xfId="0" applyFont="1" applyBorder="1"/>
    <xf numFmtId="0" fontId="69" fillId="0" borderId="0" xfId="0" applyFont="1" applyFill="1" applyBorder="1" applyAlignment="1">
      <alignment vertical="top" wrapText="1"/>
    </xf>
    <xf numFmtId="0" fontId="69" fillId="0" borderId="38" xfId="0" applyFont="1" applyFill="1" applyBorder="1" applyAlignment="1">
      <alignment horizontal="center" wrapText="1"/>
    </xf>
    <xf numFmtId="0" fontId="17" fillId="0" borderId="1" xfId="0" applyFont="1" applyBorder="1"/>
    <xf numFmtId="0" fontId="69" fillId="0" borderId="36" xfId="0" applyFont="1" applyFill="1" applyBorder="1" applyAlignment="1">
      <alignment horizontal="center" wrapText="1"/>
    </xf>
    <xf numFmtId="0" fontId="17" fillId="0" borderId="5" xfId="0" applyFont="1" applyBorder="1"/>
    <xf numFmtId="0" fontId="69" fillId="0" borderId="34" xfId="0" applyFont="1" applyFill="1" applyBorder="1" applyAlignment="1">
      <alignment horizontal="right" wrapText="1"/>
    </xf>
    <xf numFmtId="0" fontId="69" fillId="0" borderId="35" xfId="0" applyFont="1" applyFill="1" applyBorder="1" applyAlignment="1">
      <alignment horizontal="right" wrapText="1"/>
    </xf>
    <xf numFmtId="0" fontId="92" fillId="0" borderId="12" xfId="0" applyFont="1" applyFill="1" applyBorder="1" applyAlignment="1">
      <alignment horizontal="right" wrapText="1"/>
    </xf>
    <xf numFmtId="0" fontId="69" fillId="0" borderId="0" xfId="0" applyFont="1" applyFill="1" applyBorder="1" applyAlignment="1">
      <alignment horizontal="left" vertical="center" wrapText="1"/>
    </xf>
    <xf numFmtId="169" fontId="69" fillId="0" borderId="0" xfId="0" applyNumberFormat="1" applyFont="1" applyFill="1" applyBorder="1" applyAlignment="1">
      <alignment horizontal="right" vertical="center" wrapText="1"/>
    </xf>
    <xf numFmtId="170" fontId="69" fillId="0" borderId="0" xfId="0" applyNumberFormat="1" applyFont="1" applyFill="1" applyBorder="1" applyAlignment="1">
      <alignment horizontal="right" vertical="center" wrapText="1"/>
    </xf>
    <xf numFmtId="1" fontId="92" fillId="0" borderId="6" xfId="0" applyNumberFormat="1" applyFont="1" applyFill="1" applyBorder="1" applyAlignment="1">
      <alignment horizontal="right" vertical="center" wrapText="1"/>
    </xf>
    <xf numFmtId="169" fontId="17" fillId="0" borderId="7" xfId="0" applyNumberFormat="1" applyFont="1" applyBorder="1"/>
    <xf numFmtId="3" fontId="12" fillId="0" borderId="1" xfId="28" applyNumberFormat="1" applyFont="1" applyBorder="1"/>
    <xf numFmtId="1" fontId="92" fillId="0" borderId="8" xfId="0" applyNumberFormat="1" applyFont="1" applyFill="1" applyBorder="1" applyAlignment="1">
      <alignment horizontal="right" vertical="center" wrapText="1"/>
    </xf>
    <xf numFmtId="169" fontId="17" fillId="0" borderId="9" xfId="0" applyNumberFormat="1" applyFont="1" applyBorder="1"/>
    <xf numFmtId="0" fontId="69" fillId="0" borderId="0" xfId="0" applyFont="1" applyFill="1" applyBorder="1" applyAlignment="1">
      <alignment horizontal="left" wrapText="1"/>
    </xf>
    <xf numFmtId="1" fontId="92" fillId="0" borderId="13" xfId="0" applyNumberFormat="1" applyFont="1" applyFill="1" applyBorder="1" applyAlignment="1">
      <alignment horizontal="right" vertical="center" wrapText="1"/>
    </xf>
    <xf numFmtId="169" fontId="17" fillId="0" borderId="14" xfId="0" applyNumberFormat="1" applyFont="1" applyBorder="1"/>
    <xf numFmtId="1" fontId="69" fillId="0" borderId="0" xfId="0" applyNumberFormat="1" applyFont="1" applyFill="1" applyBorder="1" applyAlignment="1">
      <alignment horizontal="right" vertical="center" wrapText="1"/>
    </xf>
    <xf numFmtId="3" fontId="12" fillId="0" borderId="0" xfId="0" applyNumberFormat="1" applyFont="1" applyFill="1" applyBorder="1"/>
    <xf numFmtId="169" fontId="17" fillId="0" borderId="0" xfId="0" applyNumberFormat="1" applyFont="1"/>
    <xf numFmtId="3" fontId="17" fillId="0" borderId="6" xfId="28" applyNumberFormat="1" applyFont="1" applyBorder="1"/>
    <xf numFmtId="0" fontId="17" fillId="0" borderId="7" xfId="0" applyFont="1" applyBorder="1"/>
    <xf numFmtId="3" fontId="17" fillId="0" borderId="8" xfId="28" applyNumberFormat="1" applyFont="1" applyBorder="1"/>
    <xf numFmtId="0" fontId="17" fillId="0" borderId="9" xfId="0" applyFont="1" applyBorder="1"/>
    <xf numFmtId="3" fontId="17" fillId="0" borderId="13" xfId="28" applyNumberFormat="1" applyFont="1" applyBorder="1"/>
    <xf numFmtId="0" fontId="17" fillId="0" borderId="14" xfId="0" applyFont="1" applyBorder="1"/>
    <xf numFmtId="0" fontId="17" fillId="0" borderId="9" xfId="0" applyFont="1" applyFill="1" applyBorder="1" applyAlignment="1">
      <alignment horizontal="right"/>
    </xf>
    <xf numFmtId="43" fontId="12" fillId="0" borderId="0" xfId="28" applyFont="1"/>
    <xf numFmtId="3" fontId="12" fillId="0" borderId="0" xfId="0" applyNumberFormat="1" applyFont="1" applyBorder="1" applyAlignment="1">
      <alignment horizontal="center"/>
    </xf>
    <xf numFmtId="1" fontId="12" fillId="0" borderId="0" xfId="0" applyNumberFormat="1" applyFont="1" applyAlignment="1">
      <alignment horizontal="center"/>
    </xf>
    <xf numFmtId="0" fontId="17" fillId="0" borderId="17" xfId="0" applyFont="1" applyBorder="1" applyAlignment="1">
      <alignment horizontal="right"/>
    </xf>
    <xf numFmtId="0" fontId="17" fillId="0" borderId="22" xfId="0" applyFont="1" applyBorder="1" applyAlignment="1">
      <alignment horizontal="right"/>
    </xf>
    <xf numFmtId="0" fontId="17" fillId="0" borderId="83" xfId="0" applyFont="1" applyBorder="1" applyAlignment="1">
      <alignment horizontal="center" vertical="center"/>
    </xf>
    <xf numFmtId="0" fontId="17" fillId="0" borderId="69" xfId="0" applyFont="1" applyBorder="1" applyAlignment="1">
      <alignment horizontal="center" vertical="center"/>
    </xf>
    <xf numFmtId="3" fontId="17" fillId="0" borderId="16" xfId="28" applyNumberFormat="1" applyFont="1" applyBorder="1" applyAlignment="1">
      <alignment horizontal="center"/>
    </xf>
    <xf numFmtId="3" fontId="17" fillId="0" borderId="20" xfId="28" applyNumberFormat="1" applyFont="1" applyBorder="1" applyAlignment="1">
      <alignment horizontal="center"/>
    </xf>
    <xf numFmtId="0" fontId="17" fillId="0" borderId="58"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3" fontId="17" fillId="0" borderId="80" xfId="28" applyNumberFormat="1" applyFont="1" applyBorder="1" applyAlignment="1">
      <alignment horizontal="center"/>
    </xf>
    <xf numFmtId="3" fontId="17" fillId="0" borderId="86" xfId="28" applyNumberFormat="1" applyFont="1" applyBorder="1" applyAlignment="1">
      <alignment horizontal="center"/>
    </xf>
    <xf numFmtId="3" fontId="17" fillId="0" borderId="81" xfId="28" applyNumberFormat="1" applyFont="1" applyBorder="1" applyAlignment="1">
      <alignment horizontal="center"/>
    </xf>
    <xf numFmtId="3" fontId="17" fillId="0" borderId="80" xfId="0" applyNumberFormat="1" applyFont="1" applyBorder="1" applyAlignment="1">
      <alignment horizontal="center"/>
    </xf>
    <xf numFmtId="3" fontId="17" fillId="0" borderId="86" xfId="0" applyNumberFormat="1" applyFont="1" applyBorder="1" applyAlignment="1">
      <alignment horizontal="center"/>
    </xf>
    <xf numFmtId="3" fontId="17" fillId="0" borderId="81" xfId="0" applyNumberFormat="1" applyFont="1" applyBorder="1" applyAlignment="1">
      <alignment horizontal="center"/>
    </xf>
    <xf numFmtId="3" fontId="12" fillId="0" borderId="63" xfId="28" applyNumberFormat="1" applyFont="1" applyBorder="1" applyAlignment="1">
      <alignment horizontal="center"/>
    </xf>
    <xf numFmtId="3" fontId="12" fillId="0" borderId="7" xfId="28" applyNumberFormat="1" applyFont="1" applyBorder="1" applyAlignment="1">
      <alignment horizontal="center"/>
    </xf>
    <xf numFmtId="3" fontId="12" fillId="0" borderId="15" xfId="28" applyNumberFormat="1" applyFont="1" applyBorder="1" applyAlignment="1">
      <alignment horizontal="center"/>
    </xf>
    <xf numFmtId="3" fontId="12" fillId="0" borderId="9" xfId="28" applyNumberFormat="1" applyFont="1" applyBorder="1" applyAlignment="1">
      <alignment horizontal="center"/>
    </xf>
    <xf numFmtId="3" fontId="12" fillId="0" borderId="21" xfId="28" applyNumberFormat="1" applyFont="1" applyBorder="1" applyAlignment="1">
      <alignment horizontal="center"/>
    </xf>
    <xf numFmtId="3" fontId="12" fillId="0" borderId="39" xfId="28" applyNumberFormat="1" applyFont="1" applyBorder="1" applyAlignment="1">
      <alignment horizontal="center"/>
    </xf>
    <xf numFmtId="3" fontId="17" fillId="0" borderId="68" xfId="0" applyNumberFormat="1" applyFont="1" applyBorder="1" applyAlignment="1">
      <alignment horizontal="center"/>
    </xf>
    <xf numFmtId="1" fontId="17" fillId="0" borderId="16" xfId="0" applyNumberFormat="1" applyFont="1" applyBorder="1" applyAlignment="1">
      <alignment horizontal="center"/>
    </xf>
    <xf numFmtId="0" fontId="91" fillId="0" borderId="15" xfId="0" applyFont="1" applyBorder="1"/>
    <xf numFmtId="0" fontId="0" fillId="0" borderId="21" xfId="0" applyBorder="1"/>
    <xf numFmtId="0" fontId="0" fillId="0" borderId="20" xfId="0" applyBorder="1"/>
    <xf numFmtId="0" fontId="19" fillId="0" borderId="15" xfId="0" applyFont="1" applyBorder="1"/>
    <xf numFmtId="0" fontId="19" fillId="0" borderId="16" xfId="0" applyFont="1" applyBorder="1"/>
    <xf numFmtId="0" fontId="19" fillId="0" borderId="15" xfId="0" applyFont="1" applyFill="1" applyBorder="1"/>
    <xf numFmtId="0" fontId="2" fillId="0" borderId="0" xfId="0" applyFont="1" applyFill="1" applyBorder="1" applyAlignment="1" applyProtection="1">
      <protection locked="0"/>
    </xf>
    <xf numFmtId="0" fontId="2" fillId="0" borderId="0" xfId="0" applyFont="1" applyBorder="1" applyAlignment="1" applyProtection="1">
      <protection locked="0"/>
    </xf>
    <xf numFmtId="0" fontId="94" fillId="0" borderId="0" xfId="0" applyFont="1" applyFill="1"/>
    <xf numFmtId="0" fontId="95" fillId="0" borderId="0" xfId="0" applyFont="1" applyFill="1" applyAlignment="1">
      <alignment horizontal="center"/>
    </xf>
    <xf numFmtId="0" fontId="95" fillId="0" borderId="0" xfId="0" applyFont="1" applyAlignment="1">
      <alignment horizontal="center"/>
    </xf>
    <xf numFmtId="0" fontId="9" fillId="0" borderId="15" xfId="35" quotePrefix="1" applyBorder="1" applyAlignment="1" applyProtection="1"/>
    <xf numFmtId="1" fontId="2" fillId="0" borderId="5" xfId="0" applyNumberFormat="1" applyFont="1" applyBorder="1" applyAlignment="1">
      <alignment horizontal="center"/>
    </xf>
    <xf numFmtId="2" fontId="2" fillId="0" borderId="8" xfId="0" applyNumberFormat="1" applyFont="1" applyBorder="1" applyAlignment="1">
      <alignment horizontal="center"/>
    </xf>
    <xf numFmtId="0" fontId="2" fillId="0" borderId="9" xfId="0" applyFont="1" applyBorder="1" applyAlignment="1">
      <alignment horizontal="center"/>
    </xf>
    <xf numFmtId="168" fontId="2" fillId="0" borderId="8" xfId="28" applyNumberFormat="1" applyFont="1" applyBorder="1" applyAlignment="1">
      <alignment horizontal="center"/>
    </xf>
    <xf numFmtId="168" fontId="61" fillId="0" borderId="16" xfId="0" applyNumberFormat="1" applyFont="1" applyBorder="1" applyAlignment="1">
      <alignment horizontal="center"/>
    </xf>
    <xf numFmtId="0" fontId="2" fillId="0" borderId="8" xfId="0" applyFont="1" applyBorder="1" applyAlignment="1">
      <alignment horizontal="center"/>
    </xf>
    <xf numFmtId="0" fontId="61" fillId="0" borderId="16" xfId="0" applyFont="1" applyBorder="1" applyAlignment="1">
      <alignment horizontal="center"/>
    </xf>
    <xf numFmtId="165" fontId="2" fillId="0" borderId="9" xfId="0" applyNumberFormat="1" applyFont="1" applyBorder="1" applyAlignment="1">
      <alignment horizontal="center"/>
    </xf>
    <xf numFmtId="168" fontId="61" fillId="24" borderId="53" xfId="0" applyNumberFormat="1" applyFont="1" applyFill="1" applyBorder="1" applyAlignment="1">
      <alignment horizontal="center"/>
    </xf>
    <xf numFmtId="165" fontId="61" fillId="0" borderId="6" xfId="0" applyNumberFormat="1"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2" fillId="0" borderId="17" xfId="0" applyFont="1" applyBorder="1" applyAlignment="1">
      <alignment horizontal="center"/>
    </xf>
    <xf numFmtId="0" fontId="2" fillId="0" borderId="6" xfId="0" applyFont="1" applyBorder="1" applyAlignment="1">
      <alignment horizontal="center"/>
    </xf>
    <xf numFmtId="0" fontId="2" fillId="0" borderId="68" xfId="0" applyFont="1" applyBorder="1" applyAlignment="1">
      <alignment horizontal="center"/>
    </xf>
    <xf numFmtId="165" fontId="2" fillId="0" borderId="0" xfId="0" applyNumberFormat="1" applyFont="1" applyBorder="1" applyAlignment="1">
      <alignment horizontal="center"/>
    </xf>
    <xf numFmtId="0" fontId="2" fillId="0" borderId="0" xfId="0" applyFont="1" applyAlignment="1">
      <alignment horizontal="center"/>
    </xf>
    <xf numFmtId="165" fontId="61" fillId="0" borderId="8" xfId="0" applyNumberFormat="1" applyFont="1" applyBorder="1" applyAlignment="1">
      <alignment horizontal="center"/>
    </xf>
    <xf numFmtId="165" fontId="2" fillId="0" borderId="8" xfId="0" applyNumberFormat="1" applyFont="1" applyBorder="1" applyAlignment="1">
      <alignment horizontal="center"/>
    </xf>
    <xf numFmtId="0" fontId="2" fillId="0" borderId="71" xfId="0" applyFont="1" applyBorder="1" applyAlignment="1">
      <alignment horizontal="center"/>
    </xf>
    <xf numFmtId="168" fontId="61" fillId="24" borderId="72" xfId="28" applyNumberFormat="1" applyFont="1" applyFill="1" applyBorder="1" applyAlignment="1">
      <alignment horizontal="center"/>
    </xf>
    <xf numFmtId="0" fontId="2" fillId="0" borderId="16" xfId="0" applyFont="1" applyBorder="1" applyAlignment="1">
      <alignment horizontal="center"/>
    </xf>
    <xf numFmtId="168" fontId="73" fillId="24" borderId="53" xfId="28" applyNumberFormat="1" applyFont="1" applyFill="1" applyBorder="1" applyAlignment="1">
      <alignment horizontal="center" vertical="center"/>
    </xf>
    <xf numFmtId="168" fontId="2" fillId="0" borderId="15" xfId="0" applyNumberFormat="1" applyFont="1" applyBorder="1" applyAlignment="1">
      <alignment horizontal="center"/>
    </xf>
    <xf numFmtId="9" fontId="2" fillId="0" borderId="9" xfId="43" applyFont="1" applyBorder="1" applyAlignment="1">
      <alignment horizontal="center"/>
    </xf>
    <xf numFmtId="0" fontId="2" fillId="0" borderId="15" xfId="0" applyFont="1" applyBorder="1" applyAlignment="1">
      <alignment horizontal="center"/>
    </xf>
    <xf numFmtId="168" fontId="2" fillId="0" borderId="8" xfId="0" applyNumberFormat="1" applyFont="1" applyBorder="1" applyAlignment="1">
      <alignment horizontal="center"/>
    </xf>
    <xf numFmtId="168" fontId="2" fillId="0" borderId="0" xfId="0" applyNumberFormat="1" applyFont="1" applyBorder="1" applyAlignment="1">
      <alignment horizontal="center"/>
    </xf>
    <xf numFmtId="9" fontId="2" fillId="0" borderId="16" xfId="43" applyFont="1" applyBorder="1" applyAlignment="1">
      <alignment horizontal="center"/>
    </xf>
    <xf numFmtId="166" fontId="2" fillId="0" borderId="75" xfId="43" applyNumberFormat="1" applyFont="1" applyBorder="1" applyAlignment="1">
      <alignment horizontal="center"/>
    </xf>
    <xf numFmtId="166" fontId="2" fillId="0" borderId="0" xfId="0" applyNumberFormat="1" applyFont="1" applyBorder="1" applyAlignment="1">
      <alignment horizontal="center"/>
    </xf>
    <xf numFmtId="166" fontId="2" fillId="0" borderId="55" xfId="0" applyNumberFormat="1" applyFont="1" applyBorder="1" applyAlignment="1">
      <alignment horizontal="center"/>
    </xf>
    <xf numFmtId="166" fontId="2" fillId="0" borderId="0" xfId="43" applyNumberFormat="1" applyFont="1" applyBorder="1" applyAlignment="1">
      <alignment horizontal="center"/>
    </xf>
    <xf numFmtId="166" fontId="2" fillId="0" borderId="55" xfId="43" applyNumberFormat="1" applyFont="1" applyBorder="1" applyAlignment="1">
      <alignment horizontal="center"/>
    </xf>
    <xf numFmtId="9" fontId="61" fillId="24" borderId="73" xfId="0" applyNumberFormat="1" applyFont="1" applyFill="1" applyBorder="1" applyAlignment="1">
      <alignment horizontal="center"/>
    </xf>
    <xf numFmtId="9" fontId="61" fillId="24" borderId="52" xfId="0" applyNumberFormat="1" applyFont="1" applyFill="1" applyBorder="1" applyAlignment="1">
      <alignment horizontal="center"/>
    </xf>
    <xf numFmtId="9" fontId="61" fillId="24" borderId="72" xfId="0" applyNumberFormat="1" applyFont="1" applyFill="1" applyBorder="1" applyAlignment="1">
      <alignment horizontal="center"/>
    </xf>
    <xf numFmtId="168" fontId="61" fillId="24" borderId="51" xfId="28" applyNumberFormat="1" applyFont="1" applyFill="1" applyBorder="1" applyAlignment="1">
      <alignment horizontal="center" vertical="center"/>
    </xf>
    <xf numFmtId="168" fontId="61" fillId="24" borderId="52" xfId="28" applyNumberFormat="1" applyFont="1" applyFill="1" applyBorder="1" applyAlignment="1">
      <alignment horizontal="center" vertical="center"/>
    </xf>
    <xf numFmtId="2" fontId="87" fillId="0" borderId="0" xfId="50" quotePrefix="1" applyNumberFormat="1" applyFont="1" applyAlignment="1">
      <alignment horizontal="left"/>
    </xf>
    <xf numFmtId="4" fontId="2" fillId="0" borderId="0" xfId="50" applyNumberFormat="1"/>
    <xf numFmtId="0" fontId="2" fillId="0" borderId="0" xfId="50"/>
    <xf numFmtId="0" fontId="2" fillId="0" borderId="0" xfId="50" applyFill="1" applyBorder="1"/>
    <xf numFmtId="0" fontId="8" fillId="0" borderId="87" xfId="50" applyFont="1" applyBorder="1" applyAlignment="1">
      <alignment horizontal="center" wrapText="1"/>
    </xf>
    <xf numFmtId="4" fontId="8" fillId="0" borderId="88" xfId="50" quotePrefix="1" applyNumberFormat="1" applyFont="1" applyBorder="1" applyAlignment="1">
      <alignment horizontal="right" wrapText="1"/>
    </xf>
    <xf numFmtId="4" fontId="8" fillId="0" borderId="0" xfId="50" quotePrefix="1" applyNumberFormat="1" applyFont="1" applyBorder="1" applyAlignment="1">
      <alignment horizontal="right" wrapText="1"/>
    </xf>
    <xf numFmtId="4" fontId="8" fillId="0" borderId="0" xfId="50" applyNumberFormat="1" applyFont="1" applyBorder="1" applyAlignment="1">
      <alignment horizontal="right" wrapText="1"/>
    </xf>
    <xf numFmtId="4" fontId="8" fillId="0" borderId="14" xfId="50" applyNumberFormat="1" applyFont="1" applyBorder="1" applyAlignment="1">
      <alignment horizontal="center" wrapText="1"/>
    </xf>
    <xf numFmtId="0" fontId="8" fillId="0" borderId="0" xfId="50" applyFont="1" applyAlignment="1">
      <alignment horizontal="center" wrapText="1"/>
    </xf>
    <xf numFmtId="0" fontId="8" fillId="0" borderId="0" xfId="50" applyFont="1" applyFill="1" applyBorder="1" applyAlignment="1">
      <alignment horizontal="center" wrapText="1"/>
    </xf>
    <xf numFmtId="3" fontId="8" fillId="0" borderId="0" xfId="50" applyNumberFormat="1" applyFont="1" applyAlignment="1">
      <alignment horizontal="center"/>
    </xf>
    <xf numFmtId="0" fontId="8" fillId="0" borderId="0" xfId="50" applyFont="1" applyFill="1" applyBorder="1" applyAlignment="1">
      <alignment horizontal="center"/>
    </xf>
    <xf numFmtId="0" fontId="8" fillId="0" borderId="0" xfId="50" applyFont="1" applyAlignment="1">
      <alignment horizontal="center"/>
    </xf>
    <xf numFmtId="175" fontId="2" fillId="0" borderId="1" xfId="51" applyNumberFormat="1" applyBorder="1" applyAlignment="1">
      <alignment horizontal="right"/>
    </xf>
    <xf numFmtId="3" fontId="2" fillId="0" borderId="17" xfId="50" applyNumberFormat="1" applyBorder="1" applyAlignment="1">
      <alignment horizontal="right"/>
    </xf>
    <xf numFmtId="3" fontId="2" fillId="0" borderId="7" xfId="50" applyNumberFormat="1" applyBorder="1" applyAlignment="1">
      <alignment horizontal="right"/>
    </xf>
    <xf numFmtId="3" fontId="2" fillId="0" borderId="0" xfId="50" applyNumberFormat="1"/>
    <xf numFmtId="14" fontId="2" fillId="0" borderId="0" xfId="50" applyNumberFormat="1" applyFill="1" applyBorder="1"/>
    <xf numFmtId="175" fontId="2" fillId="0" borderId="5" xfId="51" applyNumberFormat="1" applyBorder="1" applyAlignment="1">
      <alignment horizontal="right"/>
    </xf>
    <xf numFmtId="3" fontId="2" fillId="0" borderId="0" xfId="50" applyNumberFormat="1" applyBorder="1" applyAlignment="1">
      <alignment horizontal="right"/>
    </xf>
    <xf numFmtId="3" fontId="2" fillId="0" borderId="9" xfId="50" applyNumberFormat="1" applyBorder="1" applyAlignment="1">
      <alignment horizontal="right"/>
    </xf>
    <xf numFmtId="3" fontId="61" fillId="0" borderId="1" xfId="50" applyNumberFormat="1" applyFont="1" applyBorder="1" applyAlignment="1">
      <alignment horizontal="right"/>
    </xf>
    <xf numFmtId="14" fontId="61" fillId="0" borderId="1" xfId="50" applyNumberFormat="1" applyFont="1" applyFill="1" applyBorder="1" applyAlignment="1">
      <alignment horizontal="right"/>
    </xf>
    <xf numFmtId="3" fontId="61" fillId="0" borderId="5" xfId="50" applyNumberFormat="1" applyFont="1" applyBorder="1" applyAlignment="1">
      <alignment horizontal="right"/>
    </xf>
    <xf numFmtId="14" fontId="61" fillId="0" borderId="5" xfId="50" applyNumberFormat="1" applyFont="1" applyFill="1" applyBorder="1" applyAlignment="1">
      <alignment horizontal="right"/>
    </xf>
    <xf numFmtId="3" fontId="61" fillId="0" borderId="12" xfId="50" applyNumberFormat="1" applyFont="1" applyBorder="1" applyAlignment="1">
      <alignment horizontal="right"/>
    </xf>
    <xf numFmtId="14" fontId="61" fillId="0" borderId="12" xfId="50" applyNumberFormat="1" applyFont="1" applyFill="1" applyBorder="1" applyAlignment="1">
      <alignment horizontal="right"/>
    </xf>
    <xf numFmtId="3" fontId="2" fillId="0" borderId="22" xfId="50" applyNumberFormat="1" applyBorder="1" applyAlignment="1">
      <alignment horizontal="right"/>
    </xf>
    <xf numFmtId="3" fontId="2" fillId="0" borderId="14" xfId="50" applyNumberFormat="1" applyBorder="1" applyAlignment="1">
      <alignment horizontal="right"/>
    </xf>
    <xf numFmtId="2" fontId="2" fillId="0" borderId="0" xfId="50" applyNumberFormat="1" applyBorder="1" applyAlignment="1"/>
    <xf numFmtId="4" fontId="2" fillId="0" borderId="0" xfId="50" applyNumberFormat="1" applyBorder="1"/>
    <xf numFmtId="0" fontId="2" fillId="0" borderId="0" xfId="50" applyBorder="1"/>
    <xf numFmtId="2" fontId="2" fillId="0" borderId="0" xfId="50" applyNumberFormat="1" applyFont="1" applyBorder="1" applyAlignment="1"/>
    <xf numFmtId="14" fontId="2" fillId="0" borderId="0" xfId="50" applyNumberFormat="1" applyFont="1"/>
    <xf numFmtId="0" fontId="2" fillId="0" borderId="0" xfId="50" applyFont="1"/>
    <xf numFmtId="1" fontId="2" fillId="0" borderId="0" xfId="28" applyNumberFormat="1"/>
    <xf numFmtId="0" fontId="8" fillId="0" borderId="89" xfId="50" applyFont="1" applyBorder="1" applyAlignment="1">
      <alignment horizontal="center" wrapText="1"/>
    </xf>
    <xf numFmtId="4" fontId="8" fillId="0" borderId="90" xfId="50" quotePrefix="1" applyNumberFormat="1" applyFont="1" applyBorder="1" applyAlignment="1">
      <alignment horizontal="right" wrapText="1"/>
    </xf>
    <xf numFmtId="4" fontId="8" fillId="0" borderId="17" xfId="50" quotePrefix="1" applyNumberFormat="1" applyFont="1" applyBorder="1" applyAlignment="1">
      <alignment horizontal="right" wrapText="1"/>
    </xf>
    <xf numFmtId="4" fontId="8" fillId="0" borderId="17" xfId="50" applyNumberFormat="1" applyFont="1" applyBorder="1" applyAlignment="1">
      <alignment horizontal="right" wrapText="1"/>
    </xf>
    <xf numFmtId="4" fontId="8" fillId="0" borderId="4" xfId="50" applyNumberFormat="1" applyFont="1" applyBorder="1" applyAlignment="1">
      <alignment horizontal="center" wrapText="1"/>
    </xf>
    <xf numFmtId="175" fontId="2" fillId="0" borderId="5" xfId="50" applyNumberFormat="1" applyBorder="1" applyAlignment="1">
      <alignment horizontal="right"/>
    </xf>
    <xf numFmtId="3" fontId="0" fillId="0" borderId="0" xfId="0" quotePrefix="1" applyNumberFormat="1" applyFill="1" applyAlignment="1">
      <alignment horizontal="left"/>
    </xf>
    <xf numFmtId="14" fontId="2" fillId="0" borderId="0" xfId="50" applyNumberFormat="1"/>
    <xf numFmtId="0" fontId="75" fillId="0" borderId="15" xfId="35" applyFont="1" applyBorder="1" applyAlignment="1" applyProtection="1"/>
    <xf numFmtId="176" fontId="12" fillId="0" borderId="0" xfId="0" applyNumberFormat="1" applyFont="1" applyAlignment="1"/>
    <xf numFmtId="0" fontId="61" fillId="0" borderId="20" xfId="0" applyFont="1" applyBorder="1" applyAlignment="1">
      <alignment horizontal="center"/>
    </xf>
    <xf numFmtId="0" fontId="0" fillId="0" borderId="0" xfId="0"/>
    <xf numFmtId="9" fontId="2" fillId="0" borderId="0" xfId="43" applyFont="1" applyBorder="1"/>
    <xf numFmtId="9" fontId="61" fillId="24" borderId="74" xfId="43" applyFont="1" applyFill="1" applyBorder="1" applyAlignment="1">
      <alignment horizontal="center" vertical="center"/>
    </xf>
    <xf numFmtId="9" fontId="61" fillId="24" borderId="53" xfId="43" applyFont="1" applyFill="1" applyBorder="1" applyAlignment="1">
      <alignment horizontal="center" vertical="center"/>
    </xf>
    <xf numFmtId="168" fontId="2" fillId="0" borderId="0" xfId="0" applyNumberFormat="1" applyFont="1"/>
    <xf numFmtId="165" fontId="61" fillId="0" borderId="75" xfId="0" applyNumberFormat="1" applyFont="1" applyBorder="1" applyAlignment="1">
      <alignment horizontal="center"/>
    </xf>
    <xf numFmtId="0" fontId="2" fillId="0" borderId="18" xfId="0" applyFont="1" applyBorder="1" applyAlignment="1">
      <alignment horizontal="center"/>
    </xf>
    <xf numFmtId="0" fontId="2" fillId="0" borderId="39" xfId="0" applyFont="1" applyBorder="1" applyAlignment="1">
      <alignment horizontal="center"/>
    </xf>
    <xf numFmtId="168" fontId="2" fillId="0" borderId="18" xfId="28" applyNumberFormat="1" applyFont="1" applyBorder="1" applyAlignment="1">
      <alignment horizontal="center"/>
    </xf>
    <xf numFmtId="0" fontId="61" fillId="0" borderId="19" xfId="0" applyFont="1" applyBorder="1" applyAlignment="1">
      <alignment horizontal="center" vertical="center" wrapText="1"/>
    </xf>
    <xf numFmtId="0" fontId="9" fillId="0" borderId="15" xfId="35" applyBorder="1" applyAlignment="1" applyProtection="1"/>
    <xf numFmtId="0" fontId="95" fillId="0" borderId="0" xfId="0" applyFont="1" applyFill="1" applyBorder="1" applyAlignment="1">
      <alignment horizontal="center"/>
    </xf>
    <xf numFmtId="168" fontId="61" fillId="0" borderId="0" xfId="0" applyNumberFormat="1" applyFont="1" applyBorder="1" applyAlignment="1">
      <alignment horizontal="center"/>
    </xf>
    <xf numFmtId="0" fontId="61" fillId="0" borderId="0" xfId="0" applyFont="1" applyBorder="1" applyAlignment="1">
      <alignment horizontal="center"/>
    </xf>
    <xf numFmtId="168" fontId="61" fillId="24" borderId="0" xfId="0" applyNumberFormat="1" applyFont="1" applyFill="1" applyBorder="1" applyAlignment="1">
      <alignment horizontal="center"/>
    </xf>
    <xf numFmtId="168" fontId="61" fillId="24" borderId="0" xfId="28" applyNumberFormat="1" applyFont="1" applyFill="1" applyBorder="1" applyAlignment="1">
      <alignment horizontal="center"/>
    </xf>
    <xf numFmtId="168" fontId="73" fillId="24" borderId="0" xfId="28" applyNumberFormat="1" applyFont="1" applyFill="1" applyBorder="1" applyAlignment="1">
      <alignment horizontal="center" vertical="center"/>
    </xf>
    <xf numFmtId="0" fontId="12" fillId="0" borderId="0" xfId="0" applyFont="1" applyBorder="1" applyAlignment="1">
      <alignment horizontal="center" wrapText="1"/>
    </xf>
    <xf numFmtId="0" fontId="17" fillId="0" borderId="0" xfId="0" applyFont="1" applyBorder="1" applyAlignment="1">
      <alignment wrapText="1"/>
    </xf>
    <xf numFmtId="0" fontId="17" fillId="0" borderId="0" xfId="0" applyFont="1" applyBorder="1" applyAlignment="1">
      <alignment horizontal="center" wrapText="1"/>
    </xf>
    <xf numFmtId="0" fontId="43" fillId="0" borderId="0" xfId="0" applyFont="1" applyFill="1" applyBorder="1" applyAlignment="1">
      <alignment vertical="top" wrapText="1"/>
    </xf>
    <xf numFmtId="0" fontId="43" fillId="0" borderId="78" xfId="0" applyFont="1" applyFill="1" applyBorder="1" applyAlignment="1">
      <alignment horizontal="right" vertical="top" wrapText="1"/>
    </xf>
    <xf numFmtId="0" fontId="43" fillId="0" borderId="43" xfId="0" applyFont="1" applyFill="1" applyBorder="1" applyAlignment="1">
      <alignment horizontal="right" vertical="top" wrapText="1"/>
    </xf>
    <xf numFmtId="2" fontId="17" fillId="0" borderId="0" xfId="0" applyNumberFormat="1" applyFont="1" applyBorder="1" applyAlignment="1">
      <alignment horizontal="center" vertical="center"/>
    </xf>
    <xf numFmtId="0" fontId="12" fillId="0" borderId="17" xfId="0" applyFont="1" applyBorder="1" applyAlignment="1"/>
    <xf numFmtId="0" fontId="12" fillId="0" borderId="13" xfId="0" applyFont="1" applyBorder="1" applyAlignment="1"/>
    <xf numFmtId="0" fontId="12" fillId="0" borderId="22" xfId="0" applyFont="1" applyBorder="1" applyAlignment="1"/>
    <xf numFmtId="1" fontId="12" fillId="0" borderId="8" xfId="0" applyNumberFormat="1" applyFont="1" applyBorder="1" applyAlignment="1"/>
    <xf numFmtId="1" fontId="12" fillId="0" borderId="13" xfId="0" applyNumberFormat="1" applyFont="1" applyBorder="1" applyAlignment="1"/>
    <xf numFmtId="0" fontId="0" fillId="0" borderId="0" xfId="0"/>
    <xf numFmtId="9" fontId="61" fillId="24" borderId="53" xfId="43" applyFont="1" applyFill="1" applyBorder="1" applyAlignment="1">
      <alignment horizontal="center"/>
    </xf>
    <xf numFmtId="0" fontId="9" fillId="0" borderId="0" xfId="35" applyBorder="1" applyAlignment="1" applyProtection="1"/>
    <xf numFmtId="0" fontId="0" fillId="0" borderId="22" xfId="0" applyBorder="1"/>
    <xf numFmtId="0" fontId="0" fillId="0" borderId="3" xfId="0" applyBorder="1"/>
    <xf numFmtId="0" fontId="0" fillId="0" borderId="49" xfId="0" applyBorder="1" applyAlignment="1"/>
    <xf numFmtId="0" fontId="2" fillId="0" borderId="0" xfId="0" applyFont="1" applyFill="1"/>
    <xf numFmtId="0" fontId="0" fillId="0" borderId="48" xfId="0" applyBorder="1"/>
    <xf numFmtId="0" fontId="0" fillId="0" borderId="19" xfId="0" applyBorder="1"/>
    <xf numFmtId="0" fontId="61" fillId="0" borderId="86" xfId="39" applyFont="1" applyBorder="1" applyAlignment="1" applyProtection="1">
      <alignment horizontal="right" vertical="center"/>
      <protection locked="0"/>
    </xf>
    <xf numFmtId="2" fontId="61" fillId="0" borderId="86" xfId="39" applyNumberFormat="1" applyFont="1" applyFill="1" applyBorder="1" applyAlignment="1" applyProtection="1">
      <alignment horizontal="left"/>
      <protection locked="0"/>
    </xf>
    <xf numFmtId="2" fontId="2" fillId="0" borderId="86" xfId="39" applyNumberFormat="1" applyFont="1" applyFill="1" applyBorder="1" applyAlignment="1" applyProtection="1">
      <alignment horizontal="left"/>
      <protection locked="0"/>
    </xf>
    <xf numFmtId="2" fontId="2" fillId="0" borderId="85" xfId="39" applyNumberFormat="1" applyFont="1" applyFill="1" applyBorder="1" applyAlignment="1" applyProtection="1">
      <alignment horizontal="left"/>
      <protection locked="0"/>
    </xf>
    <xf numFmtId="2" fontId="2" fillId="26" borderId="86" xfId="39" applyNumberFormat="1" applyFont="1" applyFill="1" applyBorder="1" applyAlignment="1" applyProtection="1">
      <alignment horizontal="left"/>
      <protection locked="0"/>
    </xf>
    <xf numFmtId="2" fontId="61" fillId="26" borderId="94" xfId="39" applyNumberFormat="1" applyFont="1" applyFill="1" applyBorder="1" applyAlignment="1" applyProtection="1">
      <alignment horizontal="left" readingOrder="1"/>
      <protection locked="0"/>
    </xf>
    <xf numFmtId="0" fontId="61" fillId="0" borderId="86" xfId="0" applyFont="1" applyBorder="1" applyAlignment="1" applyProtection="1">
      <alignment horizontal="left"/>
      <protection locked="0"/>
    </xf>
    <xf numFmtId="2" fontId="61" fillId="0" borderId="94" xfId="39" applyNumberFormat="1" applyFont="1" applyFill="1" applyBorder="1" applyAlignment="1" applyProtection="1">
      <alignment horizontal="left"/>
      <protection locked="0"/>
    </xf>
    <xf numFmtId="0" fontId="2" fillId="0" borderId="86" xfId="0" applyFont="1" applyBorder="1"/>
    <xf numFmtId="2" fontId="2" fillId="0" borderId="81" xfId="39" applyNumberFormat="1" applyFont="1" applyFill="1" applyBorder="1" applyAlignment="1" applyProtection="1">
      <alignment horizontal="left"/>
      <protection locked="0"/>
    </xf>
    <xf numFmtId="0" fontId="0" fillId="0" borderId="86" xfId="0" applyBorder="1"/>
    <xf numFmtId="0" fontId="0" fillId="0" borderId="85" xfId="0" applyBorder="1"/>
    <xf numFmtId="0" fontId="0" fillId="0" borderId="94" xfId="0" applyBorder="1"/>
    <xf numFmtId="0" fontId="0" fillId="0" borderId="81" xfId="0" applyBorder="1"/>
    <xf numFmtId="1" fontId="0" fillId="0" borderId="86" xfId="0" applyNumberFormat="1" applyBorder="1"/>
    <xf numFmtId="1" fontId="0" fillId="0" borderId="85" xfId="0" applyNumberFormat="1" applyBorder="1"/>
    <xf numFmtId="1" fontId="0" fillId="0" borderId="94" xfId="0" applyNumberFormat="1" applyBorder="1"/>
    <xf numFmtId="1" fontId="0" fillId="0" borderId="81" xfId="0" applyNumberFormat="1" applyBorder="1"/>
    <xf numFmtId="0" fontId="61" fillId="0" borderId="93" xfId="39" applyFont="1" applyBorder="1" applyAlignment="1" applyProtection="1">
      <alignment horizontal="right"/>
      <protection locked="0"/>
    </xf>
    <xf numFmtId="0" fontId="0" fillId="0" borderId="52" xfId="0" applyBorder="1"/>
    <xf numFmtId="0" fontId="0" fillId="0" borderId="53" xfId="0" applyBorder="1"/>
    <xf numFmtId="0" fontId="0" fillId="0" borderId="93" xfId="0" applyBorder="1"/>
    <xf numFmtId="0" fontId="9" fillId="0" borderId="86" xfId="35" applyBorder="1" applyAlignment="1" applyProtection="1"/>
    <xf numFmtId="0" fontId="2" fillId="0" borderId="86" xfId="0" applyFont="1" applyBorder="1" applyAlignment="1"/>
    <xf numFmtId="0" fontId="2" fillId="0" borderId="95" xfId="0" applyFont="1" applyBorder="1" applyAlignment="1">
      <alignment horizontal="left"/>
    </xf>
    <xf numFmtId="0" fontId="0" fillId="0" borderId="96" xfId="0" applyBorder="1"/>
    <xf numFmtId="0" fontId="0" fillId="0" borderId="97" xfId="0" applyBorder="1"/>
    <xf numFmtId="0" fontId="0" fillId="0" borderId="95" xfId="0" applyBorder="1"/>
    <xf numFmtId="1" fontId="0" fillId="0" borderId="95" xfId="0" applyNumberFormat="1" applyBorder="1"/>
    <xf numFmtId="2" fontId="2" fillId="0" borderId="0" xfId="39" applyNumberFormat="1" applyFont="1" applyFill="1" applyBorder="1" applyAlignment="1" applyProtection="1">
      <alignment horizontal="center"/>
      <protection locked="0"/>
    </xf>
    <xf numFmtId="0" fontId="2" fillId="0" borderId="51" xfId="0" applyFont="1" applyFill="1" applyBorder="1" applyAlignment="1">
      <alignment horizontal="center"/>
    </xf>
    <xf numFmtId="0" fontId="2" fillId="0" borderId="0" xfId="0" applyFont="1" applyFill="1" applyBorder="1" applyAlignment="1" applyProtection="1">
      <alignment horizontal="center"/>
      <protection locked="0"/>
    </xf>
    <xf numFmtId="0" fontId="2" fillId="0" borderId="0" xfId="0" applyFont="1" applyBorder="1" applyAlignment="1" applyProtection="1">
      <alignment horizontal="center"/>
      <protection locked="0"/>
    </xf>
    <xf numFmtId="0" fontId="61" fillId="0" borderId="0" xfId="0" applyFont="1" applyBorder="1" applyAlignment="1" applyProtection="1">
      <alignment horizontal="center"/>
      <protection locked="0"/>
    </xf>
    <xf numFmtId="0" fontId="61" fillId="0" borderId="0" xfId="0" applyFont="1" applyFill="1" applyBorder="1" applyAlignment="1" applyProtection="1">
      <alignment horizontal="center"/>
      <protection locked="0"/>
    </xf>
    <xf numFmtId="165" fontId="61" fillId="0" borderId="0" xfId="39" applyNumberFormat="1" applyFont="1" applyFill="1" applyBorder="1" applyAlignment="1" applyProtection="1">
      <alignment horizontal="center"/>
      <protection locked="0"/>
    </xf>
    <xf numFmtId="165" fontId="2" fillId="0" borderId="0" xfId="39" applyNumberFormat="1" applyFont="1" applyFill="1" applyBorder="1" applyAlignment="1" applyProtection="1">
      <alignment horizontal="center"/>
      <protection locked="0"/>
    </xf>
    <xf numFmtId="165" fontId="61" fillId="0" borderId="91" xfId="0" applyNumberFormat="1" applyFont="1" applyBorder="1" applyAlignment="1">
      <alignment horizontal="center"/>
    </xf>
    <xf numFmtId="165" fontId="61" fillId="0" borderId="17" xfId="39" applyNumberFormat="1" applyFont="1" applyFill="1" applyBorder="1" applyAlignment="1" applyProtection="1">
      <alignment horizontal="center"/>
      <protection locked="0"/>
    </xf>
    <xf numFmtId="165" fontId="2" fillId="0" borderId="51" xfId="0" applyNumberFormat="1" applyFont="1" applyBorder="1" applyAlignment="1">
      <alignment horizontal="center"/>
    </xf>
    <xf numFmtId="165" fontId="61" fillId="24" borderId="51" xfId="0" applyNumberFormat="1" applyFont="1" applyFill="1" applyBorder="1" applyAlignment="1">
      <alignment horizontal="left" vertical="center"/>
    </xf>
    <xf numFmtId="165" fontId="61" fillId="0" borderId="0" xfId="0" applyNumberFormat="1" applyFont="1" applyBorder="1" applyAlignment="1">
      <alignment horizontal="center" vertical="center"/>
    </xf>
    <xf numFmtId="165" fontId="2" fillId="0" borderId="0" xfId="0" applyNumberFormat="1" applyFont="1" applyAlignment="1">
      <alignment horizontal="center"/>
    </xf>
    <xf numFmtId="165" fontId="61" fillId="0" borderId="8" xfId="39" applyNumberFormat="1" applyFont="1" applyFill="1" applyBorder="1" applyAlignment="1" applyProtection="1">
      <alignment horizontal="center"/>
      <protection locked="0"/>
    </xf>
    <xf numFmtId="165" fontId="2" fillId="0" borderId="8" xfId="39" applyNumberFormat="1" applyFont="1" applyFill="1" applyBorder="1" applyAlignment="1" applyProtection="1">
      <alignment horizontal="center"/>
      <protection locked="0"/>
    </xf>
    <xf numFmtId="1" fontId="17" fillId="0" borderId="8" xfId="0" applyNumberFormat="1" applyFont="1" applyBorder="1" applyAlignment="1"/>
    <xf numFmtId="168" fontId="17" fillId="0" borderId="15" xfId="28" applyNumberFormat="1" applyFont="1" applyBorder="1" applyAlignment="1"/>
    <xf numFmtId="168" fontId="17" fillId="0" borderId="0" xfId="28" applyNumberFormat="1" applyFont="1" applyBorder="1" applyAlignment="1"/>
    <xf numFmtId="168" fontId="17" fillId="0" borderId="16" xfId="28" applyNumberFormat="1" applyFont="1" applyBorder="1" applyAlignment="1"/>
    <xf numFmtId="168" fontId="12" fillId="0" borderId="16" xfId="28" applyNumberFormat="1" applyFont="1" applyBorder="1" applyAlignment="1"/>
    <xf numFmtId="0" fontId="12" fillId="0" borderId="15" xfId="0" applyFont="1" applyBorder="1" applyAlignment="1"/>
    <xf numFmtId="0" fontId="12" fillId="0" borderId="16" xfId="0" applyFont="1" applyBorder="1" applyAlignment="1"/>
    <xf numFmtId="0" fontId="12" fillId="0" borderId="21" xfId="0" applyFont="1" applyBorder="1" applyAlignment="1"/>
    <xf numFmtId="0" fontId="12" fillId="0" borderId="19" xfId="0" applyFont="1" applyBorder="1" applyAlignment="1"/>
    <xf numFmtId="0" fontId="12" fillId="0" borderId="20" xfId="0" applyFont="1" applyBorder="1" applyAlignment="1"/>
    <xf numFmtId="1" fontId="12" fillId="0" borderId="0" xfId="0" applyNumberFormat="1" applyFont="1" applyAlignment="1"/>
    <xf numFmtId="43" fontId="0" fillId="0" borderId="15" xfId="28" applyNumberFormat="1" applyFont="1" applyBorder="1" applyAlignment="1"/>
    <xf numFmtId="43" fontId="0" fillId="0" borderId="15" xfId="0" applyNumberFormat="1" applyBorder="1" applyAlignment="1"/>
    <xf numFmtId="43" fontId="0" fillId="0" borderId="21" xfId="0" applyNumberFormat="1" applyBorder="1" applyAlignment="1"/>
    <xf numFmtId="1" fontId="2" fillId="0" borderId="9" xfId="0" applyNumberFormat="1" applyFont="1" applyBorder="1" applyAlignment="1">
      <alignment horizontal="center"/>
    </xf>
    <xf numFmtId="0" fontId="61" fillId="0" borderId="9" xfId="0" applyFont="1" applyBorder="1" applyAlignment="1"/>
    <xf numFmtId="0" fontId="17" fillId="0" borderId="9" xfId="0" applyFont="1" applyBorder="1" applyAlignment="1"/>
    <xf numFmtId="0" fontId="17" fillId="0" borderId="14" xfId="0" applyFont="1" applyBorder="1" applyAlignment="1"/>
    <xf numFmtId="0" fontId="17" fillId="0" borderId="23" xfId="0" applyFont="1" applyBorder="1" applyAlignment="1">
      <alignment horizontal="center" wrapText="1"/>
    </xf>
    <xf numFmtId="0" fontId="61" fillId="0" borderId="17" xfId="0" applyFont="1" applyFill="1" applyBorder="1" applyAlignment="1">
      <alignment wrapText="1"/>
    </xf>
    <xf numFmtId="0" fontId="61" fillId="0" borderId="0" xfId="0" applyFont="1" applyFill="1" applyBorder="1" applyAlignment="1">
      <alignment wrapText="1"/>
    </xf>
    <xf numFmtId="168" fontId="12" fillId="27" borderId="12" xfId="28" applyNumberFormat="1" applyFont="1" applyFill="1" applyBorder="1" applyAlignment="1">
      <alignment horizontal="center"/>
    </xf>
    <xf numFmtId="3" fontId="12" fillId="0" borderId="1" xfId="0" applyNumberFormat="1" applyFont="1" applyBorder="1" applyAlignment="1">
      <alignment horizontal="center"/>
    </xf>
    <xf numFmtId="1" fontId="12" fillId="27" borderId="12" xfId="0" applyNumberFormat="1" applyFont="1" applyFill="1" applyBorder="1" applyAlignment="1">
      <alignment horizontal="center" wrapText="1"/>
    </xf>
    <xf numFmtId="1" fontId="12" fillId="0" borderId="9" xfId="0" applyNumberFormat="1" applyFont="1" applyBorder="1" applyAlignment="1"/>
    <xf numFmtId="0" fontId="0" fillId="0" borderId="0" xfId="0"/>
    <xf numFmtId="0" fontId="12" fillId="0" borderId="0" xfId="0" applyFont="1" applyAlignment="1" applyProtection="1">
      <protection locked="0"/>
    </xf>
    <xf numFmtId="0" fontId="17" fillId="0" borderId="0" xfId="0" applyFont="1" applyBorder="1" applyAlignment="1" applyProtection="1">
      <alignment horizontal="center" vertical="center"/>
      <protection locked="0"/>
    </xf>
    <xf numFmtId="0" fontId="17" fillId="0" borderId="0" xfId="0" applyFont="1" applyFill="1" applyBorder="1" applyAlignment="1" applyProtection="1">
      <alignment horizontal="center" wrapText="1"/>
      <protection locked="0"/>
    </xf>
    <xf numFmtId="0" fontId="17" fillId="0" borderId="0" xfId="0" applyFont="1" applyBorder="1" applyAlignment="1" applyProtection="1">
      <alignment horizontal="center" wrapText="1"/>
      <protection locked="0"/>
    </xf>
    <xf numFmtId="0" fontId="12" fillId="0" borderId="0" xfId="0" applyFont="1" applyBorder="1" applyAlignment="1" applyProtection="1">
      <protection locked="0"/>
    </xf>
    <xf numFmtId="0" fontId="12" fillId="0" borderId="0" xfId="0" applyFont="1" applyBorder="1" applyAlignment="1" applyProtection="1">
      <alignment wrapText="1"/>
      <protection locked="0"/>
    </xf>
    <xf numFmtId="0" fontId="17" fillId="0" borderId="0" xfId="0" applyFont="1" applyFill="1" applyBorder="1" applyAlignment="1" applyProtection="1">
      <alignment wrapText="1"/>
      <protection locked="0"/>
    </xf>
    <xf numFmtId="0" fontId="17" fillId="0" borderId="0" xfId="0" applyFont="1" applyBorder="1" applyAlignment="1" applyProtection="1">
      <alignment horizontal="center"/>
      <protection locked="0"/>
    </xf>
    <xf numFmtId="0" fontId="12" fillId="0" borderId="6" xfId="0" applyFont="1" applyBorder="1" applyAlignment="1" applyProtection="1">
      <protection locked="0"/>
    </xf>
    <xf numFmtId="0" fontId="61" fillId="0" borderId="2" xfId="39" applyNumberFormat="1" applyFont="1" applyFill="1" applyBorder="1" applyAlignment="1" applyProtection="1">
      <alignment horizontal="center" vertical="center"/>
      <protection locked="0"/>
    </xf>
    <xf numFmtId="0" fontId="61" fillId="0" borderId="3" xfId="39" applyNumberFormat="1" applyFont="1" applyFill="1" applyBorder="1" applyAlignment="1" applyProtection="1">
      <alignment horizontal="center" vertical="center"/>
      <protection locked="0"/>
    </xf>
    <xf numFmtId="0" fontId="61" fillId="0" borderId="4" xfId="39"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right"/>
      <protection locked="0"/>
    </xf>
    <xf numFmtId="0" fontId="61" fillId="0" borderId="2" xfId="0"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61" fillId="0" borderId="4" xfId="0" applyFont="1" applyBorder="1" applyAlignment="1" applyProtection="1">
      <alignment horizontal="center" vertical="center"/>
      <protection locked="0"/>
    </xf>
    <xf numFmtId="166" fontId="12" fillId="0" borderId="0" xfId="43" applyNumberFormat="1" applyFont="1" applyBorder="1" applyAlignment="1" applyProtection="1">
      <alignment horizontal="right"/>
      <protection locked="0"/>
    </xf>
    <xf numFmtId="1" fontId="12" fillId="0" borderId="0" xfId="0" applyNumberFormat="1" applyFont="1" applyBorder="1" applyAlignment="1" applyProtection="1">
      <alignment horizontal="right"/>
      <protection locked="0"/>
    </xf>
    <xf numFmtId="1" fontId="12" fillId="0" borderId="0" xfId="0" applyNumberFormat="1" applyFont="1" applyBorder="1" applyAlignment="1" applyProtection="1">
      <protection locked="0"/>
    </xf>
    <xf numFmtId="165" fontId="12" fillId="0" borderId="0" xfId="0" applyNumberFormat="1" applyFont="1" applyBorder="1" applyAlignment="1" applyProtection="1">
      <protection locked="0"/>
    </xf>
    <xf numFmtId="0" fontId="61" fillId="0" borderId="14" xfId="0" applyFont="1" applyBorder="1" applyAlignment="1">
      <alignment horizontal="center"/>
    </xf>
    <xf numFmtId="1" fontId="69" fillId="0" borderId="0" xfId="40" applyNumberFormat="1" applyFont="1" applyFill="1" applyBorder="1" applyAlignment="1">
      <alignment wrapText="1"/>
    </xf>
    <xf numFmtId="1" fontId="61" fillId="0" borderId="75" xfId="0" applyNumberFormat="1" applyFont="1" applyBorder="1" applyAlignment="1">
      <alignment horizontal="center"/>
    </xf>
    <xf numFmtId="0" fontId="56" fillId="0" borderId="67" xfId="0" applyFont="1" applyBorder="1" applyAlignment="1">
      <alignment horizontal="center" wrapText="1"/>
    </xf>
    <xf numFmtId="0" fontId="56" fillId="0" borderId="66" xfId="0" applyFont="1" applyBorder="1" applyAlignment="1">
      <alignment horizontal="center"/>
    </xf>
    <xf numFmtId="0" fontId="56" fillId="0" borderId="11" xfId="0" applyFont="1" applyBorder="1" applyAlignment="1">
      <alignment horizontal="center"/>
    </xf>
    <xf numFmtId="0" fontId="0" fillId="0" borderId="49" xfId="0" applyBorder="1" applyAlignment="1">
      <alignment horizontal="center"/>
    </xf>
    <xf numFmtId="0" fontId="0" fillId="0" borderId="75" xfId="0" applyBorder="1" applyAlignment="1">
      <alignment horizontal="center"/>
    </xf>
    <xf numFmtId="0" fontId="0" fillId="0" borderId="16" xfId="0" applyBorder="1" applyAlignment="1">
      <alignment horizontal="center"/>
    </xf>
    <xf numFmtId="1" fontId="13" fillId="0" borderId="15" xfId="0" applyNumberFormat="1" applyFont="1" applyBorder="1" applyAlignment="1">
      <alignment horizontal="center"/>
    </xf>
    <xf numFmtId="1" fontId="13" fillId="0" borderId="16" xfId="0" applyNumberFormat="1" applyFont="1" applyBorder="1" applyAlignment="1">
      <alignment horizontal="center"/>
    </xf>
    <xf numFmtId="0" fontId="0" fillId="0" borderId="70" xfId="0" applyBorder="1" applyAlignment="1">
      <alignment horizontal="center"/>
    </xf>
    <xf numFmtId="0" fontId="0" fillId="0" borderId="68" xfId="0" applyBorder="1" applyAlignment="1">
      <alignment horizontal="center"/>
    </xf>
    <xf numFmtId="1" fontId="0" fillId="0" borderId="62" xfId="0" applyNumberFormat="1" applyBorder="1" applyAlignment="1">
      <alignment horizontal="center"/>
    </xf>
    <xf numFmtId="1" fontId="0" fillId="0" borderId="77" xfId="0" applyNumberFormat="1" applyBorder="1" applyAlignment="1">
      <alignment horizontal="center"/>
    </xf>
    <xf numFmtId="1" fontId="13" fillId="0" borderId="98" xfId="0" applyNumberFormat="1" applyFont="1" applyBorder="1" applyAlignment="1">
      <alignment horizontal="center"/>
    </xf>
    <xf numFmtId="1" fontId="13" fillId="0" borderId="57" xfId="0" applyNumberFormat="1" applyFont="1" applyBorder="1" applyAlignment="1">
      <alignment horizontal="center"/>
    </xf>
    <xf numFmtId="1" fontId="0" fillId="0" borderId="75" xfId="0" applyNumberFormat="1" applyBorder="1" applyAlignment="1">
      <alignment horizontal="center"/>
    </xf>
    <xf numFmtId="1" fontId="0" fillId="0" borderId="55" xfId="0" applyNumberFormat="1" applyBorder="1" applyAlignment="1">
      <alignment horizontal="center"/>
    </xf>
    <xf numFmtId="0" fontId="55" fillId="0" borderId="73" xfId="0" applyFont="1" applyBorder="1" applyAlignment="1">
      <alignment horizontal="center"/>
    </xf>
    <xf numFmtId="0" fontId="55" fillId="0" borderId="10" xfId="0" applyFont="1" applyBorder="1"/>
    <xf numFmtId="0" fontId="55" fillId="0" borderId="21" xfId="0" applyFont="1" applyBorder="1"/>
    <xf numFmtId="0" fontId="55" fillId="0" borderId="84" xfId="0" applyFont="1" applyBorder="1" applyAlignment="1">
      <alignment horizontal="center"/>
    </xf>
    <xf numFmtId="0" fontId="56" fillId="0" borderId="86" xfId="0" applyFont="1" applyBorder="1" applyAlignment="1">
      <alignment horizontal="center"/>
    </xf>
    <xf numFmtId="0" fontId="0" fillId="0" borderId="86" xfId="0" applyBorder="1" applyAlignment="1">
      <alignment horizontal="center"/>
    </xf>
    <xf numFmtId="0" fontId="0" fillId="0" borderId="80" xfId="0" applyBorder="1" applyAlignment="1">
      <alignment horizontal="center"/>
    </xf>
    <xf numFmtId="1" fontId="0" fillId="0" borderId="94" xfId="0" applyNumberFormat="1" applyBorder="1" applyAlignment="1">
      <alignment horizontal="center"/>
    </xf>
    <xf numFmtId="1" fontId="13" fillId="0" borderId="80" xfId="0" applyNumberFormat="1" applyFont="1" applyBorder="1" applyAlignment="1">
      <alignment horizontal="center"/>
    </xf>
    <xf numFmtId="1" fontId="0" fillId="0" borderId="86" xfId="0" applyNumberFormat="1" applyBorder="1" applyAlignment="1">
      <alignment horizontal="center"/>
    </xf>
    <xf numFmtId="1" fontId="13" fillId="28" borderId="81" xfId="0" applyNumberFormat="1" applyFont="1" applyFill="1" applyBorder="1" applyAlignment="1">
      <alignment horizontal="center"/>
    </xf>
    <xf numFmtId="0" fontId="0" fillId="0" borderId="91" xfId="0" applyBorder="1" applyAlignment="1">
      <alignment horizontal="center"/>
    </xf>
    <xf numFmtId="0" fontId="0" fillId="0" borderId="13" xfId="0" applyBorder="1" applyAlignment="1">
      <alignment horizontal="center"/>
    </xf>
    <xf numFmtId="1" fontId="13" fillId="0" borderId="79" xfId="0" applyNumberFormat="1" applyFont="1" applyBorder="1" applyAlignment="1">
      <alignment horizontal="center"/>
    </xf>
    <xf numFmtId="1" fontId="0" fillId="0" borderId="84" xfId="0" applyNumberFormat="1" applyBorder="1"/>
    <xf numFmtId="1" fontId="13" fillId="28" borderId="94" xfId="0" applyNumberFormat="1" applyFont="1" applyFill="1" applyBorder="1"/>
    <xf numFmtId="1" fontId="0" fillId="0" borderId="98" xfId="0" applyNumberFormat="1" applyBorder="1" applyAlignment="1">
      <alignment horizontal="center"/>
    </xf>
    <xf numFmtId="1" fontId="0" fillId="0" borderId="23" xfId="0" applyNumberFormat="1" applyBorder="1" applyAlignment="1">
      <alignment horizontal="center"/>
    </xf>
    <xf numFmtId="1" fontId="13" fillId="28" borderId="84" xfId="0" applyNumberFormat="1" applyFont="1" applyFill="1" applyBorder="1" applyAlignment="1">
      <alignment horizontal="center"/>
    </xf>
    <xf numFmtId="0" fontId="17" fillId="0" borderId="0" xfId="0" applyFont="1" applyBorder="1" applyAlignment="1">
      <alignment horizontal="center" wrapText="1"/>
    </xf>
    <xf numFmtId="165" fontId="61" fillId="0" borderId="70" xfId="0" applyNumberFormat="1" applyFont="1" applyBorder="1" applyAlignment="1">
      <alignment horizontal="center"/>
    </xf>
    <xf numFmtId="168" fontId="2" fillId="0" borderId="6" xfId="28" applyNumberFormat="1" applyFont="1" applyBorder="1" applyAlignment="1">
      <alignment horizontal="center"/>
    </xf>
    <xf numFmtId="168" fontId="61" fillId="0" borderId="7" xfId="0" applyNumberFormat="1" applyFont="1" applyBorder="1" applyAlignment="1">
      <alignment horizontal="center"/>
    </xf>
    <xf numFmtId="0" fontId="61" fillId="0" borderId="9" xfId="0" applyFont="1" applyBorder="1" applyAlignment="1">
      <alignment horizontal="center"/>
    </xf>
    <xf numFmtId="2" fontId="2" fillId="0" borderId="13" xfId="39" applyNumberFormat="1" applyFont="1" applyFill="1" applyBorder="1" applyAlignment="1" applyProtection="1">
      <alignment horizontal="left"/>
      <protection locked="0"/>
    </xf>
    <xf numFmtId="165" fontId="2" fillId="0" borderId="22" xfId="39" applyNumberFormat="1" applyFont="1" applyFill="1" applyBorder="1" applyAlignment="1" applyProtection="1">
      <alignment horizontal="center"/>
      <protection locked="0"/>
    </xf>
    <xf numFmtId="0" fontId="2" fillId="0" borderId="12" xfId="0" applyFont="1" applyBorder="1" applyAlignment="1">
      <alignment horizontal="center"/>
    </xf>
    <xf numFmtId="1" fontId="2" fillId="0" borderId="12" xfId="0" applyNumberFormat="1" applyFont="1" applyBorder="1" applyAlignment="1">
      <alignment horizontal="center"/>
    </xf>
    <xf numFmtId="0" fontId="2" fillId="0" borderId="13" xfId="0" applyFont="1" applyBorder="1" applyAlignment="1">
      <alignment horizontal="center"/>
    </xf>
    <xf numFmtId="165" fontId="2" fillId="0" borderId="14" xfId="0" applyNumberFormat="1" applyFont="1" applyBorder="1" applyAlignment="1">
      <alignment horizontal="center"/>
    </xf>
    <xf numFmtId="168" fontId="2" fillId="0" borderId="13" xfId="28" applyNumberFormat="1" applyFont="1" applyBorder="1" applyAlignment="1">
      <alignment horizontal="center"/>
    </xf>
    <xf numFmtId="165" fontId="2" fillId="0" borderId="92" xfId="0" applyNumberFormat="1" applyFont="1" applyBorder="1" applyAlignment="1">
      <alignment horizontal="center"/>
    </xf>
    <xf numFmtId="165" fontId="68" fillId="0" borderId="71" xfId="0" applyNumberFormat="1" applyFont="1" applyBorder="1" applyAlignment="1">
      <alignment horizontal="center"/>
    </xf>
    <xf numFmtId="0" fontId="61" fillId="0" borderId="6" xfId="0" applyFont="1" applyBorder="1" applyAlignment="1" applyProtection="1">
      <alignment horizontal="left"/>
      <protection locked="0"/>
    </xf>
    <xf numFmtId="165" fontId="61" fillId="0" borderId="17" xfId="0" applyNumberFormat="1" applyFont="1" applyBorder="1" applyAlignment="1" applyProtection="1">
      <alignment horizontal="center"/>
      <protection locked="0"/>
    </xf>
    <xf numFmtId="165" fontId="2" fillId="0" borderId="70" xfId="0" applyNumberFormat="1" applyFont="1" applyBorder="1" applyAlignment="1">
      <alignment horizontal="center"/>
    </xf>
    <xf numFmtId="165" fontId="67" fillId="0" borderId="1" xfId="0" applyNumberFormat="1" applyFont="1" applyBorder="1" applyAlignment="1">
      <alignment horizontal="center"/>
    </xf>
    <xf numFmtId="1" fontId="2" fillId="0" borderId="1" xfId="0" applyNumberFormat="1" applyFont="1" applyBorder="1" applyAlignment="1">
      <alignment horizontal="center"/>
    </xf>
    <xf numFmtId="2" fontId="61" fillId="0" borderId="2" xfId="39" applyNumberFormat="1" applyFont="1" applyFill="1" applyBorder="1" applyAlignment="1" applyProtection="1">
      <alignment horizontal="left"/>
      <protection locked="0"/>
    </xf>
    <xf numFmtId="165" fontId="61" fillId="0" borderId="98" xfId="0" applyNumberFormat="1" applyFont="1" applyBorder="1" applyAlignment="1">
      <alignment horizontal="center"/>
    </xf>
    <xf numFmtId="165" fontId="2" fillId="0" borderId="3" xfId="0" applyNumberFormat="1" applyFont="1" applyBorder="1"/>
    <xf numFmtId="0" fontId="2" fillId="0" borderId="23" xfId="0" applyFont="1" applyBorder="1" applyAlignment="1">
      <alignment horizontal="center"/>
    </xf>
    <xf numFmtId="0" fontId="2" fillId="0" borderId="2" xfId="0" applyFont="1" applyBorder="1" applyAlignment="1">
      <alignment horizontal="center"/>
    </xf>
    <xf numFmtId="2" fontId="2" fillId="0" borderId="4" xfId="0" applyNumberFormat="1" applyFont="1" applyBorder="1" applyAlignment="1">
      <alignment horizontal="center"/>
    </xf>
    <xf numFmtId="168" fontId="2" fillId="0" borderId="2" xfId="28" applyNumberFormat="1" applyFont="1" applyBorder="1" applyAlignment="1">
      <alignment horizontal="center"/>
    </xf>
    <xf numFmtId="168" fontId="61" fillId="0" borderId="4" xfId="0" applyNumberFormat="1" applyFont="1" applyBorder="1" applyAlignment="1">
      <alignment horizontal="center"/>
    </xf>
    <xf numFmtId="168" fontId="2" fillId="0" borderId="0" xfId="28" applyNumberFormat="1" applyFont="1" applyBorder="1" applyAlignment="1">
      <alignment horizontal="center"/>
    </xf>
    <xf numFmtId="2" fontId="2" fillId="0" borderId="14" xfId="0" applyNumberFormat="1" applyFont="1" applyBorder="1" applyAlignment="1">
      <alignment horizontal="center"/>
    </xf>
    <xf numFmtId="2" fontId="12" fillId="0" borderId="12" xfId="0" applyNumberFormat="1" applyFont="1" applyBorder="1" applyAlignment="1"/>
    <xf numFmtId="1" fontId="19" fillId="0" borderId="13" xfId="0" applyNumberFormat="1" applyFont="1" applyBorder="1" applyAlignment="1"/>
    <xf numFmtId="0" fontId="19" fillId="0" borderId="61" xfId="0" applyFont="1" applyBorder="1" applyAlignment="1"/>
    <xf numFmtId="0" fontId="19" fillId="0" borderId="22" xfId="0" applyFont="1" applyBorder="1" applyAlignment="1">
      <alignment horizontal="center" wrapText="1"/>
    </xf>
    <xf numFmtId="0" fontId="19" fillId="0" borderId="49" xfId="0" applyFont="1" applyFill="1" applyBorder="1" applyAlignment="1">
      <alignment horizontal="center"/>
    </xf>
    <xf numFmtId="0" fontId="0" fillId="0" borderId="0" xfId="0"/>
    <xf numFmtId="1" fontId="2" fillId="0" borderId="0" xfId="0" applyNumberFormat="1" applyFont="1" applyBorder="1" applyAlignment="1"/>
    <xf numFmtId="1" fontId="12" fillId="0" borderId="23" xfId="0" applyNumberFormat="1" applyFont="1" applyBorder="1" applyAlignment="1"/>
    <xf numFmtId="0" fontId="0" fillId="0" borderId="0" xfId="0" applyBorder="1" applyAlignment="1">
      <alignment horizontal="right"/>
    </xf>
    <xf numFmtId="0" fontId="0" fillId="0" borderId="22" xfId="0" applyBorder="1" applyAlignment="1">
      <alignment horizontal="right"/>
    </xf>
    <xf numFmtId="0" fontId="0" fillId="0" borderId="0" xfId="0" applyFill="1" applyBorder="1" applyAlignment="1">
      <alignment horizontal="right"/>
    </xf>
    <xf numFmtId="0" fontId="0" fillId="0" borderId="96" xfId="0" applyBorder="1" applyAlignment="1">
      <alignment horizontal="right"/>
    </xf>
    <xf numFmtId="0" fontId="0" fillId="0" borderId="3" xfId="0" applyBorder="1" applyAlignment="1">
      <alignment horizontal="right"/>
    </xf>
    <xf numFmtId="0" fontId="0" fillId="0" borderId="0" xfId="0"/>
    <xf numFmtId="2" fontId="64" fillId="0" borderId="2" xfId="39" applyNumberFormat="1" applyFont="1" applyFill="1" applyBorder="1" applyAlignment="1" applyProtection="1">
      <alignment horizontal="left"/>
      <protection locked="0"/>
    </xf>
    <xf numFmtId="2" fontId="64" fillId="0" borderId="13" xfId="39" applyNumberFormat="1" applyFont="1" applyFill="1" applyBorder="1" applyAlignment="1" applyProtection="1">
      <alignment horizontal="left"/>
      <protection locked="0"/>
    </xf>
    <xf numFmtId="2" fontId="64" fillId="0" borderId="6" xfId="39" applyNumberFormat="1" applyFont="1" applyFill="1" applyBorder="1" applyAlignment="1" applyProtection="1">
      <alignment horizontal="left"/>
      <protection locked="0"/>
    </xf>
    <xf numFmtId="0" fontId="17" fillId="0" borderId="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0" xfId="0" applyFont="1" applyFill="1" applyBorder="1" applyAlignment="1">
      <alignment horizontal="center" vertical="center" wrapText="1"/>
    </xf>
    <xf numFmtId="166" fontId="71" fillId="0" borderId="10" xfId="43" applyNumberFormat="1" applyFont="1" applyFill="1" applyBorder="1" applyAlignment="1"/>
    <xf numFmtId="166" fontId="71" fillId="0" borderId="65" xfId="43" applyNumberFormat="1" applyFont="1" applyFill="1" applyBorder="1" applyAlignment="1"/>
    <xf numFmtId="166" fontId="71" fillId="0" borderId="66" xfId="43" applyNumberFormat="1" applyFont="1" applyFill="1" applyBorder="1" applyAlignment="1"/>
    <xf numFmtId="166" fontId="71" fillId="0" borderId="15" xfId="43" applyNumberFormat="1" applyFont="1" applyFill="1" applyBorder="1" applyAlignment="1"/>
    <xf numFmtId="166" fontId="71" fillId="0" borderId="9" xfId="43" applyNumberFormat="1" applyFont="1" applyFill="1" applyBorder="1" applyAlignment="1"/>
    <xf numFmtId="166" fontId="71" fillId="0" borderId="8" xfId="43" applyNumberFormat="1" applyFont="1" applyFill="1" applyBorder="1" applyAlignment="1"/>
    <xf numFmtId="166" fontId="71" fillId="0" borderId="21" xfId="43" applyNumberFormat="1" applyFont="1" applyFill="1" applyBorder="1" applyAlignment="1"/>
    <xf numFmtId="166" fontId="71" fillId="0" borderId="39" xfId="43" applyNumberFormat="1" applyFont="1" applyFill="1" applyBorder="1" applyAlignment="1"/>
    <xf numFmtId="166" fontId="71" fillId="0" borderId="18" xfId="43" applyNumberFormat="1" applyFont="1" applyFill="1" applyBorder="1" applyAlignment="1"/>
    <xf numFmtId="166" fontId="12" fillId="0" borderId="63" xfId="43" applyNumberFormat="1" applyFont="1" applyBorder="1" applyAlignment="1"/>
    <xf numFmtId="166" fontId="12" fillId="0" borderId="17" xfId="43" applyNumberFormat="1" applyFont="1" applyBorder="1" applyAlignment="1"/>
    <xf numFmtId="166" fontId="12" fillId="0" borderId="8" xfId="43" applyNumberFormat="1" applyFont="1" applyBorder="1" applyAlignment="1"/>
    <xf numFmtId="166" fontId="12" fillId="0" borderId="9" xfId="43" applyNumberFormat="1" applyFont="1" applyBorder="1" applyAlignment="1"/>
    <xf numFmtId="166" fontId="12" fillId="0" borderId="21" xfId="43" applyNumberFormat="1" applyFont="1" applyBorder="1" applyAlignment="1"/>
    <xf numFmtId="166" fontId="12" fillId="0" borderId="19" xfId="43" applyNumberFormat="1" applyFont="1" applyBorder="1" applyAlignment="1"/>
    <xf numFmtId="166" fontId="12" fillId="0" borderId="18" xfId="43" applyNumberFormat="1" applyFont="1" applyBorder="1" applyAlignment="1"/>
    <xf numFmtId="166" fontId="12" fillId="0" borderId="39" xfId="43" applyNumberFormat="1" applyFont="1" applyBorder="1" applyAlignment="1"/>
    <xf numFmtId="166" fontId="12" fillId="0" borderId="20" xfId="43" applyNumberFormat="1" applyFont="1" applyBorder="1" applyAlignment="1"/>
    <xf numFmtId="0" fontId="17" fillId="0" borderId="0" xfId="0" applyFont="1" applyBorder="1" applyAlignment="1">
      <alignment vertical="center" wrapText="1"/>
    </xf>
    <xf numFmtId="0" fontId="17" fillId="0" borderId="22" xfId="0" applyFont="1" applyBorder="1" applyAlignment="1">
      <alignment vertical="center" wrapText="1"/>
    </xf>
    <xf numFmtId="2" fontId="12" fillId="0" borderId="0" xfId="0" applyNumberFormat="1" applyFont="1" applyAlignment="1"/>
    <xf numFmtId="0" fontId="96" fillId="0" borderId="7" xfId="39" applyFont="1" applyBorder="1" applyAlignment="1" applyProtection="1">
      <alignment horizontal="center"/>
      <protection locked="0"/>
    </xf>
    <xf numFmtId="0" fontId="12" fillId="0" borderId="0" xfId="0" applyFont="1" applyAlignment="1">
      <alignment wrapText="1"/>
    </xf>
    <xf numFmtId="0" fontId="17" fillId="0" borderId="100" xfId="0" applyFont="1" applyFill="1" applyBorder="1" applyAlignment="1">
      <alignment vertical="center" wrapText="1"/>
    </xf>
    <xf numFmtId="0" fontId="17" fillId="0" borderId="13" xfId="0" applyFont="1" applyFill="1" applyBorder="1" applyAlignment="1">
      <alignment vertical="center" wrapText="1"/>
    </xf>
    <xf numFmtId="0" fontId="17" fillId="0" borderId="7" xfId="0" applyFont="1" applyBorder="1" applyAlignment="1">
      <alignment horizontal="center" vertical="center"/>
    </xf>
    <xf numFmtId="165" fontId="12" fillId="0" borderId="9" xfId="0" applyNumberFormat="1" applyFont="1" applyBorder="1" applyAlignment="1"/>
    <xf numFmtId="2" fontId="17" fillId="0" borderId="0" xfId="0" applyNumberFormat="1" applyFont="1" applyBorder="1" applyAlignment="1">
      <alignment vertical="center" wrapText="1"/>
    </xf>
    <xf numFmtId="0" fontId="96" fillId="0" borderId="17" xfId="39" applyFont="1" applyBorder="1" applyAlignment="1" applyProtection="1">
      <alignment horizontal="center" wrapText="1"/>
      <protection locked="0"/>
    </xf>
    <xf numFmtId="2" fontId="17" fillId="0" borderId="22" xfId="0" applyNumberFormat="1" applyFont="1" applyBorder="1" applyAlignment="1">
      <alignment vertical="center" wrapText="1"/>
    </xf>
    <xf numFmtId="165" fontId="17" fillId="0" borderId="22" xfId="0" applyNumberFormat="1" applyFont="1" applyBorder="1" applyAlignment="1">
      <alignment vertical="center" wrapText="1"/>
    </xf>
    <xf numFmtId="174" fontId="12" fillId="0" borderId="0" xfId="0" applyNumberFormat="1" applyFont="1" applyAlignment="1"/>
    <xf numFmtId="165" fontId="17" fillId="0" borderId="0" xfId="0" applyNumberFormat="1" applyFont="1" applyBorder="1" applyAlignment="1">
      <alignment vertical="center" wrapText="1"/>
    </xf>
    <xf numFmtId="0" fontId="9" fillId="0" borderId="15" xfId="35" applyFill="1" applyBorder="1" applyAlignment="1" applyProtection="1"/>
    <xf numFmtId="0" fontId="99" fillId="0" borderId="15" xfId="0" applyFont="1" applyBorder="1"/>
    <xf numFmtId="0" fontId="100" fillId="0" borderId="15" xfId="0" applyFont="1" applyBorder="1"/>
    <xf numFmtId="0" fontId="101" fillId="0" borderId="16" xfId="0" applyFont="1" applyBorder="1"/>
    <xf numFmtId="9" fontId="2" fillId="0" borderId="9" xfId="43" applyFont="1" applyFill="1" applyBorder="1" applyAlignment="1">
      <alignment horizontal="center"/>
    </xf>
    <xf numFmtId="0" fontId="0" fillId="0" borderId="79" xfId="0" applyBorder="1"/>
    <xf numFmtId="0" fontId="0" fillId="0" borderId="86" xfId="0" applyBorder="1" applyAlignment="1">
      <alignment horizontal="left"/>
    </xf>
    <xf numFmtId="0" fontId="0" fillId="0" borderId="85" xfId="0" applyBorder="1" applyAlignment="1">
      <alignment horizontal="left"/>
    </xf>
    <xf numFmtId="0" fontId="55" fillId="0" borderId="86" xfId="0" applyFont="1" applyBorder="1"/>
    <xf numFmtId="0" fontId="55" fillId="0" borderId="80" xfId="0" applyFont="1" applyBorder="1"/>
    <xf numFmtId="0" fontId="55" fillId="0" borderId="94" xfId="0" applyFont="1" applyBorder="1"/>
    <xf numFmtId="0" fontId="55" fillId="0" borderId="81" xfId="0" applyFont="1" applyFill="1" applyBorder="1"/>
    <xf numFmtId="2" fontId="17" fillId="0" borderId="22" xfId="0" applyNumberFormat="1" applyFont="1" applyFill="1" applyBorder="1" applyAlignment="1"/>
    <xf numFmtId="0" fontId="2" fillId="0" borderId="14" xfId="0" applyFont="1" applyBorder="1" applyAlignment="1"/>
    <xf numFmtId="0" fontId="5" fillId="0" borderId="0" xfId="35" applyFont="1" applyBorder="1" applyAlignment="1" applyProtection="1">
      <alignment vertical="center"/>
    </xf>
    <xf numFmtId="165" fontId="61" fillId="0" borderId="101" xfId="0" applyNumberFormat="1" applyFont="1" applyBorder="1" applyAlignment="1">
      <alignment horizontal="center"/>
    </xf>
    <xf numFmtId="1" fontId="69" fillId="0" borderId="5" xfId="40" applyNumberFormat="1" applyFont="1" applyFill="1" applyBorder="1" applyAlignment="1">
      <alignment horizontal="center" wrapText="1"/>
    </xf>
    <xf numFmtId="165" fontId="61" fillId="0" borderId="12" xfId="0" applyNumberFormat="1" applyFont="1" applyBorder="1" applyAlignment="1">
      <alignment horizontal="center"/>
    </xf>
    <xf numFmtId="2" fontId="61" fillId="0" borderId="17" xfId="0" applyNumberFormat="1" applyFont="1" applyBorder="1" applyAlignment="1">
      <alignment horizontal="center"/>
    </xf>
    <xf numFmtId="0" fontId="2" fillId="0" borderId="22" xfId="0" applyFont="1" applyBorder="1" applyAlignment="1">
      <alignment horizontal="center"/>
    </xf>
    <xf numFmtId="0" fontId="2" fillId="0" borderId="101" xfId="0" applyFont="1" applyBorder="1" applyAlignment="1">
      <alignment horizontal="center"/>
    </xf>
    <xf numFmtId="168" fontId="2" fillId="0" borderId="22" xfId="28" applyNumberFormat="1" applyFont="1" applyBorder="1" applyAlignment="1">
      <alignment horizontal="center"/>
    </xf>
    <xf numFmtId="0" fontId="2" fillId="0" borderId="102" xfId="0" applyFont="1" applyBorder="1" applyAlignment="1">
      <alignment horizontal="center"/>
    </xf>
    <xf numFmtId="1" fontId="2" fillId="0" borderId="0" xfId="0" applyNumberFormat="1" applyFont="1" applyBorder="1" applyAlignment="1">
      <alignment horizontal="center"/>
    </xf>
    <xf numFmtId="0" fontId="70" fillId="0" borderId="19" xfId="0" applyFont="1" applyFill="1" applyBorder="1" applyAlignment="1">
      <alignment wrapText="1"/>
    </xf>
    <xf numFmtId="168" fontId="12" fillId="0" borderId="9" xfId="28" applyNumberFormat="1" applyFont="1" applyFill="1" applyBorder="1" applyAlignment="1"/>
    <xf numFmtId="1" fontId="12" fillId="0" borderId="102" xfId="0" applyNumberFormat="1" applyFont="1" applyBorder="1" applyAlignment="1"/>
    <xf numFmtId="1" fontId="12" fillId="0" borderId="7" xfId="0" applyNumberFormat="1" applyFont="1" applyBorder="1" applyAlignment="1"/>
    <xf numFmtId="1" fontId="12" fillId="0" borderId="14" xfId="0" applyNumberFormat="1" applyFont="1" applyBorder="1" applyAlignment="1"/>
    <xf numFmtId="174" fontId="2" fillId="0" borderId="5" xfId="0" applyNumberFormat="1" applyFont="1" applyBorder="1" applyAlignment="1">
      <alignment horizontal="center"/>
    </xf>
    <xf numFmtId="3" fontId="12" fillId="0" borderId="0" xfId="0" applyNumberFormat="1" applyFont="1" applyAlignment="1"/>
    <xf numFmtId="0" fontId="61" fillId="0" borderId="0" xfId="0" applyFont="1"/>
    <xf numFmtId="166" fontId="71" fillId="26" borderId="8" xfId="43" applyNumberFormat="1" applyFont="1" applyFill="1" applyBorder="1" applyAlignment="1"/>
    <xf numFmtId="165" fontId="12" fillId="0" borderId="0" xfId="0" applyNumberFormat="1" applyFont="1" applyAlignment="1"/>
    <xf numFmtId="166" fontId="71" fillId="0" borderId="42" xfId="43" applyNumberFormat="1" applyFont="1" applyFill="1" applyBorder="1" applyAlignment="1"/>
    <xf numFmtId="166" fontId="71" fillId="0" borderId="0" xfId="43" applyNumberFormat="1" applyFont="1" applyFill="1" applyBorder="1" applyAlignment="1"/>
    <xf numFmtId="166" fontId="71" fillId="26" borderId="0" xfId="43" applyNumberFormat="1" applyFont="1" applyFill="1" applyBorder="1" applyAlignment="1"/>
    <xf numFmtId="3" fontId="17" fillId="0" borderId="103" xfId="0" applyNumberFormat="1" applyFont="1" applyBorder="1" applyAlignment="1">
      <alignment horizontal="right"/>
    </xf>
    <xf numFmtId="0" fontId="12" fillId="0" borderId="102" xfId="0" applyFont="1" applyBorder="1" applyAlignment="1"/>
    <xf numFmtId="0" fontId="12" fillId="0" borderId="100" xfId="0" applyFont="1" applyBorder="1" applyAlignment="1"/>
    <xf numFmtId="166" fontId="71" fillId="26" borderId="18" xfId="43" applyNumberFormat="1" applyFont="1" applyFill="1" applyBorder="1" applyAlignment="1"/>
    <xf numFmtId="166" fontId="71" fillId="26" borderId="19" xfId="43" applyNumberFormat="1" applyFont="1" applyFill="1" applyBorder="1" applyAlignment="1"/>
    <xf numFmtId="166" fontId="12" fillId="0" borderId="0" xfId="0" applyNumberFormat="1" applyFont="1" applyBorder="1" applyAlignment="1"/>
    <xf numFmtId="43" fontId="17" fillId="0" borderId="0" xfId="0" applyNumberFormat="1" applyFont="1" applyBorder="1"/>
    <xf numFmtId="9" fontId="12" fillId="0" borderId="0" xfId="43" applyFont="1" applyBorder="1" applyAlignment="1"/>
    <xf numFmtId="165" fontId="17" fillId="0" borderId="0" xfId="0" applyNumberFormat="1" applyFont="1" applyBorder="1"/>
    <xf numFmtId="166" fontId="71" fillId="0" borderId="19" xfId="43" applyNumberFormat="1" applyFont="1" applyFill="1" applyBorder="1" applyAlignment="1"/>
    <xf numFmtId="3" fontId="2" fillId="0" borderId="8" xfId="28" applyNumberFormat="1" applyFont="1" applyFill="1" applyBorder="1" applyAlignment="1"/>
    <xf numFmtId="0" fontId="13" fillId="24" borderId="51" xfId="0" applyFont="1" applyFill="1" applyBorder="1" applyAlignment="1">
      <alignment horizontal="center"/>
    </xf>
    <xf numFmtId="0" fontId="13" fillId="24" borderId="53" xfId="0" applyFont="1" applyFill="1" applyBorder="1" applyAlignment="1">
      <alignment horizontal="center"/>
    </xf>
    <xf numFmtId="0" fontId="61" fillId="0" borderId="67" xfId="0" applyFont="1" applyFill="1" applyBorder="1" applyAlignment="1">
      <alignment horizontal="center" vertical="center" wrapText="1"/>
    </xf>
    <xf numFmtId="0" fontId="61" fillId="0" borderId="75" xfId="0" applyFont="1" applyFill="1" applyBorder="1" applyAlignment="1">
      <alignment horizontal="center" vertical="center" wrapText="1"/>
    </xf>
    <xf numFmtId="0" fontId="61" fillId="0" borderId="92" xfId="0" applyFont="1" applyFill="1" applyBorder="1" applyAlignment="1">
      <alignment horizontal="center" vertical="center" wrapText="1"/>
    </xf>
    <xf numFmtId="0" fontId="61" fillId="0" borderId="42" xfId="0" applyFont="1" applyBorder="1" applyAlignment="1">
      <alignment horizontal="center"/>
    </xf>
    <xf numFmtId="0" fontId="61" fillId="0" borderId="11" xfId="0" applyFont="1" applyBorder="1" applyAlignment="1">
      <alignment horizontal="center"/>
    </xf>
    <xf numFmtId="0" fontId="61" fillId="0" borderId="76" xfId="0" applyFont="1" applyBorder="1" applyAlignment="1">
      <alignment horizontal="center"/>
    </xf>
    <xf numFmtId="0" fontId="61" fillId="0" borderId="69" xfId="0" applyFont="1" applyBorder="1" applyAlignment="1">
      <alignment horizontal="center"/>
    </xf>
    <xf numFmtId="0" fontId="95" fillId="0" borderId="0" xfId="0" applyFont="1" applyFill="1" applyBorder="1" applyAlignment="1">
      <alignment horizontal="center"/>
    </xf>
    <xf numFmtId="0" fontId="61" fillId="0" borderId="6" xfId="0" applyFont="1" applyBorder="1" applyAlignment="1">
      <alignment horizontal="center" vertical="center" wrapText="1"/>
    </xf>
    <xf numFmtId="0" fontId="61" fillId="0" borderId="68"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51" xfId="0" applyFont="1" applyBorder="1" applyAlignment="1">
      <alignment horizontal="center"/>
    </xf>
    <xf numFmtId="0" fontId="61" fillId="0" borderId="53" xfId="0" applyFont="1" applyBorder="1" applyAlignment="1">
      <alignment horizontal="center"/>
    </xf>
    <xf numFmtId="0" fontId="61" fillId="0" borderId="19" xfId="0" applyFont="1" applyBorder="1" applyAlignment="1">
      <alignment horizontal="center"/>
    </xf>
    <xf numFmtId="0" fontId="61" fillId="0" borderId="39" xfId="0" applyFont="1" applyBorder="1" applyAlignment="1">
      <alignment horizontal="center"/>
    </xf>
    <xf numFmtId="0" fontId="61" fillId="0" borderId="20" xfId="0" applyFont="1" applyBorder="1" applyAlignment="1">
      <alignment horizontal="center"/>
    </xf>
    <xf numFmtId="0" fontId="61" fillId="0" borderId="82" xfId="0" applyFont="1" applyBorder="1" applyAlignment="1">
      <alignment horizontal="center" vertical="center" wrapText="1"/>
    </xf>
    <xf numFmtId="0" fontId="61" fillId="0" borderId="5" xfId="0" applyFont="1" applyBorder="1" applyAlignment="1">
      <alignment horizontal="center" vertical="center" wrapText="1"/>
    </xf>
    <xf numFmtId="0" fontId="61" fillId="0" borderId="71" xfId="0" applyFont="1" applyBorder="1" applyAlignment="1">
      <alignment horizontal="center" vertical="center" wrapText="1"/>
    </xf>
    <xf numFmtId="0" fontId="61" fillId="0" borderId="59"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69" xfId="0" applyFont="1" applyBorder="1" applyAlignment="1">
      <alignment horizontal="center" vertical="center" wrapText="1"/>
    </xf>
    <xf numFmtId="0" fontId="61" fillId="0" borderId="2" xfId="0" applyFont="1" applyBorder="1" applyAlignment="1">
      <alignment horizontal="center" vertical="center" wrapText="1"/>
    </xf>
    <xf numFmtId="0" fontId="61" fillId="0" borderId="4" xfId="0" applyFont="1" applyBorder="1" applyAlignment="1">
      <alignment horizontal="center" vertical="center" wrapText="1"/>
    </xf>
    <xf numFmtId="0" fontId="12" fillId="0" borderId="0" xfId="0" applyFont="1" applyBorder="1" applyAlignment="1">
      <alignment horizontal="center" wrapText="1"/>
    </xf>
    <xf numFmtId="0" fontId="17" fillId="0" borderId="52" xfId="0" applyFont="1" applyBorder="1" applyAlignment="1">
      <alignment horizontal="center"/>
    </xf>
    <xf numFmtId="0" fontId="17" fillId="0" borderId="53" xfId="0" applyFont="1" applyBorder="1" applyAlignment="1">
      <alignment horizontal="center"/>
    </xf>
    <xf numFmtId="165" fontId="64" fillId="0" borderId="0" xfId="0" applyNumberFormat="1" applyFont="1" applyBorder="1" applyAlignment="1" applyProtection="1">
      <alignment horizontal="center"/>
      <protection locked="0"/>
    </xf>
    <xf numFmtId="165" fontId="64" fillId="0" borderId="0" xfId="0" applyNumberFormat="1" applyFont="1" applyBorder="1" applyAlignment="1">
      <alignment horizontal="center"/>
    </xf>
    <xf numFmtId="0" fontId="64" fillId="0" borderId="0" xfId="0" applyFont="1" applyBorder="1" applyAlignment="1">
      <alignment horizontal="center" vertical="center"/>
    </xf>
    <xf numFmtId="0" fontId="17" fillId="0" borderId="61" xfId="0" applyFont="1" applyFill="1" applyBorder="1" applyAlignment="1">
      <alignment horizontal="center"/>
    </xf>
    <xf numFmtId="0" fontId="17" fillId="0" borderId="22" xfId="0" applyFont="1" applyFill="1" applyBorder="1" applyAlignment="1">
      <alignment horizontal="center"/>
    </xf>
    <xf numFmtId="0" fontId="61" fillId="0" borderId="13" xfId="0" applyFont="1" applyBorder="1" applyAlignment="1">
      <alignment horizontal="center"/>
    </xf>
    <xf numFmtId="0" fontId="61" fillId="0" borderId="14" xfId="0" applyFont="1" applyBorder="1" applyAlignment="1">
      <alignment horizontal="center"/>
    </xf>
    <xf numFmtId="2" fontId="61" fillId="0" borderId="13" xfId="0" applyNumberFormat="1" applyFont="1" applyBorder="1" applyAlignment="1">
      <alignment horizontal="center"/>
    </xf>
    <xf numFmtId="2" fontId="61" fillId="0" borderId="49" xfId="0" applyNumberFormat="1" applyFont="1" applyBorder="1" applyAlignment="1">
      <alignment horizontal="center"/>
    </xf>
    <xf numFmtId="0" fontId="17" fillId="0" borderId="1" xfId="0" applyFont="1" applyBorder="1" applyAlignment="1">
      <alignment horizontal="center" wrapText="1"/>
    </xf>
    <xf numFmtId="0" fontId="17" fillId="0" borderId="12" xfId="0" applyFont="1" applyBorder="1" applyAlignment="1">
      <alignment horizontal="center" wrapText="1"/>
    </xf>
    <xf numFmtId="0" fontId="17" fillId="0" borderId="14" xfId="0" applyFont="1" applyFill="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64" fillId="0" borderId="2" xfId="0" applyFont="1" applyBorder="1" applyAlignment="1">
      <alignment horizontal="left" wrapText="1"/>
    </xf>
    <xf numFmtId="0" fontId="64" fillId="0" borderId="3" xfId="0" applyFont="1" applyBorder="1" applyAlignment="1">
      <alignment horizontal="left" wrapText="1"/>
    </xf>
    <xf numFmtId="0" fontId="64" fillId="0" borderId="4" xfId="0" applyFont="1" applyBorder="1" applyAlignment="1">
      <alignment horizontal="left" wrapText="1"/>
    </xf>
    <xf numFmtId="2" fontId="61" fillId="0" borderId="1" xfId="0" applyNumberFormat="1" applyFont="1" applyBorder="1" applyAlignment="1">
      <alignment horizontal="center" vertical="center" wrapText="1"/>
    </xf>
    <xf numFmtId="2" fontId="61" fillId="0" borderId="12"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2" fontId="61" fillId="0" borderId="22" xfId="0" applyNumberFormat="1" applyFont="1" applyBorder="1" applyAlignment="1">
      <alignment horizontal="center"/>
    </xf>
    <xf numFmtId="0" fontId="17" fillId="0" borderId="2" xfId="0" applyFont="1" applyBorder="1" applyAlignment="1">
      <alignment horizontal="center"/>
    </xf>
    <xf numFmtId="0" fontId="17" fillId="0" borderId="6"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3" xfId="0" applyFont="1" applyFill="1" applyBorder="1" applyAlignment="1">
      <alignment horizontal="center" vertical="center" wrapText="1"/>
    </xf>
    <xf numFmtId="2" fontId="61" fillId="0" borderId="52" xfId="0" applyNumberFormat="1" applyFont="1" applyBorder="1" applyAlignment="1">
      <alignment horizontal="center"/>
    </xf>
    <xf numFmtId="2" fontId="61" fillId="0" borderId="53" xfId="0" applyNumberFormat="1" applyFont="1" applyBorder="1" applyAlignment="1">
      <alignment horizontal="center"/>
    </xf>
    <xf numFmtId="0" fontId="17" fillId="0" borderId="6" xfId="0" applyFont="1" applyBorder="1" applyAlignment="1">
      <alignment horizontal="center" wrapText="1"/>
    </xf>
    <xf numFmtId="0" fontId="17" fillId="0" borderId="17" xfId="0" applyFont="1" applyBorder="1" applyAlignment="1">
      <alignment horizont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17" fillId="0" borderId="0" xfId="0" applyFont="1" applyBorder="1" applyAlignment="1">
      <alignment horizontal="center" wrapText="1"/>
    </xf>
    <xf numFmtId="0" fontId="17" fillId="0" borderId="9" xfId="0" applyFont="1" applyBorder="1" applyAlignment="1">
      <alignment horizontal="center" wrapText="1"/>
    </xf>
    <xf numFmtId="0" fontId="17" fillId="0" borderId="13" xfId="0" applyFont="1" applyBorder="1" applyAlignment="1">
      <alignment horizontal="center" wrapText="1"/>
    </xf>
    <xf numFmtId="0" fontId="17" fillId="0" borderId="22" xfId="0" applyFont="1" applyBorder="1" applyAlignment="1">
      <alignment horizontal="center" wrapText="1"/>
    </xf>
    <xf numFmtId="0" fontId="17" fillId="0" borderId="14" xfId="0" applyFont="1" applyBorder="1" applyAlignment="1">
      <alignment horizontal="center" wrapText="1"/>
    </xf>
    <xf numFmtId="0" fontId="17" fillId="0" borderId="51" xfId="0" applyFont="1" applyFill="1" applyBorder="1" applyAlignment="1">
      <alignment horizontal="center"/>
    </xf>
    <xf numFmtId="0" fontId="17" fillId="0" borderId="53" xfId="0" applyFont="1" applyFill="1" applyBorder="1" applyAlignment="1">
      <alignment horizont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1" xfId="0" applyFont="1" applyBorder="1" applyAlignment="1">
      <alignment horizontal="center" vertical="center"/>
    </xf>
    <xf numFmtId="0" fontId="17" fillId="0" borderId="1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4" xfId="0" applyFont="1" applyFill="1" applyBorder="1" applyAlignment="1">
      <alignment horizontal="center" vertical="center" wrapText="1"/>
    </xf>
    <xf numFmtId="2" fontId="61" fillId="0" borderId="13" xfId="0" applyNumberFormat="1" applyFont="1" applyBorder="1" applyAlignment="1">
      <alignment horizontal="right" vertical="center"/>
    </xf>
    <xf numFmtId="2" fontId="61" fillId="0" borderId="22" xfId="0" applyNumberFormat="1" applyFont="1" applyBorder="1" applyAlignment="1">
      <alignment horizontal="right" vertical="center"/>
    </xf>
    <xf numFmtId="165" fontId="12" fillId="0" borderId="1" xfId="0" applyNumberFormat="1" applyFont="1" applyBorder="1" applyAlignment="1">
      <alignment horizontal="center"/>
    </xf>
    <xf numFmtId="165" fontId="12" fillId="0" borderId="12" xfId="0" applyNumberFormat="1" applyFont="1" applyBorder="1" applyAlignment="1">
      <alignment horizontal="center"/>
    </xf>
    <xf numFmtId="0" fontId="61" fillId="0" borderId="2" xfId="0" applyFont="1" applyFill="1" applyBorder="1" applyAlignment="1" applyProtection="1">
      <alignment horizontal="center" vertical="center"/>
      <protection locked="0"/>
    </xf>
    <xf numFmtId="0" fontId="61" fillId="0" borderId="3" xfId="0" applyFont="1" applyFill="1" applyBorder="1" applyAlignment="1" applyProtection="1">
      <alignment horizontal="center" vertical="center"/>
      <protection locked="0"/>
    </xf>
    <xf numFmtId="0" fontId="61" fillId="0" borderId="6" xfId="0" applyFont="1" applyBorder="1" applyAlignment="1" applyProtection="1">
      <alignment horizontal="center" vertical="center" wrapText="1"/>
      <protection locked="0"/>
    </xf>
    <xf numFmtId="0" fontId="61" fillId="0" borderId="8" xfId="0" applyFont="1" applyBorder="1" applyAlignment="1" applyProtection="1">
      <alignment horizontal="center" vertical="center" wrapText="1"/>
      <protection locked="0"/>
    </xf>
    <xf numFmtId="0" fontId="61" fillId="0" borderId="13" xfId="0" applyFont="1" applyBorder="1" applyAlignment="1" applyProtection="1">
      <alignment horizontal="center" vertical="center" wrapText="1"/>
      <protection locked="0"/>
    </xf>
    <xf numFmtId="0" fontId="17" fillId="0" borderId="10" xfId="0" applyFont="1" applyBorder="1" applyAlignment="1" applyProtection="1">
      <alignment horizontal="center" wrapText="1"/>
      <protection locked="0"/>
    </xf>
    <xf numFmtId="0" fontId="17" fillId="0" borderId="11" xfId="0" applyFont="1" applyBorder="1" applyAlignment="1" applyProtection="1">
      <alignment horizontal="center" wrapText="1"/>
      <protection locked="0"/>
    </xf>
    <xf numFmtId="0" fontId="17" fillId="0" borderId="21" xfId="0" applyFont="1" applyBorder="1" applyAlignment="1" applyProtection="1">
      <alignment horizontal="center" wrapText="1"/>
      <protection locked="0"/>
    </xf>
    <xf numFmtId="0" fontId="17" fillId="0" borderId="20" xfId="0" applyFont="1" applyBorder="1" applyAlignment="1" applyProtection="1">
      <alignment horizontal="center" wrapText="1"/>
      <protection locked="0"/>
    </xf>
    <xf numFmtId="0" fontId="17" fillId="0" borderId="67" xfId="0" applyFont="1" applyBorder="1" applyAlignment="1" applyProtection="1">
      <alignment horizontal="center" vertical="top" wrapText="1"/>
      <protection locked="0"/>
    </xf>
    <xf numFmtId="0" fontId="17" fillId="0" borderId="91" xfId="0" applyFont="1" applyBorder="1" applyAlignment="1" applyProtection="1">
      <alignment horizontal="center" vertical="top" wrapText="1"/>
      <protection locked="0"/>
    </xf>
    <xf numFmtId="0" fontId="61" fillId="0" borderId="6"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17" fillId="0" borderId="1" xfId="0" applyFont="1" applyBorder="1" applyAlignment="1" applyProtection="1">
      <alignment horizontal="center" vertical="top" wrapText="1"/>
      <protection locked="0"/>
    </xf>
    <xf numFmtId="0" fontId="17" fillId="0" borderId="5" xfId="0" applyFont="1" applyBorder="1" applyAlignment="1" applyProtection="1">
      <alignment horizontal="center" vertical="top" wrapText="1"/>
      <protection locked="0"/>
    </xf>
    <xf numFmtId="0" fontId="17" fillId="0" borderId="12" xfId="0" applyFont="1" applyBorder="1" applyAlignment="1" applyProtection="1">
      <alignment horizontal="center" vertical="top" wrapText="1"/>
      <protection locked="0"/>
    </xf>
    <xf numFmtId="0" fontId="17" fillId="0" borderId="2" xfId="0" applyFont="1" applyBorder="1" applyAlignment="1">
      <alignment horizontal="center" wrapText="1"/>
    </xf>
    <xf numFmtId="0" fontId="17" fillId="0" borderId="3" xfId="0" applyFont="1" applyBorder="1" applyAlignment="1">
      <alignment horizontal="center" wrapText="1"/>
    </xf>
    <xf numFmtId="0" fontId="17" fillId="0" borderId="4" xfId="0" applyFont="1" applyBorder="1" applyAlignment="1">
      <alignment horizontal="center" wrapText="1"/>
    </xf>
    <xf numFmtId="0" fontId="17" fillId="0" borderId="0" xfId="0" applyFont="1" applyBorder="1" applyAlignment="1">
      <alignment horizontal="center"/>
    </xf>
    <xf numFmtId="0" fontId="17" fillId="0" borderId="60" xfId="0" applyFont="1" applyBorder="1" applyAlignment="1" applyProtection="1">
      <alignment horizontal="center" vertical="top" wrapText="1"/>
      <protection locked="0"/>
    </xf>
    <xf numFmtId="0" fontId="17" fillId="0" borderId="56" xfId="0" applyFont="1" applyBorder="1" applyAlignment="1" applyProtection="1">
      <alignment horizontal="center" vertical="top" wrapText="1"/>
      <protection locked="0"/>
    </xf>
    <xf numFmtId="0" fontId="12" fillId="0" borderId="1" xfId="0" applyFont="1" applyBorder="1" applyAlignment="1">
      <alignment horizontal="center" wrapText="1"/>
    </xf>
    <xf numFmtId="0" fontId="12" fillId="0" borderId="12" xfId="0" applyFont="1" applyBorder="1" applyAlignment="1">
      <alignment horizontal="center" wrapText="1"/>
    </xf>
    <xf numFmtId="0" fontId="17" fillId="0" borderId="7" xfId="0" applyFont="1" applyBorder="1" applyAlignment="1">
      <alignment wrapText="1"/>
    </xf>
    <xf numFmtId="0" fontId="17" fillId="0" borderId="14" xfId="0" applyFont="1" applyBorder="1" applyAlignment="1">
      <alignment wrapText="1"/>
    </xf>
    <xf numFmtId="0" fontId="2" fillId="0" borderId="6" xfId="49" applyFont="1" applyBorder="1" applyAlignment="1">
      <alignment horizontal="center" wrapText="1"/>
    </xf>
    <xf numFmtId="0" fontId="2" fillId="0" borderId="7" xfId="49" applyFont="1" applyBorder="1" applyAlignment="1">
      <alignment horizontal="center" wrapText="1"/>
    </xf>
    <xf numFmtId="0" fontId="2" fillId="0" borderId="8" xfId="49" applyFont="1" applyBorder="1" applyAlignment="1">
      <alignment horizontal="center" wrapText="1"/>
    </xf>
    <xf numFmtId="0" fontId="2" fillId="0" borderId="9" xfId="49" applyFont="1" applyBorder="1" applyAlignment="1">
      <alignment horizontal="center" wrapText="1"/>
    </xf>
    <xf numFmtId="0" fontId="2" fillId="0" borderId="13" xfId="49" applyFont="1" applyBorder="1" applyAlignment="1">
      <alignment horizontal="center" wrapText="1"/>
    </xf>
    <xf numFmtId="0" fontId="2" fillId="0" borderId="14" xfId="49" applyFont="1" applyBorder="1" applyAlignment="1">
      <alignment horizontal="center" wrapText="1"/>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9" xfId="49" applyFont="1" applyBorder="1" applyAlignment="1">
      <alignment horizontal="center" vertical="center" wrapText="1"/>
    </xf>
    <xf numFmtId="0" fontId="2" fillId="0" borderId="13" xfId="49" applyFont="1" applyBorder="1" applyAlignment="1">
      <alignment horizontal="center" vertical="center" wrapText="1"/>
    </xf>
    <xf numFmtId="0" fontId="2" fillId="0" borderId="14" xfId="49" applyFont="1" applyBorder="1" applyAlignment="1">
      <alignment horizontal="center" vertical="center" wrapText="1"/>
    </xf>
    <xf numFmtId="2" fontId="2" fillId="0" borderId="17" xfId="49" applyNumberFormat="1" applyBorder="1" applyAlignment="1">
      <alignment horizontal="center" vertical="center" wrapText="1"/>
    </xf>
    <xf numFmtId="2" fontId="2" fillId="0" borderId="7" xfId="49" applyNumberFormat="1" applyBorder="1" applyAlignment="1">
      <alignment horizontal="center" vertical="center" wrapText="1"/>
    </xf>
    <xf numFmtId="2" fontId="2" fillId="0" borderId="0" xfId="49" applyNumberFormat="1" applyBorder="1" applyAlignment="1">
      <alignment horizontal="center" vertical="center" wrapText="1"/>
    </xf>
    <xf numFmtId="2" fontId="2" fillId="0" borderId="9" xfId="49" applyNumberFormat="1" applyBorder="1" applyAlignment="1">
      <alignment horizontal="center" vertical="center" wrapText="1"/>
    </xf>
    <xf numFmtId="2" fontId="2" fillId="0" borderId="22" xfId="49" applyNumberFormat="1" applyBorder="1" applyAlignment="1">
      <alignment horizontal="center" vertical="center" wrapText="1"/>
    </xf>
    <xf numFmtId="2" fontId="2" fillId="0" borderId="14" xfId="49" applyNumberFormat="1" applyBorder="1" applyAlignment="1">
      <alignment horizontal="center" vertical="center" wrapText="1"/>
    </xf>
    <xf numFmtId="165" fontId="81" fillId="0" borderId="2" xfId="49" applyNumberFormat="1" applyFont="1" applyFill="1" applyBorder="1" applyAlignment="1">
      <alignment horizontal="center" vertical="center" wrapText="1"/>
    </xf>
    <xf numFmtId="165" fontId="81" fillId="0" borderId="3" xfId="49" applyNumberFormat="1" applyFont="1" applyFill="1" applyBorder="1" applyAlignment="1">
      <alignment horizontal="center" vertical="center" wrapText="1"/>
    </xf>
    <xf numFmtId="165" fontId="81" fillId="0" borderId="4" xfId="49" applyNumberFormat="1" applyFont="1" applyFill="1" applyBorder="1" applyAlignment="1">
      <alignment horizontal="center" vertical="center" wrapText="1"/>
    </xf>
    <xf numFmtId="0" fontId="46" fillId="0" borderId="0" xfId="49" applyFont="1" applyFill="1" applyBorder="1" applyAlignment="1">
      <alignment vertical="top" wrapText="1"/>
    </xf>
    <xf numFmtId="0" fontId="78" fillId="0" borderId="0" xfId="49" applyFont="1" applyFill="1" applyBorder="1" applyAlignment="1">
      <alignment vertical="top" wrapText="1"/>
    </xf>
    <xf numFmtId="0" fontId="2" fillId="0" borderId="0" xfId="49" applyFont="1" applyAlignment="1">
      <alignment vertical="center" wrapText="1"/>
    </xf>
    <xf numFmtId="0" fontId="81" fillId="0" borderId="2" xfId="49" applyFont="1" applyFill="1" applyBorder="1" applyAlignment="1">
      <alignment horizontal="left" vertical="top" wrapText="1"/>
    </xf>
    <xf numFmtId="0" fontId="81" fillId="0" borderId="3" xfId="49" applyFont="1" applyFill="1" applyBorder="1" applyAlignment="1">
      <alignment horizontal="left" vertical="top" wrapText="1"/>
    </xf>
    <xf numFmtId="0" fontId="81" fillId="0" borderId="4" xfId="49" applyFont="1" applyFill="1" applyBorder="1" applyAlignment="1">
      <alignment horizontal="left" vertical="top" wrapText="1"/>
    </xf>
    <xf numFmtId="1" fontId="81" fillId="0" borderId="3" xfId="49" applyNumberFormat="1" applyFont="1" applyFill="1" applyBorder="1" applyAlignment="1">
      <alignment horizontal="center" vertical="center" wrapText="1"/>
    </xf>
    <xf numFmtId="1" fontId="81" fillId="0" borderId="4" xfId="49" applyNumberFormat="1" applyFont="1" applyFill="1" applyBorder="1" applyAlignment="1">
      <alignment horizontal="center" vertical="center" wrapText="1"/>
    </xf>
    <xf numFmtId="0" fontId="81" fillId="0" borderId="6" xfId="49" applyFont="1" applyFill="1" applyBorder="1" applyAlignment="1">
      <alignment horizontal="center" vertical="top" wrapText="1"/>
    </xf>
    <xf numFmtId="0" fontId="81" fillId="0" borderId="7" xfId="49" applyFont="1" applyFill="1" applyBorder="1" applyAlignment="1">
      <alignment horizontal="center" vertical="top" wrapText="1"/>
    </xf>
    <xf numFmtId="0" fontId="81" fillId="0" borderId="13" xfId="49" applyFont="1" applyFill="1" applyBorder="1" applyAlignment="1">
      <alignment horizontal="center" vertical="top" wrapText="1"/>
    </xf>
    <xf numFmtId="0" fontId="81" fillId="0" borderId="14" xfId="49" applyFont="1" applyFill="1" applyBorder="1" applyAlignment="1">
      <alignment horizontal="center" vertical="top"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43" fillId="0" borderId="0" xfId="0" applyFont="1" applyFill="1" applyBorder="1" applyAlignment="1">
      <alignment vertical="top" wrapText="1"/>
    </xf>
    <xf numFmtId="0" fontId="43" fillId="0" borderId="43" xfId="0" applyFont="1" applyFill="1" applyBorder="1" applyAlignment="1">
      <alignment vertical="top" wrapText="1"/>
    </xf>
    <xf numFmtId="0" fontId="43" fillId="0" borderId="78" xfId="0" applyFont="1" applyFill="1" applyBorder="1" applyAlignment="1">
      <alignment horizontal="center" vertical="top" wrapText="1"/>
    </xf>
    <xf numFmtId="0" fontId="43" fillId="0" borderId="78" xfId="0" applyFont="1" applyFill="1" applyBorder="1" applyAlignment="1">
      <alignment horizontal="right" vertical="top" wrapText="1"/>
    </xf>
    <xf numFmtId="0" fontId="43" fillId="0" borderId="43" xfId="0" applyFont="1" applyFill="1" applyBorder="1" applyAlignment="1">
      <alignment horizontal="left" vertical="top" wrapText="1"/>
    </xf>
    <xf numFmtId="0" fontId="78" fillId="0" borderId="47" xfId="0" applyFont="1" applyFill="1" applyBorder="1" applyAlignment="1">
      <alignment vertical="top" wrapText="1"/>
    </xf>
    <xf numFmtId="0" fontId="86" fillId="0" borderId="8" xfId="0" applyFont="1" applyFill="1" applyBorder="1" applyAlignment="1">
      <alignment horizontal="left" vertical="center" wrapText="1"/>
    </xf>
    <xf numFmtId="0" fontId="8" fillId="0" borderId="2" xfId="0" applyFont="1" applyBorder="1" applyAlignment="1">
      <alignment horizontal="right" wrapText="1"/>
    </xf>
    <xf numFmtId="0" fontId="8" fillId="0" borderId="3" xfId="0" applyFont="1" applyBorder="1" applyAlignment="1">
      <alignment horizontal="right" wrapText="1"/>
    </xf>
    <xf numFmtId="0" fontId="8" fillId="0" borderId="63" xfId="0" applyFont="1" applyBorder="1" applyAlignment="1">
      <alignment horizontal="center" wrapText="1"/>
    </xf>
    <xf numFmtId="0" fontId="8" fillId="0" borderId="17" xfId="0" applyFont="1" applyBorder="1" applyAlignment="1">
      <alignment horizontal="center" wrapText="1"/>
    </xf>
    <xf numFmtId="0" fontId="8" fillId="0" borderId="68" xfId="0" applyFont="1" applyBorder="1" applyAlignment="1">
      <alignment horizontal="center" wrapText="1"/>
    </xf>
    <xf numFmtId="0" fontId="8" fillId="0" borderId="21" xfId="0" applyFont="1" applyBorder="1" applyAlignment="1">
      <alignment horizontal="center" wrapText="1"/>
    </xf>
    <xf numFmtId="0" fontId="8" fillId="0" borderId="19" xfId="0" applyFont="1" applyBorder="1" applyAlignment="1">
      <alignment horizontal="center" wrapText="1"/>
    </xf>
    <xf numFmtId="0" fontId="8" fillId="0" borderId="20" xfId="0" applyFont="1" applyBorder="1" applyAlignment="1">
      <alignment horizontal="center" wrapText="1"/>
    </xf>
    <xf numFmtId="0" fontId="87" fillId="0" borderId="2" xfId="0" applyFont="1" applyBorder="1" applyAlignment="1">
      <alignment wrapText="1"/>
    </xf>
    <xf numFmtId="0" fontId="87" fillId="0" borderId="3" xfId="0" applyFont="1" applyBorder="1" applyAlignment="1">
      <alignment wrapText="1"/>
    </xf>
    <xf numFmtId="0" fontId="87" fillId="0" borderId="4" xfId="0" applyFont="1" applyBorder="1" applyAlignment="1">
      <alignment wrapText="1"/>
    </xf>
    <xf numFmtId="2" fontId="87" fillId="0" borderId="22" xfId="50" applyNumberFormat="1" applyFont="1" applyBorder="1" applyAlignment="1">
      <alignment horizontal="center"/>
    </xf>
    <xf numFmtId="2" fontId="87" fillId="0" borderId="22" xfId="50" quotePrefix="1" applyNumberFormat="1" applyFont="1" applyBorder="1" applyAlignment="1">
      <alignment horizontal="center"/>
    </xf>
    <xf numFmtId="0" fontId="3" fillId="0" borderId="6" xfId="50" applyFont="1" applyBorder="1" applyAlignment="1">
      <alignment horizontal="center"/>
    </xf>
    <xf numFmtId="0" fontId="3" fillId="0" borderId="3" xfId="50" applyFont="1" applyBorder="1" applyAlignment="1">
      <alignment horizontal="center"/>
    </xf>
    <xf numFmtId="0" fontId="3" fillId="0" borderId="4" xfId="50" applyFont="1" applyBorder="1" applyAlignment="1">
      <alignment horizontal="center"/>
    </xf>
    <xf numFmtId="2" fontId="87" fillId="0" borderId="0" xfId="50" quotePrefix="1" applyNumberFormat="1" applyFont="1" applyBorder="1" applyAlignment="1">
      <alignment horizontal="center"/>
    </xf>
    <xf numFmtId="0" fontId="3" fillId="0" borderId="2" xfId="50" applyFont="1" applyBorder="1" applyAlignment="1">
      <alignment horizontal="center"/>
    </xf>
    <xf numFmtId="0" fontId="9" fillId="0" borderId="0" xfId="35" applyAlignment="1" applyProtection="1">
      <alignment horizontal="center" wrapText="1"/>
    </xf>
    <xf numFmtId="0" fontId="17" fillId="0" borderId="51" xfId="0" applyFont="1" applyBorder="1" applyAlignment="1">
      <alignment horizontal="center"/>
    </xf>
    <xf numFmtId="0" fontId="17" fillId="0" borderId="1" xfId="0" applyFont="1" applyBorder="1" applyAlignment="1">
      <alignment horizontal="right" wrapText="1"/>
    </xf>
    <xf numFmtId="0" fontId="17" fillId="0" borderId="5" xfId="0" applyFont="1" applyBorder="1" applyAlignment="1">
      <alignment horizontal="right" wrapText="1"/>
    </xf>
    <xf numFmtId="0" fontId="17" fillId="0" borderId="12" xfId="0" applyFont="1" applyBorder="1" applyAlignment="1">
      <alignment horizontal="right" wrapText="1"/>
    </xf>
    <xf numFmtId="0" fontId="69" fillId="0" borderId="0" xfId="0" applyFont="1" applyFill="1" applyBorder="1" applyAlignment="1">
      <alignment vertical="top" wrapText="1"/>
    </xf>
    <xf numFmtId="0" fontId="93" fillId="0" borderId="0" xfId="0" applyFont="1" applyFill="1" applyBorder="1" applyAlignment="1">
      <alignment horizontal="right" vertical="top" wrapText="1"/>
    </xf>
    <xf numFmtId="0" fontId="69" fillId="0" borderId="36" xfId="0" applyFont="1" applyFill="1" applyBorder="1" applyAlignment="1">
      <alignment horizontal="center" wrapText="1"/>
    </xf>
    <xf numFmtId="0" fontId="17" fillId="0" borderId="0" xfId="0" applyFont="1" applyAlignment="1">
      <alignment horizontal="center"/>
    </xf>
    <xf numFmtId="0" fontId="69" fillId="0" borderId="0" xfId="0" applyFont="1" applyFill="1" applyBorder="1" applyAlignment="1">
      <alignment vertical="center" wrapText="1"/>
    </xf>
    <xf numFmtId="0" fontId="69" fillId="0" borderId="33" xfId="0" applyFont="1" applyFill="1" applyBorder="1" applyAlignment="1">
      <alignment horizontal="left" wrapText="1"/>
    </xf>
    <xf numFmtId="0" fontId="69" fillId="0" borderId="38" xfId="0" applyFont="1" applyFill="1" applyBorder="1" applyAlignment="1">
      <alignment horizontal="center" wrapText="1"/>
    </xf>
    <xf numFmtId="0" fontId="69" fillId="0" borderId="37" xfId="0" applyFont="1" applyFill="1" applyBorder="1" applyAlignment="1">
      <alignment horizontal="center" wrapText="1"/>
    </xf>
    <xf numFmtId="0" fontId="0" fillId="0" borderId="0" xfId="0"/>
    <xf numFmtId="0" fontId="47" fillId="0" borderId="13" xfId="0" applyFont="1" applyFill="1" applyBorder="1" applyAlignment="1">
      <alignment horizontal="left" vertical="top" wrapText="1"/>
    </xf>
    <xf numFmtId="0" fontId="47" fillId="0" borderId="22" xfId="0" applyFont="1" applyFill="1" applyBorder="1" applyAlignment="1">
      <alignment horizontal="left" vertical="top" wrapText="1"/>
    </xf>
    <xf numFmtId="0" fontId="46" fillId="0" borderId="8" xfId="0" applyFont="1" applyFill="1" applyBorder="1" applyAlignment="1">
      <alignment vertical="top" wrapText="1"/>
    </xf>
    <xf numFmtId="0" fontId="46" fillId="0" borderId="0" xfId="0" applyFont="1" applyFill="1" applyBorder="1" applyAlignment="1">
      <alignment vertical="top" wrapText="1"/>
    </xf>
    <xf numFmtId="0" fontId="46" fillId="0" borderId="9" xfId="0" applyFont="1" applyFill="1" applyBorder="1" applyAlignment="1">
      <alignment vertical="top" wrapText="1"/>
    </xf>
    <xf numFmtId="0" fontId="42" fillId="0" borderId="0" xfId="0" applyFont="1" applyFill="1" applyBorder="1" applyAlignment="1">
      <alignment vertical="top" wrapText="1"/>
    </xf>
    <xf numFmtId="0" fontId="42" fillId="0" borderId="43" xfId="0" applyFont="1" applyFill="1" applyBorder="1" applyAlignment="1">
      <alignment horizontal="left" wrapText="1"/>
    </xf>
    <xf numFmtId="0" fontId="42" fillId="0" borderId="47" xfId="0" applyFont="1" applyFill="1" applyBorder="1" applyAlignment="1">
      <alignment horizontal="left" wrapText="1"/>
    </xf>
    <xf numFmtId="0" fontId="42" fillId="0" borderId="46" xfId="0" applyFont="1" applyFill="1" applyBorder="1" applyAlignment="1">
      <alignment horizontal="center" wrapText="1"/>
    </xf>
    <xf numFmtId="0" fontId="42" fillId="0" borderId="44" xfId="0" applyFont="1" applyFill="1" applyBorder="1" applyAlignment="1">
      <alignment horizontal="center" wrapText="1"/>
    </xf>
    <xf numFmtId="0" fontId="42" fillId="0" borderId="45" xfId="0" applyFont="1" applyFill="1" applyBorder="1" applyAlignment="1">
      <alignment horizontal="center" wrapText="1"/>
    </xf>
    <xf numFmtId="0" fontId="16" fillId="0" borderId="0" xfId="0" applyFont="1" applyAlignment="1">
      <alignment horizontal="left"/>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1" fontId="13" fillId="29" borderId="83" xfId="0" applyNumberFormat="1" applyFont="1" applyFill="1" applyBorder="1" applyAlignment="1">
      <alignment horizontal="center"/>
    </xf>
    <xf numFmtId="1" fontId="13" fillId="29" borderId="76" xfId="0" applyNumberFormat="1" applyFont="1" applyFill="1" applyBorder="1" applyAlignment="1">
      <alignment horizontal="center"/>
    </xf>
    <xf numFmtId="1" fontId="13" fillId="29" borderId="69" xfId="0" applyNumberFormat="1" applyFont="1" applyFill="1" applyBorder="1" applyAlignment="1">
      <alignment horizontal="center"/>
    </xf>
    <xf numFmtId="1" fontId="13" fillId="29" borderId="21" xfId="0" applyNumberFormat="1" applyFont="1" applyFill="1" applyBorder="1" applyAlignment="1">
      <alignment horizontal="center"/>
    </xf>
    <xf numFmtId="1" fontId="13" fillId="29" borderId="19" xfId="0" applyNumberFormat="1" applyFont="1" applyFill="1" applyBorder="1" applyAlignment="1">
      <alignment horizontal="center"/>
    </xf>
    <xf numFmtId="1" fontId="13" fillId="29" borderId="20" xfId="0" applyNumberFormat="1" applyFont="1" applyFill="1" applyBorder="1" applyAlignment="1">
      <alignment horizontal="center"/>
    </xf>
    <xf numFmtId="0" fontId="55" fillId="0" borderId="79" xfId="0" applyFont="1" applyBorder="1" applyAlignment="1">
      <alignment horizontal="center"/>
    </xf>
    <xf numFmtId="0" fontId="55" fillId="0" borderId="86" xfId="0" applyFont="1" applyBorder="1" applyAlignment="1">
      <alignment horizontal="center"/>
    </xf>
    <xf numFmtId="0" fontId="43" fillId="0" borderId="6" xfId="0" applyFont="1" applyFill="1" applyBorder="1" applyAlignment="1">
      <alignment vertical="top" wrapText="1"/>
    </xf>
    <xf numFmtId="0" fontId="43" fillId="0" borderId="17" xfId="0" applyFont="1" applyFill="1" applyBorder="1" applyAlignment="1">
      <alignment vertical="top" wrapText="1"/>
    </xf>
    <xf numFmtId="0" fontId="43" fillId="0" borderId="7" xfId="0" applyFont="1" applyFill="1" applyBorder="1" applyAlignment="1">
      <alignment vertical="top" wrapText="1"/>
    </xf>
    <xf numFmtId="0" fontId="55" fillId="0" borderId="99" xfId="0" applyFont="1" applyBorder="1" applyAlignment="1">
      <alignment horizontal="center"/>
    </xf>
    <xf numFmtId="0" fontId="55" fillId="0" borderId="53" xfId="0" applyFont="1" applyBorder="1" applyAlignment="1">
      <alignment horizontal="center"/>
    </xf>
    <xf numFmtId="0" fontId="0" fillId="0" borderId="61" xfId="0" applyBorder="1" applyAlignment="1">
      <alignment horizontal="center"/>
    </xf>
    <xf numFmtId="0" fontId="0" fillId="0" borderId="22" xfId="0" applyBorder="1" applyAlignment="1">
      <alignment horizontal="center"/>
    </xf>
    <xf numFmtId="0" fontId="0" fillId="0" borderId="0" xfId="0" applyFont="1"/>
  </cellXfs>
  <cellStyles count="5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xplanatory Text" xfId="29"/>
    <cellStyle name="Good" xfId="30"/>
    <cellStyle name="Heading 1" xfId="31"/>
    <cellStyle name="Heading 2" xfId="32"/>
    <cellStyle name="Heading 3" xfId="33"/>
    <cellStyle name="Heading 4" xfId="34"/>
    <cellStyle name="Hyperlink" xfId="35" builtinId="8"/>
    <cellStyle name="Input" xfId="36"/>
    <cellStyle name="Linked Cell" xfId="37"/>
    <cellStyle name="Neutral" xfId="38"/>
    <cellStyle name="Neutral 2" xfId="47"/>
    <cellStyle name="Normal" xfId="0" builtinId="0"/>
    <cellStyle name="Normal 2" xfId="39"/>
    <cellStyle name="Normal 2 2" xfId="48"/>
    <cellStyle name="Normal 3" xfId="40"/>
    <cellStyle name="Normal 3 2" xfId="49"/>
    <cellStyle name="Normal_CATTLEINVENTORY" xfId="50"/>
    <cellStyle name="Normal_LIVESTOCKBALANCE" xfId="51"/>
    <cellStyle name="Note" xfId="41"/>
    <cellStyle name="Output" xfId="42"/>
    <cellStyle name="Percent" xfId="43" builtinId="5"/>
    <cellStyle name="Title" xfId="44"/>
    <cellStyle name="Total" xfId="45"/>
    <cellStyle name="Warning Text" xfId="46"/>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absolute">
    <xdr:from>
      <xdr:col>13</xdr:col>
      <xdr:colOff>159882</xdr:colOff>
      <xdr:row>19</xdr:row>
      <xdr:rowOff>67654</xdr:rowOff>
    </xdr:from>
    <xdr:to>
      <xdr:col>15</xdr:col>
      <xdr:colOff>34134</xdr:colOff>
      <xdr:row>22</xdr:row>
      <xdr:rowOff>111085</xdr:rowOff>
    </xdr:to>
    <xdr:sp macro="" textlink="">
      <xdr:nvSpPr>
        <xdr:cNvPr id="1099" name="Text Box 75" hidden="1"/>
        <xdr:cNvSpPr txBox="1">
          <a:spLocks noChangeArrowheads="1"/>
        </xdr:cNvSpPr>
      </xdr:nvSpPr>
      <xdr:spPr bwMode="auto">
        <a:xfrm>
          <a:off x="11490960" y="5494020"/>
          <a:ext cx="1539240" cy="502920"/>
        </a:xfrm>
        <a:prstGeom prst="rect">
          <a:avLst/>
        </a:prstGeom>
        <a:solidFill>
          <a:srgbClr val="FFFFA1"/>
        </a:solidFill>
        <a:ln w="9525">
          <a:solidFill>
            <a:srgbClr val="000000"/>
          </a:solidFill>
          <a:miter lim="800000"/>
          <a:headEnd/>
          <a:tailEnd/>
        </a:ln>
        <a:effectLst>
          <a:outerShdw dist="35921" dir="2700000" algn="ctr" rotWithShape="0">
            <a:srgbClr val="808080"/>
          </a:outerShdw>
        </a:effectLst>
        <a:extLst>
          <a:ext uri="{53640926-AAD7-44D8-BBD7-CCE9431645EC}">
            <a14:shadowObscured xmlns:a14="http://schemas.microsoft.com/office/drawing/2010/main" val="1"/>
          </a:ext>
        </a:extLst>
      </xdr:spPr>
    </xdr:sp>
    <xdr:clientData/>
  </xdr:twoCellAnchor>
  <xdr:twoCellAnchor editAs="absolute">
    <xdr:from>
      <xdr:col>14</xdr:col>
      <xdr:colOff>279898</xdr:colOff>
      <xdr:row>12</xdr:row>
      <xdr:rowOff>43532</xdr:rowOff>
    </xdr:from>
    <xdr:to>
      <xdr:col>16</xdr:col>
      <xdr:colOff>372349</xdr:colOff>
      <xdr:row>15</xdr:row>
      <xdr:rowOff>133664</xdr:rowOff>
    </xdr:to>
    <xdr:sp macro="" textlink="">
      <xdr:nvSpPr>
        <xdr:cNvPr id="1096" name="Text Box 72" hidden="1"/>
        <xdr:cNvSpPr txBox="1">
          <a:spLocks noChangeArrowheads="1"/>
        </xdr:cNvSpPr>
      </xdr:nvSpPr>
      <xdr:spPr bwMode="auto">
        <a:xfrm>
          <a:off x="12496800" y="3931920"/>
          <a:ext cx="1653540" cy="670560"/>
        </a:xfrm>
        <a:prstGeom prst="rect">
          <a:avLst/>
        </a:prstGeom>
        <a:solidFill>
          <a:srgbClr val="FFFFA1"/>
        </a:solidFill>
        <a:ln w="9525">
          <a:solidFill>
            <a:srgbClr val="000000"/>
          </a:solidFill>
          <a:miter lim="800000"/>
          <a:headEnd/>
          <a:tailEnd/>
        </a:ln>
        <a:effectLst>
          <a:outerShdw dist="35921" dir="2700000" algn="ctr" rotWithShape="0">
            <a:srgbClr val="808080"/>
          </a:outerShdw>
        </a:effectLst>
        <a:extLst>
          <a:ext uri="{53640926-AAD7-44D8-BBD7-CCE9431645EC}">
            <a14:shadowObscured xmlns:a14="http://schemas.microsoft.com/office/drawing/2010/main" val="1"/>
          </a:ext>
        </a:extLst>
      </xdr:spPr>
    </xdr:sp>
    <xdr:clientData/>
  </xdr:twoCellAnchor>
  <xdr:twoCellAnchor editAs="absolute">
    <xdr:from>
      <xdr:col>14</xdr:col>
      <xdr:colOff>279898</xdr:colOff>
      <xdr:row>13</xdr:row>
      <xdr:rowOff>64559</xdr:rowOff>
    </xdr:from>
    <xdr:to>
      <xdr:col>16</xdr:col>
      <xdr:colOff>372349</xdr:colOff>
      <xdr:row>17</xdr:row>
      <xdr:rowOff>12741</xdr:rowOff>
    </xdr:to>
    <xdr:sp macro="" textlink="">
      <xdr:nvSpPr>
        <xdr:cNvPr id="1095" name="Text Box 71" hidden="1"/>
        <xdr:cNvSpPr txBox="1">
          <a:spLocks noChangeArrowheads="1"/>
        </xdr:cNvSpPr>
      </xdr:nvSpPr>
      <xdr:spPr bwMode="auto">
        <a:xfrm>
          <a:off x="12496800" y="4152900"/>
          <a:ext cx="1653540" cy="777240"/>
        </a:xfrm>
        <a:prstGeom prst="rect">
          <a:avLst/>
        </a:prstGeom>
        <a:solidFill>
          <a:srgbClr val="FFFFA1"/>
        </a:solidFill>
        <a:ln w="9525">
          <a:solidFill>
            <a:srgbClr val="000000"/>
          </a:solidFill>
          <a:miter lim="800000"/>
          <a:headEnd/>
          <a:tailEnd/>
        </a:ln>
        <a:effectLst>
          <a:outerShdw dist="35921" dir="2700000" algn="ctr" rotWithShape="0">
            <a:srgbClr val="80808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hyperlink" Target="http://www.nass.usda.gov/Publications/Ag_Statistics/2011/index.asp" TargetMode="External"/><Relationship Id="rId2" Type="http://schemas.openxmlformats.org/officeDocument/2006/relationships/hyperlink" Target="http://usda.mannlib.cornell.edu/MannUsda/viewDocumentInfo.do?documentID=1509" TargetMode="External"/><Relationship Id="rId1" Type="http://schemas.openxmlformats.org/officeDocument/2006/relationships/hyperlink" Target="http://usda01.library.cornell.edu/usda/current/htrl/htrl-09-16-2011.pdf"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hyperlink" Target="http://quickstats.nass.usda.gov/results/ABAA51DB-2B8C-3A31-AF92-534505847443" TargetMode="External"/><Relationship Id="rId1" Type="http://schemas.openxmlformats.org/officeDocument/2006/relationships/hyperlink" Target="http://www.ers.usda.gov/data-products/livestock-meat-domestic-data.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6:H11"/>
  <sheetViews>
    <sheetView workbookViewId="0">
      <selection activeCell="C7" sqref="C7:H11"/>
    </sheetView>
  </sheetViews>
  <sheetFormatPr defaultRowHeight="15"/>
  <sheetData>
    <row r="6" spans="3:8" ht="15.75" thickBot="1"/>
    <row r="7" spans="3:8">
      <c r="C7" s="914"/>
      <c r="D7" s="915"/>
      <c r="E7" s="916"/>
      <c r="F7" s="915"/>
      <c r="G7" s="916"/>
      <c r="H7" s="981"/>
    </row>
    <row r="8" spans="3:8">
      <c r="C8" s="917"/>
      <c r="D8" s="918"/>
      <c r="E8" s="919"/>
      <c r="F8" s="918"/>
      <c r="G8" s="979"/>
      <c r="H8" s="983"/>
    </row>
    <row r="9" spans="3:8">
      <c r="C9" s="917"/>
      <c r="D9" s="918"/>
      <c r="E9" s="919"/>
      <c r="F9" s="918"/>
      <c r="G9" s="919"/>
      <c r="H9" s="982"/>
    </row>
    <row r="10" spans="3:8">
      <c r="C10" s="917"/>
      <c r="D10" s="918"/>
      <c r="E10" s="919"/>
      <c r="F10" s="918"/>
      <c r="G10" s="979"/>
      <c r="H10" s="983"/>
    </row>
    <row r="11" spans="3:8" ht="15.75" thickBot="1">
      <c r="C11" s="920"/>
      <c r="D11" s="921"/>
      <c r="E11" s="922"/>
      <c r="F11" s="921"/>
      <c r="G11" s="987"/>
      <c r="H11" s="988"/>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H13"/>
  <sheetViews>
    <sheetView zoomScale="125" workbookViewId="0">
      <selection activeCell="B4" sqref="B4"/>
    </sheetView>
  </sheetViews>
  <sheetFormatPr defaultColWidth="21.5546875" defaultRowHeight="12.75"/>
  <cols>
    <col min="1" max="1" width="5.6640625" style="333" customWidth="1"/>
    <col min="2" max="2" width="13.44140625" style="333" customWidth="1"/>
    <col min="3" max="4" width="9.5546875" style="333" customWidth="1"/>
    <col min="5" max="5" width="17.44140625" style="333" customWidth="1"/>
    <col min="6" max="6" width="9.44140625" style="333" customWidth="1"/>
    <col min="7" max="16384" width="21.5546875" style="333"/>
  </cols>
  <sheetData>
    <row r="1" spans="1:8" ht="13.5" thickBot="1">
      <c r="B1" s="1167" t="s">
        <v>429</v>
      </c>
      <c r="C1" s="1023"/>
      <c r="D1" s="1023"/>
      <c r="E1" s="1023"/>
      <c r="F1" s="1024"/>
    </row>
    <row r="2" spans="1:8" ht="15.6" customHeight="1" thickBot="1">
      <c r="B2" s="1068" t="s">
        <v>122</v>
      </c>
      <c r="C2" s="1066"/>
      <c r="D2" s="1067"/>
      <c r="E2" s="581" t="s">
        <v>33</v>
      </c>
      <c r="F2" s="581" t="s">
        <v>443</v>
      </c>
    </row>
    <row r="3" spans="1:8" ht="18" customHeight="1">
      <c r="B3" s="576" t="s">
        <v>546</v>
      </c>
      <c r="C3" s="580" t="s">
        <v>430</v>
      </c>
      <c r="D3" s="577" t="s">
        <v>547</v>
      </c>
      <c r="E3" s="582" t="s">
        <v>39</v>
      </c>
      <c r="F3" s="582"/>
    </row>
    <row r="4" spans="1:8" ht="18" customHeight="1">
      <c r="A4" s="574" t="s">
        <v>187</v>
      </c>
      <c r="B4" s="589">
        <f>Grains!Q19+wheat!H24+soy!G29</f>
        <v>312945.48015728261</v>
      </c>
      <c r="C4" s="590">
        <f>Byproducts!D47</f>
        <v>97514.898903826775</v>
      </c>
      <c r="D4" s="595">
        <f>C4+B4</f>
        <v>410460.37906110939</v>
      </c>
      <c r="E4" s="583">
        <f>ProcessedRoughage!L33</f>
        <v>384276.31399999995</v>
      </c>
      <c r="F4" s="586">
        <f>SUM(B4:E4)</f>
        <v>1205197.0721222188</v>
      </c>
    </row>
    <row r="5" spans="1:8" ht="18" customHeight="1">
      <c r="A5" s="273" t="s">
        <v>381</v>
      </c>
      <c r="B5" s="591">
        <f>SQRT(Grains!Q18^2+wheat!H23^2+soy!G28^2)</f>
        <v>23494.170540141757</v>
      </c>
      <c r="C5" s="592">
        <f>Byproducts!D50</f>
        <v>6558.9540638613244</v>
      </c>
      <c r="D5" s="596">
        <f>SQRT(B5^2+C5^2)</f>
        <v>24392.53836280898</v>
      </c>
      <c r="E5" s="584">
        <f>ProcessedRoughage!I36</f>
        <v>10318.587850418508</v>
      </c>
      <c r="F5" s="587">
        <f>SQRT(B5^2+C5^2+E5^2)</f>
        <v>26485.26350648436</v>
      </c>
    </row>
    <row r="6" spans="1:8" ht="18" customHeight="1">
      <c r="A6" s="273" t="s">
        <v>40</v>
      </c>
      <c r="B6" s="591">
        <f>Grains!Q20+wheat!H25+soy!G30</f>
        <v>260479.61793493139</v>
      </c>
      <c r="C6" s="592">
        <f>Byproducts!D48</f>
        <v>84396.990776104125</v>
      </c>
      <c r="D6" s="578"/>
      <c r="E6" s="584">
        <f>ProcessedRoughage!L34</f>
        <v>363639.13829916297</v>
      </c>
      <c r="F6" s="587">
        <f t="shared" ref="F6:F7" si="0">SUM(B6:E6)</f>
        <v>708515.74701019842</v>
      </c>
    </row>
    <row r="7" spans="1:8" ht="18" customHeight="1" thickBot="1">
      <c r="A7" s="575" t="s">
        <v>41</v>
      </c>
      <c r="B7" s="593">
        <f>Grains!Q21+wheat!H26+soy!G31</f>
        <v>365411.34237963392</v>
      </c>
      <c r="C7" s="594">
        <f>Byproducts!D49</f>
        <v>110632.80703154943</v>
      </c>
      <c r="D7" s="579"/>
      <c r="E7" s="585">
        <f>ProcessedRoughage!L35</f>
        <v>404913.48970083694</v>
      </c>
      <c r="F7" s="588">
        <f t="shared" si="0"/>
        <v>880957.63911202026</v>
      </c>
    </row>
    <row r="8" spans="1:8">
      <c r="A8" s="570"/>
      <c r="C8" s="572"/>
      <c r="D8" s="572"/>
    </row>
    <row r="9" spans="1:8">
      <c r="A9" s="570"/>
      <c r="C9" s="573"/>
      <c r="D9" s="573"/>
    </row>
    <row r="10" spans="1:8">
      <c r="B10" s="333" t="s">
        <v>576</v>
      </c>
    </row>
    <row r="13" spans="1:8">
      <c r="H13" s="571"/>
    </row>
  </sheetData>
  <mergeCells count="2">
    <mergeCell ref="B1:F1"/>
    <mergeCell ref="B2:D2"/>
  </mergeCells>
  <phoneticPr fontId="14" type="noConversion"/>
  <pageMargins left="0.75" right="0.75" top="1" bottom="1" header="0.5" footer="0.5"/>
  <ignoredErrors>
    <ignoredError sqref="F5" formula="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R75"/>
  <sheetViews>
    <sheetView topLeftCell="D1" zoomScale="125" workbookViewId="0">
      <selection activeCell="Q19" sqref="Q19"/>
    </sheetView>
  </sheetViews>
  <sheetFormatPr defaultColWidth="10.5546875" defaultRowHeight="12.75"/>
  <cols>
    <col min="1" max="2" width="10.5546875" style="333"/>
    <col min="3" max="3" width="8.5546875" style="333" customWidth="1"/>
    <col min="4" max="4" width="8.44140625" style="333" customWidth="1"/>
    <col min="5" max="5" width="7.44140625" style="333" customWidth="1"/>
    <col min="6" max="6" width="7.5546875" style="333" customWidth="1"/>
    <col min="7" max="7" width="10.5546875" style="333"/>
    <col min="8" max="8" width="6.5546875" style="333" customWidth="1"/>
    <col min="9" max="9" width="9.44140625" style="333" customWidth="1"/>
    <col min="10" max="10" width="8.44140625" style="333" customWidth="1"/>
    <col min="11" max="11" width="6.5546875" style="333" customWidth="1"/>
    <col min="12" max="12" width="10.5546875" style="333"/>
    <col min="13" max="13" width="6.44140625" style="333" customWidth="1"/>
    <col min="14" max="14" width="2.5546875" style="333" customWidth="1"/>
    <col min="15" max="16" width="10.5546875" style="333"/>
    <col min="17" max="17" width="10.5546875" style="333" bestFit="1" customWidth="1"/>
    <col min="18" max="16384" width="10.5546875" style="333"/>
  </cols>
  <sheetData>
    <row r="1" spans="1:17">
      <c r="A1" s="1174" t="s">
        <v>415</v>
      </c>
      <c r="B1" s="1174"/>
      <c r="C1" s="1174"/>
      <c r="D1" s="1174"/>
      <c r="E1" s="1174"/>
      <c r="F1" s="1174"/>
      <c r="G1" s="1174"/>
      <c r="H1" s="1174"/>
      <c r="I1" s="1174"/>
      <c r="J1" s="1174"/>
      <c r="K1" s="1174"/>
      <c r="L1" s="1174"/>
      <c r="M1" s="1174"/>
    </row>
    <row r="2" spans="1:17">
      <c r="A2" s="1175" t="s">
        <v>491</v>
      </c>
      <c r="B2" s="1175"/>
      <c r="C2" s="1175"/>
      <c r="D2" s="1175"/>
      <c r="E2" s="1175"/>
      <c r="F2" s="1175"/>
      <c r="G2" s="1175"/>
      <c r="H2" s="1175"/>
      <c r="I2" s="1175"/>
      <c r="J2" s="1175"/>
      <c r="K2" s="1175"/>
      <c r="L2" s="1175"/>
      <c r="M2" s="1175"/>
    </row>
    <row r="3" spans="1:17">
      <c r="A3" s="542"/>
      <c r="B3" s="542"/>
      <c r="C3" s="542"/>
      <c r="D3" s="542"/>
      <c r="E3" s="542"/>
      <c r="F3" s="542"/>
      <c r="G3" s="542"/>
      <c r="H3" s="542"/>
      <c r="I3" s="542"/>
      <c r="J3" s="542"/>
      <c r="K3" s="542"/>
      <c r="L3" s="542"/>
      <c r="M3" s="542"/>
    </row>
    <row r="4" spans="1:17">
      <c r="A4" s="1176" t="str">
        <f>"Mkt year and qtr 1/"</f>
        <v>Mkt year and qtr 1/</v>
      </c>
      <c r="B4" s="1176"/>
      <c r="C4" s="1177" t="s">
        <v>447</v>
      </c>
      <c r="D4" s="1177"/>
      <c r="E4" s="1177"/>
      <c r="F4" s="1177"/>
      <c r="G4" s="1177" t="s">
        <v>179</v>
      </c>
      <c r="H4" s="1177"/>
      <c r="I4" s="1177"/>
      <c r="J4" s="1177"/>
      <c r="K4" s="1177"/>
      <c r="L4" s="1177"/>
      <c r="M4" s="543"/>
      <c r="O4" s="544"/>
      <c r="P4" s="1168" t="s">
        <v>416</v>
      </c>
      <c r="Q4" s="1168" t="s">
        <v>417</v>
      </c>
    </row>
    <row r="5" spans="1:17">
      <c r="A5" s="1176"/>
      <c r="B5" s="1176"/>
      <c r="C5" s="1173"/>
      <c r="D5" s="1173"/>
      <c r="E5" s="1173"/>
      <c r="F5" s="1173"/>
      <c r="G5" s="1178" t="s">
        <v>180</v>
      </c>
      <c r="H5" s="1178"/>
      <c r="I5" s="1178"/>
      <c r="J5" s="1178"/>
      <c r="K5" s="1173"/>
      <c r="L5" s="1173"/>
      <c r="M5" s="545"/>
      <c r="O5" s="546"/>
      <c r="P5" s="1169"/>
      <c r="Q5" s="1169"/>
    </row>
    <row r="6" spans="1:17" ht="38.25">
      <c r="A6" s="1176"/>
      <c r="B6" s="1176"/>
      <c r="C6" s="547" t="s">
        <v>181</v>
      </c>
      <c r="D6" s="547" t="s">
        <v>182</v>
      </c>
      <c r="E6" s="547" t="s">
        <v>183</v>
      </c>
      <c r="F6" s="547" t="s">
        <v>388</v>
      </c>
      <c r="G6" s="547" t="s">
        <v>538</v>
      </c>
      <c r="H6" s="547" t="s">
        <v>539</v>
      </c>
      <c r="I6" s="547" t="s">
        <v>389</v>
      </c>
      <c r="J6" s="547" t="s">
        <v>235</v>
      </c>
      <c r="K6" s="547" t="s">
        <v>236</v>
      </c>
      <c r="L6" s="547" t="s">
        <v>237</v>
      </c>
      <c r="M6" s="548" t="s">
        <v>238</v>
      </c>
      <c r="O6" s="549" t="s">
        <v>113</v>
      </c>
      <c r="P6" s="1170"/>
      <c r="Q6" s="1170"/>
    </row>
    <row r="7" spans="1:17">
      <c r="A7" s="1171" t="s">
        <v>536</v>
      </c>
      <c r="B7" s="550" t="s">
        <v>239</v>
      </c>
      <c r="C7" s="551">
        <v>48.815755263260556</v>
      </c>
      <c r="D7" s="551">
        <v>272.89040207346204</v>
      </c>
      <c r="E7" s="552">
        <v>0.55163923792831604</v>
      </c>
      <c r="F7" s="551">
        <v>322.25779657465091</v>
      </c>
      <c r="G7" s="551">
        <v>13.549453829273228</v>
      </c>
      <c r="H7" s="551"/>
      <c r="I7" s="551">
        <v>62.154029126081468</v>
      </c>
      <c r="J7" s="551">
        <v>75.703482955354701</v>
      </c>
      <c r="K7" s="551">
        <v>14.652213395312213</v>
      </c>
      <c r="L7" s="551">
        <v>90.355696350666918</v>
      </c>
      <c r="M7" s="551">
        <v>231.90210022398401</v>
      </c>
      <c r="O7" s="553">
        <v>2000</v>
      </c>
      <c r="P7" s="554">
        <f>I11</f>
        <v>159.51838183597917</v>
      </c>
      <c r="Q7" s="555">
        <f>P7*2204.62*0.89</f>
        <v>312992.89931728039</v>
      </c>
    </row>
    <row r="8" spans="1:17">
      <c r="A8" s="1171"/>
      <c r="B8" s="550" t="s">
        <v>240</v>
      </c>
      <c r="C8" s="551">
        <v>231.90210022398401</v>
      </c>
      <c r="D8" s="551"/>
      <c r="E8" s="552">
        <v>0.7611681276881026</v>
      </c>
      <c r="F8" s="551">
        <v>232.66326835167212</v>
      </c>
      <c r="G8" s="551">
        <v>13.207862390922344</v>
      </c>
      <c r="H8" s="552">
        <v>3.1468433137290655E-2</v>
      </c>
      <c r="I8" s="551">
        <v>41.762682219446248</v>
      </c>
      <c r="J8" s="551">
        <v>55.002013043505883</v>
      </c>
      <c r="K8" s="551">
        <v>12.841548347063577</v>
      </c>
      <c r="L8" s="551">
        <v>67.843561390569462</v>
      </c>
      <c r="M8" s="551">
        <v>164.81970696110267</v>
      </c>
      <c r="O8" s="556">
        <v>2001</v>
      </c>
      <c r="P8" s="557">
        <f>I17</f>
        <v>159.09499315528927</v>
      </c>
      <c r="Q8" s="555">
        <f t="shared" ref="Q8:Q16" si="0">P8*2204.62*0.89</f>
        <v>312162.16339091229</v>
      </c>
    </row>
    <row r="9" spans="1:17">
      <c r="A9" s="1171"/>
      <c r="B9" s="550" t="s">
        <v>241</v>
      </c>
      <c r="C9" s="551">
        <v>164.81970696110267</v>
      </c>
      <c r="D9" s="551"/>
      <c r="E9" s="552">
        <v>0.73980482821998517</v>
      </c>
      <c r="F9" s="551">
        <v>165.55951178932264</v>
      </c>
      <c r="G9" s="551">
        <v>13.747510457575041</v>
      </c>
      <c r="H9" s="552">
        <v>0.5160975441594976</v>
      </c>
      <c r="I9" s="551">
        <v>31.027823363823842</v>
      </c>
      <c r="J9" s="551">
        <v>45.291431365558381</v>
      </c>
      <c r="K9" s="551">
        <v>13.528116838169995</v>
      </c>
      <c r="L9" s="551">
        <v>58.819548203728374</v>
      </c>
      <c r="M9" s="551">
        <v>106.73996358559427</v>
      </c>
      <c r="O9" s="556">
        <v>2002</v>
      </c>
      <c r="P9" s="557">
        <f>I23</f>
        <v>149.51529468543816</v>
      </c>
      <c r="Q9" s="555">
        <f t="shared" si="0"/>
        <v>293365.72398277553</v>
      </c>
    </row>
    <row r="10" spans="1:17">
      <c r="A10" s="1171"/>
      <c r="B10" s="550" t="s">
        <v>242</v>
      </c>
      <c r="C10" s="551">
        <v>106.73996358559427</v>
      </c>
      <c r="D10" s="551"/>
      <c r="E10" s="552">
        <v>0.58377535922257873</v>
      </c>
      <c r="F10" s="551">
        <v>107.32373894481685</v>
      </c>
      <c r="G10" s="551">
        <v>14.180785640350138</v>
      </c>
      <c r="H10" s="552">
        <v>0.31710107220194667</v>
      </c>
      <c r="I10" s="551">
        <v>24.573847126627602</v>
      </c>
      <c r="J10" s="551">
        <v>39.071733839179679</v>
      </c>
      <c r="K10" s="551">
        <v>15.582749332992233</v>
      </c>
      <c r="L10" s="551">
        <v>54.654483172171915</v>
      </c>
      <c r="M10" s="551">
        <v>52.669255772644931</v>
      </c>
      <c r="O10" s="556">
        <v>2003</v>
      </c>
      <c r="P10" s="557">
        <f>I29</f>
        <v>155.42111073916524</v>
      </c>
      <c r="Q10" s="555">
        <f t="shared" si="0"/>
        <v>304953.59535042284</v>
      </c>
    </row>
    <row r="11" spans="1:17">
      <c r="A11" s="1171"/>
      <c r="B11" s="550" t="s">
        <v>535</v>
      </c>
      <c r="C11" s="551">
        <v>48.815755263260556</v>
      </c>
      <c r="D11" s="551">
        <v>272.89040207346204</v>
      </c>
      <c r="E11" s="552">
        <v>2.6363875530589826</v>
      </c>
      <c r="F11" s="551">
        <v>324.34254488978161</v>
      </c>
      <c r="G11" s="551">
        <v>54.685612318120747</v>
      </c>
      <c r="H11" s="552">
        <v>0.86466704949873496</v>
      </c>
      <c r="I11" s="551">
        <v>159.51838183597917</v>
      </c>
      <c r="J11" s="551">
        <v>215.06866120359865</v>
      </c>
      <c r="K11" s="551">
        <v>56.60462791353801</v>
      </c>
      <c r="L11" s="551">
        <v>271.67328911713668</v>
      </c>
      <c r="M11" s="551">
        <v>52.669255772644931</v>
      </c>
      <c r="O11" s="556">
        <v>2004</v>
      </c>
      <c r="P11" s="557">
        <f>I35</f>
        <v>165.15682869897884</v>
      </c>
      <c r="Q11" s="555">
        <f t="shared" si="0"/>
        <v>324056.16244084504</v>
      </c>
    </row>
    <row r="12" spans="1:17">
      <c r="A12" s="1171"/>
      <c r="B12" s="558"/>
      <c r="C12" s="551"/>
      <c r="D12" s="551"/>
      <c r="E12" s="552"/>
      <c r="F12" s="551"/>
      <c r="G12" s="551"/>
      <c r="H12" s="552"/>
      <c r="I12" s="551"/>
      <c r="J12" s="551"/>
      <c r="K12" s="551"/>
      <c r="L12" s="551"/>
      <c r="M12" s="551"/>
      <c r="O12" s="556">
        <v>2005</v>
      </c>
      <c r="P12" s="557">
        <f>I41</f>
        <v>162.12994427162573</v>
      </c>
      <c r="Q12" s="555">
        <f t="shared" si="0"/>
        <v>318117.07678869925</v>
      </c>
    </row>
    <row r="13" spans="1:17">
      <c r="A13" s="1171" t="s">
        <v>537</v>
      </c>
      <c r="B13" s="550" t="s">
        <v>239</v>
      </c>
      <c r="C13" s="551">
        <v>52.669255772644931</v>
      </c>
      <c r="D13" s="551">
        <v>261.54768300416129</v>
      </c>
      <c r="E13" s="552">
        <v>0.53838163639843928</v>
      </c>
      <c r="F13" s="551">
        <v>314.75532041320469</v>
      </c>
      <c r="G13" s="551">
        <v>13.907577806989137</v>
      </c>
      <c r="H13" s="551"/>
      <c r="I13" s="551">
        <v>62.674980109968999</v>
      </c>
      <c r="J13" s="551">
        <v>76.582557916958137</v>
      </c>
      <c r="K13" s="551">
        <v>13.234805785300159</v>
      </c>
      <c r="L13" s="551">
        <v>89.817363702258291</v>
      </c>
      <c r="M13" s="551">
        <v>224.93795671094639</v>
      </c>
      <c r="O13" s="556">
        <v>2006</v>
      </c>
      <c r="P13" s="557">
        <f>I47</f>
        <v>146.76759825493897</v>
      </c>
      <c r="Q13" s="555">
        <f t="shared" si="0"/>
        <v>287974.43639367516</v>
      </c>
    </row>
    <row r="14" spans="1:17">
      <c r="A14" s="1171"/>
      <c r="B14" s="550" t="s">
        <v>240</v>
      </c>
      <c r="C14" s="551">
        <v>224.93795671094639</v>
      </c>
      <c r="D14" s="551"/>
      <c r="E14" s="552">
        <v>0.98354910728460487</v>
      </c>
      <c r="F14" s="551">
        <v>225.921505818231</v>
      </c>
      <c r="G14" s="551">
        <v>13.427353986306949</v>
      </c>
      <c r="H14" s="552">
        <v>3.4073868445475011E-2</v>
      </c>
      <c r="I14" s="551">
        <v>40.871758514611585</v>
      </c>
      <c r="J14" s="551">
        <v>54.333186369364007</v>
      </c>
      <c r="K14" s="551">
        <v>13.548056764379563</v>
      </c>
      <c r="L14" s="551">
        <v>67.881243133743567</v>
      </c>
      <c r="M14" s="551">
        <v>158.04026268448743</v>
      </c>
      <c r="O14" s="556">
        <v>2007</v>
      </c>
      <c r="P14" s="557">
        <f>I53</f>
        <v>155.71484000431821</v>
      </c>
      <c r="Q14" s="555">
        <f t="shared" si="0"/>
        <v>305529.9250075848</v>
      </c>
    </row>
    <row r="15" spans="1:17">
      <c r="A15" s="1171"/>
      <c r="B15" s="550" t="s">
        <v>241</v>
      </c>
      <c r="C15" s="551">
        <v>158.04026268448743</v>
      </c>
      <c r="D15" s="551"/>
      <c r="E15" s="552">
        <v>0.53862566916233268</v>
      </c>
      <c r="F15" s="551">
        <v>158.57888835364977</v>
      </c>
      <c r="G15" s="551">
        <v>14.428802760745382</v>
      </c>
      <c r="H15" s="552">
        <v>0.50921019567073189</v>
      </c>
      <c r="I15" s="551">
        <v>31.06643134287873</v>
      </c>
      <c r="J15" s="551">
        <v>46.004444299294846</v>
      </c>
      <c r="K15" s="551">
        <v>14.088641045948016</v>
      </c>
      <c r="L15" s="551">
        <v>60.093085345242862</v>
      </c>
      <c r="M15" s="551">
        <v>98.485803008406904</v>
      </c>
      <c r="O15" s="556">
        <v>2008</v>
      </c>
      <c r="P15" s="557">
        <f>I59</f>
        <v>140.8634242060543</v>
      </c>
      <c r="Q15" s="555">
        <f t="shared" si="0"/>
        <v>276389.78682310478</v>
      </c>
    </row>
    <row r="16" spans="1:17">
      <c r="A16" s="1171"/>
      <c r="B16" s="550" t="s">
        <v>242</v>
      </c>
      <c r="C16" s="551">
        <v>98.485803008406904</v>
      </c>
      <c r="D16" s="551"/>
      <c r="E16" s="552">
        <v>0.37194131238824624</v>
      </c>
      <c r="F16" s="551">
        <v>98.857744320795149</v>
      </c>
      <c r="G16" s="551">
        <v>14.721645706157339</v>
      </c>
      <c r="H16" s="552">
        <v>0.36103059844272622</v>
      </c>
      <c r="I16" s="551">
        <v>24.481823187829942</v>
      </c>
      <c r="J16" s="551">
        <v>39.564499492430002</v>
      </c>
      <c r="K16" s="551">
        <v>14.270107075045063</v>
      </c>
      <c r="L16" s="551">
        <v>53.834606567475063</v>
      </c>
      <c r="M16" s="551">
        <v>45.023137753320071</v>
      </c>
      <c r="O16" s="556">
        <v>2009</v>
      </c>
      <c r="P16" s="557">
        <f>I65</f>
        <v>136.71682129634925</v>
      </c>
      <c r="Q16" s="555">
        <f t="shared" si="0"/>
        <v>268253.6883240582</v>
      </c>
    </row>
    <row r="17" spans="1:18">
      <c r="A17" s="1171"/>
      <c r="B17" s="550" t="s">
        <v>535</v>
      </c>
      <c r="C17" s="551">
        <v>52.669255772644931</v>
      </c>
      <c r="D17" s="551">
        <v>261.54768300416129</v>
      </c>
      <c r="E17" s="552">
        <v>2.4324977252336231</v>
      </c>
      <c r="F17" s="551">
        <v>316.64943650203986</v>
      </c>
      <c r="G17" s="551">
        <v>56.485380260198809</v>
      </c>
      <c r="H17" s="552">
        <v>0.90431466255893311</v>
      </c>
      <c r="I17" s="551">
        <v>159.09499315528927</v>
      </c>
      <c r="J17" s="551">
        <v>216.48468807804699</v>
      </c>
      <c r="K17" s="551">
        <v>55.141610670672797</v>
      </c>
      <c r="L17" s="551">
        <v>271.62629874871976</v>
      </c>
      <c r="M17" s="551">
        <v>45.023137753320071</v>
      </c>
      <c r="O17" s="559">
        <v>2010</v>
      </c>
      <c r="P17" s="560">
        <f>I71</f>
        <v>127.6884581574528</v>
      </c>
      <c r="Q17" s="555">
        <f>P17*2204.62*0.89</f>
        <v>250539.03047454442</v>
      </c>
    </row>
    <row r="18" spans="1:18">
      <c r="A18" s="1171"/>
      <c r="B18" s="558"/>
      <c r="C18" s="551"/>
      <c r="D18" s="551"/>
      <c r="E18" s="552"/>
      <c r="F18" s="551"/>
      <c r="G18" s="551"/>
      <c r="H18" s="552"/>
      <c r="I18" s="551"/>
      <c r="J18" s="551"/>
      <c r="K18" s="551"/>
      <c r="L18" s="551"/>
      <c r="M18" s="551"/>
      <c r="O18" s="561"/>
      <c r="Q18" s="562">
        <f>STDEV(Q7:Q17)</f>
        <v>22998.888577972437</v>
      </c>
      <c r="R18" s="333" t="s">
        <v>169</v>
      </c>
    </row>
    <row r="19" spans="1:18">
      <c r="A19" s="1171" t="s">
        <v>171</v>
      </c>
      <c r="B19" s="550" t="s">
        <v>239</v>
      </c>
      <c r="C19" s="551">
        <v>45.023137753320071</v>
      </c>
      <c r="D19" s="551">
        <v>243.5535670060446</v>
      </c>
      <c r="E19" s="552">
        <v>0.51593062212025464</v>
      </c>
      <c r="F19" s="551">
        <v>289.09263538148491</v>
      </c>
      <c r="G19" s="551">
        <v>15.280740190381845</v>
      </c>
      <c r="H19" s="551"/>
      <c r="I19" s="551">
        <v>55.979225463594219</v>
      </c>
      <c r="J19" s="551">
        <v>71.259965653976067</v>
      </c>
      <c r="K19" s="551">
        <v>11.437476356491045</v>
      </c>
      <c r="L19" s="551">
        <v>82.697442010467114</v>
      </c>
      <c r="M19" s="551">
        <v>206.39519337101783</v>
      </c>
      <c r="O19" s="563"/>
      <c r="Q19" s="564">
        <f>AVERAGE(Q7:Q17)</f>
        <v>295848.58984490024</v>
      </c>
      <c r="R19" s="565" t="s">
        <v>187</v>
      </c>
    </row>
    <row r="20" spans="1:18">
      <c r="A20" s="1171"/>
      <c r="B20" s="550" t="s">
        <v>240</v>
      </c>
      <c r="C20" s="551">
        <v>206.39519337101783</v>
      </c>
      <c r="D20" s="551"/>
      <c r="E20" s="552">
        <v>0.8699550308397539</v>
      </c>
      <c r="F20" s="551">
        <v>207.26514840185757</v>
      </c>
      <c r="G20" s="551">
        <v>15.467536838514722</v>
      </c>
      <c r="H20" s="552">
        <v>3.3123138569786569E-2</v>
      </c>
      <c r="I20" s="551">
        <v>40.840090500775226</v>
      </c>
      <c r="J20" s="551">
        <v>56.340750477859736</v>
      </c>
      <c r="K20" s="551">
        <v>11.222575117185624</v>
      </c>
      <c r="L20" s="551">
        <v>67.563325595045356</v>
      </c>
      <c r="M20" s="551">
        <v>139.70182280681223</v>
      </c>
      <c r="O20" s="563"/>
      <c r="Q20" s="566">
        <f>Q19-2*Q18</f>
        <v>249850.81268895537</v>
      </c>
      <c r="R20" s="567" t="s">
        <v>40</v>
      </c>
    </row>
    <row r="21" spans="1:18">
      <c r="A21" s="1171"/>
      <c r="B21" s="550" t="s">
        <v>241</v>
      </c>
      <c r="C21" s="551">
        <v>139.70182280681223</v>
      </c>
      <c r="D21" s="551"/>
      <c r="E21" s="552">
        <v>0.63115944592769191</v>
      </c>
      <c r="F21" s="551">
        <v>140.33298225273992</v>
      </c>
      <c r="G21" s="551">
        <v>16.436152773582052</v>
      </c>
      <c r="H21" s="552">
        <v>0.51663822641704571</v>
      </c>
      <c r="I21" s="551">
        <v>30.387999394000417</v>
      </c>
      <c r="J21" s="551">
        <v>47.340790393999512</v>
      </c>
      <c r="K21" s="551">
        <v>11.200973228063589</v>
      </c>
      <c r="L21" s="551">
        <v>58.541763622063101</v>
      </c>
      <c r="M21" s="551">
        <v>81.791218630676823</v>
      </c>
      <c r="O21" s="563"/>
      <c r="Q21" s="568">
        <f>Q19+2*Q18</f>
        <v>341846.36700084514</v>
      </c>
      <c r="R21" s="569" t="s">
        <v>41</v>
      </c>
    </row>
    <row r="22" spans="1:18">
      <c r="A22" s="1171"/>
      <c r="B22" s="550" t="s">
        <v>242</v>
      </c>
      <c r="C22" s="551">
        <v>81.791218630676823</v>
      </c>
      <c r="D22" s="551"/>
      <c r="E22" s="552">
        <v>0.39191026851768695</v>
      </c>
      <c r="F22" s="551">
        <v>82.183128899194514</v>
      </c>
      <c r="G22" s="551">
        <v>16.746856377193009</v>
      </c>
      <c r="H22" s="552">
        <v>0.34835540968020823</v>
      </c>
      <c r="I22" s="551">
        <v>22.307979327068306</v>
      </c>
      <c r="J22" s="551">
        <v>39.403191113941524</v>
      </c>
      <c r="K22" s="551">
        <v>11.851123684695153</v>
      </c>
      <c r="L22" s="551">
        <v>51.254314798636678</v>
      </c>
      <c r="M22" s="551">
        <v>30.928814100557833</v>
      </c>
      <c r="O22" s="563"/>
    </row>
    <row r="23" spans="1:18">
      <c r="A23" s="1171"/>
      <c r="B23" s="550" t="s">
        <v>535</v>
      </c>
      <c r="C23" s="551">
        <v>45.023137753320071</v>
      </c>
      <c r="D23" s="551">
        <v>243.5535670060446</v>
      </c>
      <c r="E23" s="552">
        <v>2.4089553674053872</v>
      </c>
      <c r="F23" s="551">
        <v>290.98566012677009</v>
      </c>
      <c r="G23" s="551">
        <v>63.931286179671631</v>
      </c>
      <c r="H23" s="552">
        <v>0.89811677466704043</v>
      </c>
      <c r="I23" s="551">
        <v>149.51529468543816</v>
      </c>
      <c r="J23" s="551">
        <v>214.34469763977685</v>
      </c>
      <c r="K23" s="551">
        <v>45.712148386435409</v>
      </c>
      <c r="L23" s="551">
        <v>260.05684602621227</v>
      </c>
      <c r="M23" s="551">
        <v>30.928814100557833</v>
      </c>
    </row>
    <row r="24" spans="1:18">
      <c r="A24" s="1171"/>
      <c r="B24" s="558"/>
      <c r="C24" s="551"/>
      <c r="D24" s="551"/>
      <c r="E24" s="552"/>
      <c r="F24" s="551"/>
      <c r="G24" s="551"/>
      <c r="H24" s="552"/>
      <c r="I24" s="551"/>
      <c r="J24" s="551"/>
      <c r="K24" s="551"/>
      <c r="L24" s="551"/>
      <c r="M24" s="551"/>
      <c r="O24" s="563"/>
    </row>
    <row r="25" spans="1:18">
      <c r="A25" s="1171" t="s">
        <v>172</v>
      </c>
      <c r="B25" s="550" t="s">
        <v>239</v>
      </c>
      <c r="C25" s="551">
        <v>30.928814100557833</v>
      </c>
      <c r="D25" s="551">
        <v>274.82917978682968</v>
      </c>
      <c r="E25" s="552">
        <v>0.4967327732373169</v>
      </c>
      <c r="F25" s="551">
        <v>306.25472666062484</v>
      </c>
      <c r="G25" s="551">
        <v>16.369536364964155</v>
      </c>
      <c r="H25" s="551"/>
      <c r="I25" s="551">
        <v>61.133199251390948</v>
      </c>
      <c r="J25" s="551">
        <v>77.502735616355096</v>
      </c>
      <c r="K25" s="551">
        <v>13.550636798507863</v>
      </c>
      <c r="L25" s="551">
        <v>91.053372414862963</v>
      </c>
      <c r="M25" s="551">
        <v>215.20135424576188</v>
      </c>
      <c r="O25" s="563"/>
    </row>
    <row r="26" spans="1:18">
      <c r="A26" s="1171"/>
      <c r="B26" s="550" t="s">
        <v>240</v>
      </c>
      <c r="C26" s="551">
        <v>215.20135424576188</v>
      </c>
      <c r="D26" s="551"/>
      <c r="E26" s="552">
        <v>0.66397867752385675</v>
      </c>
      <c r="F26" s="551">
        <v>215.86533292328573</v>
      </c>
      <c r="G26" s="551">
        <v>16.73937028660696</v>
      </c>
      <c r="H26" s="552">
        <v>2.9037177348316408E-2</v>
      </c>
      <c r="I26" s="551">
        <v>40.650501537224997</v>
      </c>
      <c r="J26" s="551">
        <v>57.418909001180268</v>
      </c>
      <c r="K26" s="551">
        <v>14.475254261274724</v>
      </c>
      <c r="L26" s="551">
        <v>71.894163262454995</v>
      </c>
      <c r="M26" s="551">
        <v>143.97116966083072</v>
      </c>
      <c r="O26" s="563"/>
    </row>
    <row r="27" spans="1:18">
      <c r="A27" s="1171"/>
      <c r="B27" s="550" t="s">
        <v>241</v>
      </c>
      <c r="C27" s="551">
        <v>143.97116966083072</v>
      </c>
      <c r="D27" s="551"/>
      <c r="E27" s="552">
        <v>0.61702822524677714</v>
      </c>
      <c r="F27" s="551">
        <v>144.5881978860775</v>
      </c>
      <c r="G27" s="551">
        <v>17.970935607101811</v>
      </c>
      <c r="H27" s="552">
        <v>0.53200231150736954</v>
      </c>
      <c r="I27" s="551">
        <v>30.750222940712703</v>
      </c>
      <c r="J27" s="551">
        <v>49.253160859321881</v>
      </c>
      <c r="K27" s="551">
        <v>13.134968262132919</v>
      </c>
      <c r="L27" s="551">
        <v>62.388129121454796</v>
      </c>
      <c r="M27" s="551">
        <v>82.200068764622699</v>
      </c>
      <c r="O27" s="563"/>
    </row>
    <row r="28" spans="1:18">
      <c r="A28" s="1171"/>
      <c r="B28" s="550" t="s">
        <v>242</v>
      </c>
      <c r="C28" s="551">
        <v>82.200068764622699</v>
      </c>
      <c r="D28" s="551"/>
      <c r="E28" s="552">
        <v>0.57559980803965494</v>
      </c>
      <c r="F28" s="551">
        <v>82.775668572662354</v>
      </c>
      <c r="G28" s="551">
        <v>18.249441400838787</v>
      </c>
      <c r="H28" s="552">
        <v>0.29888479748455749</v>
      </c>
      <c r="I28" s="551">
        <v>22.887187009836602</v>
      </c>
      <c r="J28" s="551">
        <v>41.435513208159939</v>
      </c>
      <c r="K28" s="551">
        <v>12.590664522081337</v>
      </c>
      <c r="L28" s="551">
        <v>54.02617773024128</v>
      </c>
      <c r="M28" s="551">
        <v>28.749490842421064</v>
      </c>
      <c r="O28" s="563"/>
    </row>
    <row r="29" spans="1:18">
      <c r="A29" s="1171"/>
      <c r="B29" s="550" t="s">
        <v>535</v>
      </c>
      <c r="C29" s="551">
        <v>30.928814100557833</v>
      </c>
      <c r="D29" s="551">
        <v>274.82917978682968</v>
      </c>
      <c r="E29" s="552">
        <v>2.3533394840476056</v>
      </c>
      <c r="F29" s="551">
        <v>308.11133337143508</v>
      </c>
      <c r="G29" s="551">
        <v>69.329283659511717</v>
      </c>
      <c r="H29" s="552">
        <v>0.85992428634024343</v>
      </c>
      <c r="I29" s="551">
        <v>155.42111073916524</v>
      </c>
      <c r="J29" s="551">
        <v>225.61031868501721</v>
      </c>
      <c r="K29" s="551">
        <v>53.75152384399685</v>
      </c>
      <c r="L29" s="551">
        <v>279.36184252901404</v>
      </c>
      <c r="M29" s="551">
        <v>28.749490842421064</v>
      </c>
    </row>
    <row r="30" spans="1:18">
      <c r="A30" s="1171"/>
      <c r="B30" s="558"/>
      <c r="C30" s="551"/>
      <c r="D30" s="551"/>
      <c r="E30" s="552"/>
      <c r="F30" s="551"/>
      <c r="G30" s="551"/>
      <c r="H30" s="552"/>
      <c r="I30" s="551"/>
      <c r="J30" s="551"/>
      <c r="K30" s="551"/>
      <c r="L30" s="551"/>
      <c r="M30" s="551"/>
      <c r="O30" s="563"/>
    </row>
    <row r="31" spans="1:18">
      <c r="A31" s="1171" t="s">
        <v>173</v>
      </c>
      <c r="B31" s="550" t="s">
        <v>239</v>
      </c>
      <c r="C31" s="551">
        <v>28.749490842421064</v>
      </c>
      <c r="D31" s="551">
        <v>319.16781017335398</v>
      </c>
      <c r="E31" s="552">
        <v>0.43398550862687574</v>
      </c>
      <c r="F31" s="551">
        <v>348.35128652440193</v>
      </c>
      <c r="G31" s="551">
        <v>17.866511356595367</v>
      </c>
      <c r="H31" s="551"/>
      <c r="I31" s="551">
        <v>61.367105109175213</v>
      </c>
      <c r="J31" s="551">
        <v>79.233616465770581</v>
      </c>
      <c r="K31" s="551">
        <v>13.849075260974445</v>
      </c>
      <c r="L31" s="551">
        <v>93.082691726745026</v>
      </c>
      <c r="M31" s="551">
        <v>255.26859479765693</v>
      </c>
      <c r="O31" s="563"/>
    </row>
    <row r="32" spans="1:18">
      <c r="A32" s="1171"/>
      <c r="B32" s="550" t="s">
        <v>240</v>
      </c>
      <c r="C32" s="551">
        <v>255.26859479765693</v>
      </c>
      <c r="D32" s="551"/>
      <c r="E32" s="552">
        <v>0.58072358889641862</v>
      </c>
      <c r="F32" s="551">
        <v>255.84931838655336</v>
      </c>
      <c r="G32" s="551">
        <v>17.563315616010364</v>
      </c>
      <c r="H32" s="552">
        <v>2.8246112031903886E-2</v>
      </c>
      <c r="I32" s="551">
        <v>41.882860644591254</v>
      </c>
      <c r="J32" s="551">
        <v>59.474422372633519</v>
      </c>
      <c r="K32" s="551">
        <v>12.708036116849057</v>
      </c>
      <c r="L32" s="551">
        <v>72.182458489482585</v>
      </c>
      <c r="M32" s="551">
        <v>183.66685989707079</v>
      </c>
      <c r="O32" s="563"/>
    </row>
    <row r="33" spans="1:15">
      <c r="A33" s="1171"/>
      <c r="B33" s="550" t="s">
        <v>241</v>
      </c>
      <c r="C33" s="551">
        <v>183.66685989707079</v>
      </c>
      <c r="D33" s="551"/>
      <c r="E33" s="552">
        <v>0.58310494951061909</v>
      </c>
      <c r="F33" s="551">
        <v>184.24996484658141</v>
      </c>
      <c r="G33" s="551">
        <v>18.746731185663577</v>
      </c>
      <c r="H33" s="552">
        <v>0.54813931821418826</v>
      </c>
      <c r="I33" s="551">
        <v>34.639704221403917</v>
      </c>
      <c r="J33" s="551">
        <v>53.934574725281685</v>
      </c>
      <c r="K33" s="551">
        <v>12.338699332584</v>
      </c>
      <c r="L33" s="551">
        <v>66.273274057865677</v>
      </c>
      <c r="M33" s="551">
        <v>117.97669078871573</v>
      </c>
      <c r="O33" s="563"/>
    </row>
    <row r="34" spans="1:15">
      <c r="A34" s="1171"/>
      <c r="B34" s="550" t="s">
        <v>242</v>
      </c>
      <c r="C34" s="551">
        <v>117.97669078871573</v>
      </c>
      <c r="D34" s="551"/>
      <c r="E34" s="552">
        <v>0.49848817620435615</v>
      </c>
      <c r="F34" s="551">
        <v>118.47517896492009</v>
      </c>
      <c r="G34" s="551">
        <v>19.651513955680382</v>
      </c>
      <c r="H34" s="552">
        <v>0.27081649371184724</v>
      </c>
      <c r="I34" s="551">
        <v>27.267158723808443</v>
      </c>
      <c r="J34" s="551">
        <v>47.18948917320067</v>
      </c>
      <c r="K34" s="551">
        <v>12.504960941150001</v>
      </c>
      <c r="L34" s="551">
        <v>59.694450114350673</v>
      </c>
      <c r="M34" s="551">
        <v>58.78072885056941</v>
      </c>
      <c r="O34" s="563"/>
    </row>
    <row r="35" spans="1:15">
      <c r="A35" s="1171"/>
      <c r="B35" s="550" t="s">
        <v>535</v>
      </c>
      <c r="C35" s="551">
        <v>28.749490842421064</v>
      </c>
      <c r="D35" s="551">
        <v>319.16781017335398</v>
      </c>
      <c r="E35" s="552">
        <v>2.0963022232382698</v>
      </c>
      <c r="F35" s="551">
        <v>350.01360323901332</v>
      </c>
      <c r="G35" s="551">
        <v>73.828072113949688</v>
      </c>
      <c r="H35" s="552">
        <v>0.84720192395793936</v>
      </c>
      <c r="I35" s="551">
        <v>165.15682869897884</v>
      </c>
      <c r="J35" s="551">
        <v>239.83210273688644</v>
      </c>
      <c r="K35" s="551">
        <v>51.400771651557505</v>
      </c>
      <c r="L35" s="551">
        <v>291.23287438844397</v>
      </c>
      <c r="M35" s="551">
        <v>58.78072885056941</v>
      </c>
    </row>
    <row r="36" spans="1:15">
      <c r="A36" s="1171"/>
      <c r="B36" s="558"/>
      <c r="C36" s="551"/>
      <c r="D36" s="551"/>
      <c r="E36" s="552"/>
      <c r="F36" s="551"/>
      <c r="G36" s="551"/>
      <c r="H36" s="552"/>
      <c r="I36" s="551"/>
      <c r="J36" s="551"/>
      <c r="K36" s="551"/>
      <c r="L36" s="551"/>
      <c r="M36" s="551"/>
      <c r="O36" s="563"/>
    </row>
    <row r="37" spans="1:15">
      <c r="A37" s="1171" t="s">
        <v>383</v>
      </c>
      <c r="B37" s="550" t="s">
        <v>239</v>
      </c>
      <c r="C37" s="551">
        <v>58.78072885056941</v>
      </c>
      <c r="D37" s="551">
        <v>298.51936159577468</v>
      </c>
      <c r="E37" s="552">
        <v>0.44168841642694306</v>
      </c>
      <c r="F37" s="551">
        <v>357.74177886277101</v>
      </c>
      <c r="G37" s="551">
        <v>19.418048082619148</v>
      </c>
      <c r="H37" s="551"/>
      <c r="I37" s="551">
        <v>61.080724042488896</v>
      </c>
      <c r="J37" s="551">
        <v>80.498772125108047</v>
      </c>
      <c r="K37" s="551">
        <v>13.35809948372102</v>
      </c>
      <c r="L37" s="551">
        <v>93.856871608829067</v>
      </c>
      <c r="M37" s="551">
        <v>263.884907253942</v>
      </c>
      <c r="O37" s="563"/>
    </row>
    <row r="38" spans="1:15">
      <c r="A38" s="1171"/>
      <c r="B38" s="550" t="s">
        <v>240</v>
      </c>
      <c r="C38" s="551">
        <v>263.884907253942</v>
      </c>
      <c r="D38" s="551"/>
      <c r="E38" s="552">
        <v>0.42890436546491872</v>
      </c>
      <c r="F38" s="551">
        <v>264.31381161940692</v>
      </c>
      <c r="G38" s="551">
        <v>19.58635267179589</v>
      </c>
      <c r="H38" s="552">
        <v>2.6896220758025641E-2</v>
      </c>
      <c r="I38" s="551">
        <v>42.610103682173254</v>
      </c>
      <c r="J38" s="551">
        <v>62.223352574727166</v>
      </c>
      <c r="K38" s="551">
        <v>13.780531991425288</v>
      </c>
      <c r="L38" s="551">
        <v>76.00388456615245</v>
      </c>
      <c r="M38" s="551">
        <v>188.30992705325448</v>
      </c>
      <c r="O38" s="563"/>
    </row>
    <row r="39" spans="1:15">
      <c r="A39" s="1171"/>
      <c r="B39" s="550" t="s">
        <v>241</v>
      </c>
      <c r="C39" s="551">
        <v>188.30992705325448</v>
      </c>
      <c r="D39" s="551"/>
      <c r="E39" s="552">
        <v>0.61685858165254637</v>
      </c>
      <c r="F39" s="551">
        <v>188.92678563490702</v>
      </c>
      <c r="G39" s="551">
        <v>20.728153851317824</v>
      </c>
      <c r="H39" s="552">
        <v>0.52293771902847741</v>
      </c>
      <c r="I39" s="551">
        <v>33.338154114401476</v>
      </c>
      <c r="J39" s="551">
        <v>54.58924568474778</v>
      </c>
      <c r="K39" s="551">
        <v>15.91016328422741</v>
      </c>
      <c r="L39" s="551">
        <v>70.499408968975189</v>
      </c>
      <c r="M39" s="551">
        <v>118.42737666593185</v>
      </c>
      <c r="O39" s="563"/>
    </row>
    <row r="40" spans="1:15">
      <c r="A40" s="1171"/>
      <c r="B40" s="550" t="s">
        <v>242</v>
      </c>
      <c r="C40" s="551">
        <v>118.42737666593185</v>
      </c>
      <c r="D40" s="551"/>
      <c r="E40" s="552">
        <v>0.42485922756826344</v>
      </c>
      <c r="F40" s="551">
        <v>118.85223589350011</v>
      </c>
      <c r="G40" s="551">
        <v>22.020692889756159</v>
      </c>
      <c r="H40" s="552">
        <v>0.25728129357322937</v>
      </c>
      <c r="I40" s="551">
        <v>25.10096243256212</v>
      </c>
      <c r="J40" s="551">
        <v>47.378936615891504</v>
      </c>
      <c r="K40" s="551">
        <v>16.7242565845755</v>
      </c>
      <c r="L40" s="551">
        <v>64.103193200467018</v>
      </c>
      <c r="M40" s="551">
        <v>54.749042693033097</v>
      </c>
      <c r="O40" s="563"/>
    </row>
    <row r="41" spans="1:15">
      <c r="A41" s="1171"/>
      <c r="B41" s="550" t="s">
        <v>535</v>
      </c>
      <c r="C41" s="551">
        <v>58.78072885056941</v>
      </c>
      <c r="D41" s="551">
        <v>298.51936159577468</v>
      </c>
      <c r="E41" s="552">
        <v>1.9123105911126714</v>
      </c>
      <c r="F41" s="551">
        <v>359.21240103745674</v>
      </c>
      <c r="G41" s="551">
        <v>81.75324749548902</v>
      </c>
      <c r="H41" s="552">
        <v>0.80711523335973245</v>
      </c>
      <c r="I41" s="551">
        <v>162.12994427162573</v>
      </c>
      <c r="J41" s="551">
        <v>244.69030700047449</v>
      </c>
      <c r="K41" s="551">
        <v>59.77305134394922</v>
      </c>
      <c r="L41" s="551">
        <v>304.46335834442374</v>
      </c>
      <c r="M41" s="551">
        <v>54.749042693033097</v>
      </c>
    </row>
    <row r="42" spans="1:15">
      <c r="A42" s="1171"/>
      <c r="B42" s="558"/>
      <c r="C42" s="551"/>
      <c r="D42" s="551"/>
      <c r="E42" s="552"/>
      <c r="F42" s="551"/>
      <c r="G42" s="551"/>
      <c r="H42" s="552"/>
      <c r="I42" s="551"/>
      <c r="J42" s="551"/>
      <c r="K42" s="551"/>
      <c r="L42" s="551"/>
      <c r="M42" s="551"/>
      <c r="O42" s="563"/>
    </row>
    <row r="43" spans="1:15">
      <c r="A43" s="1171" t="s">
        <v>326</v>
      </c>
      <c r="B43" s="550" t="s">
        <v>239</v>
      </c>
      <c r="C43" s="551">
        <v>54.749042693033097</v>
      </c>
      <c r="D43" s="551">
        <v>279.81470565022033</v>
      </c>
      <c r="E43" s="552">
        <v>0.53463496236543051</v>
      </c>
      <c r="F43" s="551">
        <v>335.09838330561888</v>
      </c>
      <c r="G43" s="551">
        <v>22.064118021139222</v>
      </c>
      <c r="H43" s="551"/>
      <c r="I43" s="551">
        <v>58.544183991632167</v>
      </c>
      <c r="J43" s="551">
        <v>80.608302012771389</v>
      </c>
      <c r="K43" s="551">
        <v>16.11315499890684</v>
      </c>
      <c r="L43" s="551">
        <v>96.721457011678226</v>
      </c>
      <c r="M43" s="551">
        <v>238.37692629394064</v>
      </c>
      <c r="O43" s="563"/>
    </row>
    <row r="44" spans="1:15">
      <c r="A44" s="1171"/>
      <c r="B44" s="550" t="s">
        <v>240</v>
      </c>
      <c r="C44" s="551">
        <v>238.37692629394064</v>
      </c>
      <c r="D44" s="551"/>
      <c r="E44" s="552">
        <v>0.71686030530403866</v>
      </c>
      <c r="F44" s="551">
        <v>239.09378659924468</v>
      </c>
      <c r="G44" s="551">
        <v>22.458866871509034</v>
      </c>
      <c r="H44" s="552">
        <v>2.6272077480856134E-2</v>
      </c>
      <c r="I44" s="551">
        <v>39.340243361446937</v>
      </c>
      <c r="J44" s="551">
        <v>61.825382310436822</v>
      </c>
      <c r="K44" s="551">
        <v>14.316983138152484</v>
      </c>
      <c r="L44" s="551">
        <v>76.142365448589317</v>
      </c>
      <c r="M44" s="551">
        <v>162.95142115065536</v>
      </c>
      <c r="O44" s="563"/>
    </row>
    <row r="45" spans="1:15">
      <c r="A45" s="1171"/>
      <c r="B45" s="550" t="s">
        <v>241</v>
      </c>
      <c r="C45" s="551">
        <v>162.95142115065536</v>
      </c>
      <c r="D45" s="551"/>
      <c r="E45" s="552">
        <v>0.56820987906316822</v>
      </c>
      <c r="F45" s="551">
        <v>163.51963102971854</v>
      </c>
      <c r="G45" s="551">
        <v>24.444339210984925</v>
      </c>
      <c r="H45" s="552">
        <v>0.62560928812286187</v>
      </c>
      <c r="I45" s="551">
        <v>29.55769832651589</v>
      </c>
      <c r="J45" s="551">
        <v>54.627646825623678</v>
      </c>
      <c r="K45" s="551">
        <v>13.656360137928406</v>
      </c>
      <c r="L45" s="551">
        <v>68.284006963552088</v>
      </c>
      <c r="M45" s="551">
        <v>95.235624066166451</v>
      </c>
      <c r="O45" s="563"/>
    </row>
    <row r="46" spans="1:15">
      <c r="A46" s="1171"/>
      <c r="B46" s="550" t="s">
        <v>242</v>
      </c>
      <c r="C46" s="551">
        <v>95.235624066166451</v>
      </c>
      <c r="D46" s="551"/>
      <c r="E46" s="552">
        <v>0.5809694360303036</v>
      </c>
      <c r="F46" s="551">
        <v>95.816593502196753</v>
      </c>
      <c r="G46" s="551">
        <v>25.814054291393269</v>
      </c>
      <c r="H46" s="552">
        <v>0.25953474110301</v>
      </c>
      <c r="I46" s="551">
        <v>19.325472575343987</v>
      </c>
      <c r="J46" s="551">
        <v>45.399061607840267</v>
      </c>
      <c r="K46" s="551">
        <v>14.255062319073295</v>
      </c>
      <c r="L46" s="551">
        <v>59.654123926913563</v>
      </c>
      <c r="M46" s="551">
        <v>36.162469575283197</v>
      </c>
      <c r="O46" s="563"/>
    </row>
    <row r="47" spans="1:15">
      <c r="A47" s="1171"/>
      <c r="B47" s="550" t="s">
        <v>535</v>
      </c>
      <c r="C47" s="551">
        <v>54.749042693033097</v>
      </c>
      <c r="D47" s="551">
        <v>279.81470565022033</v>
      </c>
      <c r="E47" s="552">
        <v>2.400674582762941</v>
      </c>
      <c r="F47" s="551">
        <v>336.96442292601637</v>
      </c>
      <c r="G47" s="551">
        <v>94.781378395026451</v>
      </c>
      <c r="H47" s="552">
        <v>0.91141610670672801</v>
      </c>
      <c r="I47" s="551">
        <v>146.76759825493897</v>
      </c>
      <c r="J47" s="551">
        <v>242.46039275667215</v>
      </c>
      <c r="K47" s="551">
        <v>58.341560594061029</v>
      </c>
      <c r="L47" s="551">
        <v>300.80195335073319</v>
      </c>
      <c r="M47" s="551">
        <v>36.162469575283197</v>
      </c>
    </row>
    <row r="48" spans="1:15">
      <c r="A48" s="1171"/>
      <c r="B48" s="558"/>
      <c r="C48" s="551"/>
      <c r="D48" s="551"/>
      <c r="E48" s="552"/>
      <c r="F48" s="551"/>
      <c r="G48" s="551"/>
      <c r="H48" s="552"/>
      <c r="I48" s="551"/>
      <c r="J48" s="551"/>
      <c r="K48" s="551"/>
      <c r="L48" s="551"/>
      <c r="M48" s="551"/>
      <c r="O48" s="563"/>
    </row>
    <row r="49" spans="1:15">
      <c r="A49" s="1171" t="s">
        <v>327</v>
      </c>
      <c r="B49" s="550" t="s">
        <v>239</v>
      </c>
      <c r="C49" s="551">
        <v>36.162469575283197</v>
      </c>
      <c r="D49" s="551">
        <v>349.70029329290918</v>
      </c>
      <c r="E49" s="552">
        <v>0.50423791470828105</v>
      </c>
      <c r="F49" s="551">
        <v>386.36700078290062</v>
      </c>
      <c r="G49" s="551">
        <v>26.46920515172215</v>
      </c>
      <c r="H49" s="551"/>
      <c r="I49" s="551">
        <v>66.002958330271611</v>
      </c>
      <c r="J49" s="551">
        <v>92.472163481993761</v>
      </c>
      <c r="K49" s="551">
        <v>20.030365296182296</v>
      </c>
      <c r="L49" s="551">
        <v>112.50252877817606</v>
      </c>
      <c r="M49" s="551">
        <v>273.86447200472463</v>
      </c>
      <c r="O49" s="563"/>
    </row>
    <row r="50" spans="1:15">
      <c r="A50" s="1171"/>
      <c r="B50" s="550" t="s">
        <v>240</v>
      </c>
      <c r="C50" s="551">
        <v>273.86447200472463</v>
      </c>
      <c r="D50" s="551"/>
      <c r="E50" s="552">
        <v>0.96941879378868578</v>
      </c>
      <c r="F50" s="551">
        <v>274.83389079851332</v>
      </c>
      <c r="G50" s="551">
        <v>27.904741946691999</v>
      </c>
      <c r="H50" s="552">
        <v>2.4951216126846233E-2</v>
      </c>
      <c r="I50" s="551">
        <v>44.50700482894576</v>
      </c>
      <c r="J50" s="551">
        <v>72.436697991764618</v>
      </c>
      <c r="K50" s="551">
        <v>19.128398428392714</v>
      </c>
      <c r="L50" s="551">
        <v>91.565096420157317</v>
      </c>
      <c r="M50" s="551">
        <v>183.26879437835601</v>
      </c>
      <c r="O50" s="563"/>
    </row>
    <row r="51" spans="1:15">
      <c r="A51" s="1171"/>
      <c r="B51" s="550" t="s">
        <v>241</v>
      </c>
      <c r="C51" s="551">
        <v>183.26879437835601</v>
      </c>
      <c r="D51" s="551"/>
      <c r="E51" s="552">
        <v>0.91195769614927191</v>
      </c>
      <c r="F51" s="551">
        <v>184.18075207450528</v>
      </c>
      <c r="G51" s="551">
        <v>30.986627185975646</v>
      </c>
      <c r="H51" s="552">
        <v>0.55703335991385372</v>
      </c>
      <c r="I51" s="551">
        <v>27.707506320811433</v>
      </c>
      <c r="J51" s="551">
        <v>59.251166866700927</v>
      </c>
      <c r="K51" s="551">
        <v>16.496491462028413</v>
      </c>
      <c r="L51" s="551">
        <v>75.747658328729344</v>
      </c>
      <c r="M51" s="551">
        <v>108.43309374577592</v>
      </c>
      <c r="O51" s="563"/>
    </row>
    <row r="52" spans="1:15">
      <c r="A52" s="1171"/>
      <c r="B52" s="550" t="s">
        <v>242</v>
      </c>
      <c r="C52" s="551">
        <v>108.43309374577592</v>
      </c>
      <c r="D52" s="551"/>
      <c r="E52" s="552">
        <v>0.8854452146445061</v>
      </c>
      <c r="F52" s="551">
        <v>109.31853896042043</v>
      </c>
      <c r="G52" s="551">
        <v>32.264930677458537</v>
      </c>
      <c r="H52" s="552">
        <v>0.27513106555228062</v>
      </c>
      <c r="I52" s="551">
        <v>17.497370524289416</v>
      </c>
      <c r="J52" s="551">
        <v>50.037432267300233</v>
      </c>
      <c r="K52" s="551">
        <v>14.231265042261214</v>
      </c>
      <c r="L52" s="551">
        <v>64.268697309561446</v>
      </c>
      <c r="M52" s="551">
        <v>45.04984165085898</v>
      </c>
      <c r="O52" s="563"/>
    </row>
    <row r="53" spans="1:15">
      <c r="A53" s="1171"/>
      <c r="B53" s="550" t="s">
        <v>535</v>
      </c>
      <c r="C53" s="551">
        <v>36.162469575283197</v>
      </c>
      <c r="D53" s="551">
        <v>349.70029329290918</v>
      </c>
      <c r="E53" s="552">
        <v>3.2710596192907446</v>
      </c>
      <c r="F53" s="551">
        <v>389.13382248748309</v>
      </c>
      <c r="G53" s="551">
        <v>117.62550496184834</v>
      </c>
      <c r="H53" s="552">
        <v>0.85711564159298059</v>
      </c>
      <c r="I53" s="551">
        <v>155.71484000431821</v>
      </c>
      <c r="J53" s="551">
        <v>274.19746060775952</v>
      </c>
      <c r="K53" s="551">
        <v>69.88652022886464</v>
      </c>
      <c r="L53" s="551">
        <v>344.08398083662416</v>
      </c>
      <c r="M53" s="551">
        <v>45.04984165085898</v>
      </c>
    </row>
    <row r="54" spans="1:15">
      <c r="A54" s="1171"/>
      <c r="B54" s="558"/>
      <c r="C54" s="551"/>
      <c r="D54" s="551"/>
      <c r="E54" s="552"/>
      <c r="F54" s="551"/>
      <c r="G54" s="551"/>
      <c r="H54" s="552"/>
      <c r="I54" s="551"/>
      <c r="J54" s="551"/>
      <c r="K54" s="551"/>
      <c r="L54" s="551"/>
      <c r="M54" s="551"/>
      <c r="O54" s="563"/>
    </row>
    <row r="55" spans="1:15">
      <c r="A55" s="1171" t="s">
        <v>328</v>
      </c>
      <c r="B55" s="550" t="s">
        <v>239</v>
      </c>
      <c r="C55" s="551">
        <v>45.04984165085898</v>
      </c>
      <c r="D55" s="551">
        <v>325.66354867183577</v>
      </c>
      <c r="E55" s="552">
        <v>0.76217238147854838</v>
      </c>
      <c r="F55" s="551">
        <v>371.47556270417329</v>
      </c>
      <c r="G55" s="551">
        <v>32.830448031453919</v>
      </c>
      <c r="H55" s="551"/>
      <c r="I55" s="551">
        <v>56.341111537487961</v>
      </c>
      <c r="J55" s="551">
        <v>89.171559568941888</v>
      </c>
      <c r="K55" s="551">
        <v>12.610713310490418</v>
      </c>
      <c r="L55" s="551">
        <v>101.7822728794323</v>
      </c>
      <c r="M55" s="551">
        <v>269.69328982474099</v>
      </c>
      <c r="O55" s="563"/>
    </row>
    <row r="56" spans="1:15">
      <c r="A56" s="1171"/>
      <c r="B56" s="550" t="s">
        <v>240</v>
      </c>
      <c r="C56" s="551">
        <v>269.69328982474099</v>
      </c>
      <c r="D56" s="551"/>
      <c r="E56" s="552">
        <v>0.9209224982786165</v>
      </c>
      <c r="F56" s="551">
        <v>270.61421232301961</v>
      </c>
      <c r="G56" s="551">
        <v>31.787522759003586</v>
      </c>
      <c r="H56" s="552">
        <v>2.3891624051651489E-2</v>
      </c>
      <c r="I56" s="551">
        <v>41.089560931533875</v>
      </c>
      <c r="J56" s="551">
        <v>72.900975314589118</v>
      </c>
      <c r="K56" s="551">
        <v>10.410201839589735</v>
      </c>
      <c r="L56" s="551">
        <v>83.311177154178864</v>
      </c>
      <c r="M56" s="551">
        <v>187.30303516884075</v>
      </c>
      <c r="O56" s="563"/>
    </row>
    <row r="57" spans="1:15">
      <c r="A57" s="1171"/>
      <c r="B57" s="550" t="s">
        <v>241</v>
      </c>
      <c r="C57" s="551">
        <v>187.30303516884075</v>
      </c>
      <c r="D57" s="551"/>
      <c r="E57" s="552">
        <v>0.69411899182717041</v>
      </c>
      <c r="F57" s="551">
        <v>187.99715416066792</v>
      </c>
      <c r="G57" s="551">
        <v>33.305718622058578</v>
      </c>
      <c r="H57" s="552">
        <v>0.54410778809247118</v>
      </c>
      <c r="I57" s="551">
        <v>25.647316410704406</v>
      </c>
      <c r="J57" s="551">
        <v>59.497142820855451</v>
      </c>
      <c r="K57" s="551">
        <v>13.462059255509562</v>
      </c>
      <c r="L57" s="551">
        <v>72.959202076365017</v>
      </c>
      <c r="M57" s="551">
        <v>115.0379520843029</v>
      </c>
      <c r="O57" s="563"/>
    </row>
    <row r="58" spans="1:15">
      <c r="A58" s="1171"/>
      <c r="B58" s="550" t="s">
        <v>242</v>
      </c>
      <c r="C58" s="551">
        <v>115.0379520843029</v>
      </c>
      <c r="D58" s="551"/>
      <c r="E58" s="552">
        <v>0.57636093625120322</v>
      </c>
      <c r="F58" s="551">
        <v>115.61431302055411</v>
      </c>
      <c r="G58" s="551">
        <v>36.065037906725053</v>
      </c>
      <c r="H58" s="552">
        <v>0.26671238879045933</v>
      </c>
      <c r="I58" s="551">
        <v>17.785435326328063</v>
      </c>
      <c r="J58" s="551">
        <v>54.117185621843575</v>
      </c>
      <c r="K58" s="551">
        <v>14.450676805366184</v>
      </c>
      <c r="L58" s="551">
        <v>68.567862427209761</v>
      </c>
      <c r="M58" s="551">
        <v>47.046450593344346</v>
      </c>
      <c r="O58" s="563"/>
    </row>
    <row r="59" spans="1:15">
      <c r="A59" s="1171"/>
      <c r="B59" s="550" t="s">
        <v>535</v>
      </c>
      <c r="C59" s="551">
        <v>45.04984165085898</v>
      </c>
      <c r="D59" s="551">
        <v>325.66354867183577</v>
      </c>
      <c r="E59" s="552">
        <v>2.9535748078355386</v>
      </c>
      <c r="F59" s="551">
        <v>373.66696513053029</v>
      </c>
      <c r="G59" s="551">
        <v>133.98872731924115</v>
      </c>
      <c r="H59" s="552">
        <v>0.83471180093458197</v>
      </c>
      <c r="I59" s="551">
        <v>140.8634242060543</v>
      </c>
      <c r="J59" s="551">
        <v>275.68686332623002</v>
      </c>
      <c r="K59" s="551">
        <v>50.933651210955901</v>
      </c>
      <c r="L59" s="551">
        <v>326.62051453718595</v>
      </c>
      <c r="M59" s="551">
        <v>47.046450593344346</v>
      </c>
    </row>
    <row r="60" spans="1:15">
      <c r="A60" s="1171"/>
      <c r="B60" s="558"/>
      <c r="C60" s="551"/>
      <c r="D60" s="551"/>
      <c r="E60" s="552"/>
      <c r="F60" s="551"/>
      <c r="G60" s="551"/>
      <c r="H60" s="552"/>
      <c r="I60" s="551"/>
      <c r="J60" s="551"/>
      <c r="K60" s="551"/>
      <c r="L60" s="551"/>
      <c r="M60" s="551"/>
      <c r="O60" s="563"/>
    </row>
    <row r="61" spans="1:15">
      <c r="A61" s="1171" t="s">
        <v>329</v>
      </c>
      <c r="B61" s="550" t="s">
        <v>239</v>
      </c>
      <c r="C61" s="551">
        <v>47.046450593344346</v>
      </c>
      <c r="D61" s="551">
        <v>348.57740510618152</v>
      </c>
      <c r="E61" s="552">
        <v>0.62104614759355581</v>
      </c>
      <c r="F61" s="551">
        <v>396.24490184711942</v>
      </c>
      <c r="G61" s="551">
        <v>36.906473762849146</v>
      </c>
      <c r="H61" s="551"/>
      <c r="I61" s="551">
        <v>55.875340080975434</v>
      </c>
      <c r="J61" s="551">
        <v>92.78181384382458</v>
      </c>
      <c r="K61" s="551">
        <v>13.081092359597246</v>
      </c>
      <c r="L61" s="551">
        <v>105.86290620342183</v>
      </c>
      <c r="M61" s="551">
        <v>290.38199564369762</v>
      </c>
      <c r="O61" s="563"/>
    </row>
    <row r="62" spans="1:15">
      <c r="A62" s="1171"/>
      <c r="B62" s="550" t="s">
        <v>240</v>
      </c>
      <c r="C62" s="551">
        <v>290.38199564369762</v>
      </c>
      <c r="D62" s="551"/>
      <c r="E62" s="552">
        <v>0.50229653881708525</v>
      </c>
      <c r="F62" s="551">
        <v>290.88429218251468</v>
      </c>
      <c r="G62" s="551">
        <v>38.56267786495826</v>
      </c>
      <c r="H62" s="552">
        <v>2.1438595822775967E-2</v>
      </c>
      <c r="I62" s="551">
        <v>34.472266901083181</v>
      </c>
      <c r="J62" s="551">
        <v>73.056383361864206</v>
      </c>
      <c r="K62" s="551">
        <v>11.838020304614579</v>
      </c>
      <c r="L62" s="551">
        <v>84.894403666478794</v>
      </c>
      <c r="M62" s="551">
        <v>205.98988851603588</v>
      </c>
      <c r="O62" s="563"/>
    </row>
    <row r="63" spans="1:15">
      <c r="A63" s="1171"/>
      <c r="B63" s="550" t="s">
        <v>241</v>
      </c>
      <c r="C63" s="551">
        <v>205.98988851603588</v>
      </c>
      <c r="D63" s="551"/>
      <c r="E63" s="552">
        <v>0.56995983892023216</v>
      </c>
      <c r="F63" s="551">
        <v>206.5598483549561</v>
      </c>
      <c r="G63" s="551">
        <v>40.957559164337475</v>
      </c>
      <c r="H63" s="552">
        <v>0.57280386388233451</v>
      </c>
      <c r="I63" s="551">
        <v>33.30708393547738</v>
      </c>
      <c r="J63" s="551">
        <v>74.83744696369719</v>
      </c>
      <c r="K63" s="551">
        <v>15.161376417363158</v>
      </c>
      <c r="L63" s="551">
        <v>89.998823381060348</v>
      </c>
      <c r="M63" s="551">
        <v>116.56102497389577</v>
      </c>
      <c r="O63" s="563"/>
    </row>
    <row r="64" spans="1:15">
      <c r="A64" s="1171"/>
      <c r="B64" s="550" t="s">
        <v>242</v>
      </c>
      <c r="C64" s="551">
        <v>116.56102497389577</v>
      </c>
      <c r="D64" s="551"/>
      <c r="E64" s="552">
        <v>0.51610298726947301</v>
      </c>
      <c r="F64" s="551">
        <v>117.07712796116525</v>
      </c>
      <c r="G64" s="551">
        <v>41.106823754820553</v>
      </c>
      <c r="H64" s="552">
        <v>0.21990890048271311</v>
      </c>
      <c r="I64" s="551">
        <v>13.062130378813267</v>
      </c>
      <c r="J64" s="551">
        <v>54.388863034116532</v>
      </c>
      <c r="K64" s="551">
        <v>14.580436918437719</v>
      </c>
      <c r="L64" s="551">
        <v>68.969299952554252</v>
      </c>
      <c r="M64" s="551">
        <v>48.107828008610994</v>
      </c>
      <c r="O64" s="563"/>
    </row>
    <row r="65" spans="1:15">
      <c r="A65" s="1171"/>
      <c r="B65" s="550" t="s">
        <v>535</v>
      </c>
      <c r="C65" s="551">
        <v>47.046450593344346</v>
      </c>
      <c r="D65" s="551">
        <v>348.57740510618152</v>
      </c>
      <c r="E65" s="552">
        <v>2.209405512600346</v>
      </c>
      <c r="F65" s="551">
        <v>397.83326121212622</v>
      </c>
      <c r="G65" s="551">
        <v>157.53353454696543</v>
      </c>
      <c r="H65" s="552">
        <v>0.81415136018782364</v>
      </c>
      <c r="I65" s="551">
        <v>136.71682129634925</v>
      </c>
      <c r="J65" s="551">
        <v>295.0645072035025</v>
      </c>
      <c r="K65" s="551">
        <v>54.660926000012701</v>
      </c>
      <c r="L65" s="551">
        <v>349.72543320351519</v>
      </c>
      <c r="M65" s="551">
        <v>48.107828008610994</v>
      </c>
    </row>
    <row r="66" spans="1:15">
      <c r="A66" s="1171"/>
      <c r="B66" s="558"/>
      <c r="C66" s="551"/>
      <c r="D66" s="551"/>
      <c r="E66" s="552"/>
      <c r="F66" s="551"/>
      <c r="G66" s="551"/>
      <c r="H66" s="552"/>
      <c r="I66" s="551"/>
      <c r="J66" s="551"/>
      <c r="K66" s="551"/>
      <c r="L66" s="551"/>
      <c r="M66" s="551"/>
      <c r="O66" s="563"/>
    </row>
    <row r="67" spans="1:15">
      <c r="A67" s="1171" t="s">
        <v>226</v>
      </c>
      <c r="B67" s="550" t="s">
        <v>239</v>
      </c>
      <c r="C67" s="551">
        <v>48.107828008610994</v>
      </c>
      <c r="D67" s="551">
        <v>330.04768345775375</v>
      </c>
      <c r="E67" s="552">
        <v>0.6270508050813246</v>
      </c>
      <c r="F67" s="551">
        <v>378.78256227144607</v>
      </c>
      <c r="G67" s="551">
        <v>41.89412606787014</v>
      </c>
      <c r="H67" s="551"/>
      <c r="I67" s="551">
        <v>56.358360752999829</v>
      </c>
      <c r="J67" s="551">
        <v>98.252486820869962</v>
      </c>
      <c r="K67" s="551">
        <v>12.466797482743075</v>
      </c>
      <c r="L67" s="551">
        <v>110.71928430361305</v>
      </c>
      <c r="M67" s="551">
        <v>268.06327796783302</v>
      </c>
      <c r="O67" s="563"/>
    </row>
    <row r="68" spans="1:15">
      <c r="A68" s="1171"/>
      <c r="B68" s="550" t="s">
        <v>240</v>
      </c>
      <c r="C68" s="551">
        <v>268.06327796783302</v>
      </c>
      <c r="D68" s="551"/>
      <c r="E68" s="552">
        <v>0.68350220582031751</v>
      </c>
      <c r="F68" s="551">
        <v>268.74678017365335</v>
      </c>
      <c r="G68" s="551">
        <v>41.855890034663545</v>
      </c>
      <c r="H68" s="552">
        <v>1.8658980995381526E-2</v>
      </c>
      <c r="I68" s="551">
        <v>40.423419524979806</v>
      </c>
      <c r="J68" s="551">
        <v>82.297968540638735</v>
      </c>
      <c r="K68" s="551">
        <v>11.012844832356746</v>
      </c>
      <c r="L68" s="551">
        <v>93.310813372995483</v>
      </c>
      <c r="M68" s="551">
        <v>175.43596680065787</v>
      </c>
      <c r="O68" s="563"/>
    </row>
    <row r="69" spans="1:15">
      <c r="A69" s="1171"/>
      <c r="B69" s="550" t="s">
        <v>241</v>
      </c>
      <c r="C69" s="551">
        <v>175.43596680065787</v>
      </c>
      <c r="D69" s="551"/>
      <c r="E69" s="552">
        <v>0.62989845878341055</v>
      </c>
      <c r="F69" s="551">
        <v>176.06586525944127</v>
      </c>
      <c r="G69" s="551">
        <v>42.812030361667453</v>
      </c>
      <c r="H69" s="552">
        <v>0.53320342444192237</v>
      </c>
      <c r="I69" s="551">
        <v>18.999320518438054</v>
      </c>
      <c r="J69" s="551">
        <v>62.34455430454743</v>
      </c>
      <c r="K69" s="551">
        <v>14.210040542097467</v>
      </c>
      <c r="L69" s="551">
        <v>76.554594846644903</v>
      </c>
      <c r="M69" s="551">
        <v>99.511270412796392</v>
      </c>
      <c r="O69" s="563"/>
    </row>
    <row r="70" spans="1:15">
      <c r="A70" s="1171"/>
      <c r="B70" s="550" t="s">
        <v>242</v>
      </c>
      <c r="C70" s="551">
        <v>99.511270412796392</v>
      </c>
      <c r="D70" s="551"/>
      <c r="E70" s="552">
        <v>0.43747272775106127</v>
      </c>
      <c r="F70" s="551">
        <v>99.94874314054745</v>
      </c>
      <c r="G70" s="551">
        <v>42.587110171267469</v>
      </c>
      <c r="H70" s="552">
        <v>0.25114146552107347</v>
      </c>
      <c r="I70" s="551">
        <v>11.907357361035118</v>
      </c>
      <c r="J70" s="551">
        <v>54.745608997823659</v>
      </c>
      <c r="K70" s="551">
        <v>12.935336760678249</v>
      </c>
      <c r="L70" s="551">
        <v>67.680945758501906</v>
      </c>
      <c r="M70" s="551">
        <v>32.267797382045543</v>
      </c>
      <c r="O70" s="563"/>
    </row>
    <row r="71" spans="1:15">
      <c r="A71" s="1171"/>
      <c r="B71" s="550" t="s">
        <v>535</v>
      </c>
      <c r="C71" s="551">
        <v>48.107828008610994</v>
      </c>
      <c r="D71" s="551">
        <v>330.04768345775375</v>
      </c>
      <c r="E71" s="552">
        <v>2.3779241974361138</v>
      </c>
      <c r="F71" s="551">
        <v>380.53343566380084</v>
      </c>
      <c r="G71" s="551">
        <v>169.14915663546861</v>
      </c>
      <c r="H71" s="552">
        <v>0.80300387095837733</v>
      </c>
      <c r="I71" s="551">
        <v>127.6884581574528</v>
      </c>
      <c r="J71" s="551">
        <v>297.64061866387976</v>
      </c>
      <c r="K71" s="551">
        <v>50.625019617875537</v>
      </c>
      <c r="L71" s="551">
        <v>348.2656382817554</v>
      </c>
      <c r="M71" s="551">
        <v>32.267797382045543</v>
      </c>
    </row>
    <row r="72" spans="1:15">
      <c r="A72" s="1171"/>
      <c r="B72" s="558"/>
      <c r="C72" s="551"/>
      <c r="D72" s="551"/>
      <c r="E72" s="552"/>
      <c r="F72" s="551"/>
      <c r="G72" s="551"/>
      <c r="H72" s="552"/>
      <c r="I72" s="551"/>
      <c r="J72" s="551"/>
      <c r="K72" s="551"/>
      <c r="L72" s="551"/>
      <c r="M72" s="551"/>
    </row>
    <row r="73" spans="1:15">
      <c r="A73" s="1171" t="s">
        <v>174</v>
      </c>
      <c r="B73" s="1171"/>
      <c r="C73" s="1171"/>
      <c r="D73" s="1171"/>
      <c r="E73" s="1171"/>
      <c r="F73" s="1171"/>
      <c r="G73" s="1171"/>
      <c r="H73" s="1171"/>
      <c r="I73" s="1171"/>
      <c r="J73" s="1171"/>
      <c r="K73" s="1171"/>
      <c r="L73" s="1171"/>
      <c r="M73" s="1171"/>
    </row>
    <row r="74" spans="1:15">
      <c r="A74" s="1171" t="str">
        <f>"Source: USDA, World Agricultural Outlook Board, World Agricultural Supply and Demand Estimates and supporting materials."</f>
        <v>Source: USDA, World Agricultural Outlook Board, World Agricultural Supply and Demand Estimates and supporting materials.</v>
      </c>
      <c r="B74" s="1171"/>
      <c r="C74" s="1171"/>
      <c r="D74" s="1171"/>
      <c r="E74" s="1171"/>
      <c r="F74" s="1171"/>
      <c r="G74" s="1171"/>
      <c r="H74" s="1171"/>
      <c r="I74" s="1171"/>
      <c r="J74" s="1171"/>
      <c r="K74" s="1171"/>
      <c r="L74" s="1171"/>
      <c r="M74" s="1171"/>
    </row>
    <row r="75" spans="1:15">
      <c r="A75" s="1172" t="s">
        <v>175</v>
      </c>
      <c r="B75" s="1172"/>
      <c r="C75" s="1172"/>
      <c r="D75" s="1172"/>
      <c r="E75" s="1172"/>
      <c r="F75" s="1172"/>
      <c r="G75" s="1172"/>
      <c r="H75" s="1172"/>
      <c r="I75" s="1172"/>
      <c r="J75" s="1172"/>
      <c r="K75" s="1172"/>
      <c r="L75" s="1172"/>
      <c r="M75" s="1172"/>
    </row>
  </sheetData>
  <mergeCells count="24">
    <mergeCell ref="A1:M1"/>
    <mergeCell ref="A37:A42"/>
    <mergeCell ref="A43:A48"/>
    <mergeCell ref="A49:A54"/>
    <mergeCell ref="A55:A60"/>
    <mergeCell ref="A7:A12"/>
    <mergeCell ref="A13:A18"/>
    <mergeCell ref="A19:A24"/>
    <mergeCell ref="A25:A30"/>
    <mergeCell ref="A31:A36"/>
    <mergeCell ref="A2:M2"/>
    <mergeCell ref="A4:B6"/>
    <mergeCell ref="C4:F4"/>
    <mergeCell ref="G4:L4"/>
    <mergeCell ref="C5:F5"/>
    <mergeCell ref="G5:J5"/>
    <mergeCell ref="P4:P6"/>
    <mergeCell ref="Q4:Q6"/>
    <mergeCell ref="A73:M73"/>
    <mergeCell ref="A74:M74"/>
    <mergeCell ref="A75:M75"/>
    <mergeCell ref="A61:A66"/>
    <mergeCell ref="A67:A72"/>
    <mergeCell ref="K5:L5"/>
  </mergeCells>
  <phoneticPr fontId="14" type="noConversion"/>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J31"/>
  <sheetViews>
    <sheetView zoomScale="110" zoomScaleNormal="110" zoomScalePageLayoutView="110" workbookViewId="0">
      <selection activeCell="G25" sqref="G25"/>
    </sheetView>
  </sheetViews>
  <sheetFormatPr defaultColWidth="10.5546875" defaultRowHeight="15"/>
  <sheetData>
    <row r="1" spans="1:10">
      <c r="A1" s="905" t="s">
        <v>567</v>
      </c>
      <c r="B1" s="28"/>
      <c r="C1" s="28"/>
      <c r="D1" s="28"/>
      <c r="E1" s="28"/>
      <c r="F1" s="28"/>
      <c r="G1" s="28"/>
      <c r="H1" s="28"/>
      <c r="I1" s="28"/>
      <c r="J1" s="28"/>
    </row>
    <row r="2" spans="1:10">
      <c r="A2" s="28"/>
      <c r="B2" s="28"/>
      <c r="C2" s="28"/>
      <c r="D2" s="28"/>
      <c r="E2" s="28"/>
      <c r="F2" s="28"/>
      <c r="G2" s="28"/>
      <c r="H2" s="28"/>
      <c r="I2" s="28"/>
      <c r="J2" s="28"/>
    </row>
    <row r="3" spans="1:10">
      <c r="A3" s="90" t="s">
        <v>176</v>
      </c>
      <c r="B3" s="91"/>
      <c r="C3" s="91"/>
      <c r="D3" s="91"/>
      <c r="E3" s="91"/>
      <c r="F3" s="91"/>
      <c r="G3" s="91"/>
      <c r="H3" s="91"/>
      <c r="I3" s="28"/>
      <c r="J3" s="28"/>
    </row>
    <row r="4" spans="1:10">
      <c r="A4" s="28" t="s">
        <v>177</v>
      </c>
      <c r="B4" s="92" t="s">
        <v>447</v>
      </c>
      <c r="C4" s="93"/>
      <c r="D4" s="94"/>
      <c r="E4" s="95" t="s">
        <v>179</v>
      </c>
      <c r="F4" s="95"/>
      <c r="G4" s="95"/>
      <c r="H4" s="95"/>
      <c r="I4" s="28"/>
      <c r="J4" s="28"/>
    </row>
    <row r="5" spans="1:10">
      <c r="A5" s="28" t="s">
        <v>178</v>
      </c>
      <c r="B5" s="96" t="s">
        <v>252</v>
      </c>
      <c r="C5" s="97"/>
      <c r="D5" s="98"/>
      <c r="E5" s="28"/>
      <c r="F5" s="28"/>
      <c r="G5" s="99" t="s">
        <v>333</v>
      </c>
      <c r="H5" s="28"/>
      <c r="I5" s="28"/>
      <c r="J5" s="28"/>
    </row>
    <row r="6" spans="1:10">
      <c r="A6" s="28" t="s">
        <v>384</v>
      </c>
      <c r="B6" s="96" t="s">
        <v>480</v>
      </c>
      <c r="C6" s="100" t="s">
        <v>182</v>
      </c>
      <c r="D6" s="101" t="s">
        <v>190</v>
      </c>
      <c r="E6" s="99" t="s">
        <v>191</v>
      </c>
      <c r="F6" s="99" t="s">
        <v>236</v>
      </c>
      <c r="G6" s="99" t="s">
        <v>192</v>
      </c>
      <c r="H6" s="99" t="s">
        <v>330</v>
      </c>
      <c r="I6" s="28"/>
      <c r="J6" s="28"/>
    </row>
    <row r="7" spans="1:10">
      <c r="A7" s="91"/>
      <c r="B7" s="102"/>
      <c r="C7" s="91"/>
      <c r="D7" s="103"/>
      <c r="E7" s="104"/>
      <c r="F7" s="104"/>
      <c r="G7" s="104" t="s">
        <v>331</v>
      </c>
      <c r="H7" s="104"/>
      <c r="I7" s="28"/>
      <c r="J7" s="28"/>
    </row>
    <row r="8" spans="1:10">
      <c r="A8" s="28"/>
      <c r="B8" s="105" t="s">
        <v>189</v>
      </c>
      <c r="C8" s="106"/>
      <c r="D8" s="107"/>
      <c r="E8" s="108"/>
      <c r="F8" s="108"/>
      <c r="G8" s="108"/>
      <c r="H8" s="108"/>
      <c r="I8" s="28"/>
      <c r="J8" s="28"/>
    </row>
    <row r="9" spans="1:10">
      <c r="A9" s="109">
        <v>2000</v>
      </c>
      <c r="B9" s="110">
        <v>290.16199999999998</v>
      </c>
      <c r="C9" s="111">
        <v>2757.81</v>
      </c>
      <c r="D9" s="112">
        <v>3051.54</v>
      </c>
      <c r="E9" s="111">
        <v>1639.67</v>
      </c>
      <c r="F9" s="111">
        <v>995.87118845340001</v>
      </c>
      <c r="G9" s="113">
        <v>168.25181154660004</v>
      </c>
      <c r="H9" s="113">
        <v>2803.7930000000001</v>
      </c>
      <c r="I9" s="28"/>
      <c r="J9" s="28"/>
    </row>
    <row r="10" spans="1:10">
      <c r="A10" s="114">
        <v>2001</v>
      </c>
      <c r="B10" s="110">
        <v>247.74700000000001</v>
      </c>
      <c r="C10" s="111">
        <v>2890.6819999999998</v>
      </c>
      <c r="D10" s="112">
        <v>3140.7489999999998</v>
      </c>
      <c r="E10" s="113">
        <v>1699.7333999999998</v>
      </c>
      <c r="F10" s="113">
        <v>1063.6510000000001</v>
      </c>
      <c r="G10" s="113">
        <v>169.30359999999973</v>
      </c>
      <c r="H10" s="113">
        <v>2932.6879999999996</v>
      </c>
      <c r="I10" s="28"/>
      <c r="J10" s="28"/>
    </row>
    <row r="11" spans="1:10">
      <c r="A11" s="114">
        <v>2002</v>
      </c>
      <c r="B11" s="110">
        <v>208.06100000000001</v>
      </c>
      <c r="C11" s="111">
        <v>2756.1469999999999</v>
      </c>
      <c r="D11" s="112">
        <v>2968.8690000000001</v>
      </c>
      <c r="E11" s="113">
        <v>1614.787</v>
      </c>
      <c r="F11" s="113">
        <v>1044.3720000000001</v>
      </c>
      <c r="G11" s="113">
        <v>131.38099999999986</v>
      </c>
      <c r="H11" s="113">
        <v>2790.54</v>
      </c>
      <c r="I11" s="28"/>
      <c r="J11" s="28"/>
    </row>
    <row r="12" spans="1:10">
      <c r="A12" s="114">
        <v>2003</v>
      </c>
      <c r="B12" s="110">
        <v>178.32900000000001</v>
      </c>
      <c r="C12" s="111">
        <v>2453.8449999999998</v>
      </c>
      <c r="D12" s="112">
        <v>2637.7359999999999</v>
      </c>
      <c r="E12" s="113">
        <v>1529.6990000000001</v>
      </c>
      <c r="F12" s="113">
        <v>886.55100000000004</v>
      </c>
      <c r="G12" s="113">
        <v>109.07199999999955</v>
      </c>
      <c r="H12" s="113">
        <v>2525.3219999999997</v>
      </c>
      <c r="I12" s="28"/>
      <c r="J12" s="28"/>
    </row>
    <row r="13" spans="1:10">
      <c r="A13" s="114">
        <v>2004</v>
      </c>
      <c r="B13" s="110">
        <v>112.414</v>
      </c>
      <c r="C13" s="111">
        <v>3123.79</v>
      </c>
      <c r="D13" s="112">
        <v>3241.7820000000002</v>
      </c>
      <c r="E13" s="113">
        <v>1696.0812333333333</v>
      </c>
      <c r="F13" s="113">
        <v>1097.1562998144</v>
      </c>
      <c r="G13" s="113">
        <v>192.80646685226702</v>
      </c>
      <c r="H13" s="113">
        <v>2986.0440000000003</v>
      </c>
      <c r="I13" s="28"/>
      <c r="J13" s="28"/>
    </row>
    <row r="14" spans="1:10">
      <c r="A14" s="114">
        <v>2005</v>
      </c>
      <c r="B14" s="110">
        <v>255.738</v>
      </c>
      <c r="C14" s="111">
        <v>3068.3420000000001</v>
      </c>
      <c r="D14" s="112">
        <v>3327.4519999999998</v>
      </c>
      <c r="E14" s="113">
        <v>1738.8517333333334</v>
      </c>
      <c r="F14" s="113">
        <v>939.87875005290005</v>
      </c>
      <c r="G14" s="113">
        <v>199.39551661376629</v>
      </c>
      <c r="H14" s="113">
        <v>2878.1259999999997</v>
      </c>
      <c r="I14" s="28"/>
      <c r="J14" s="28"/>
    </row>
    <row r="15" spans="1:10">
      <c r="A15" s="114">
        <v>2006</v>
      </c>
      <c r="B15" s="110">
        <v>449.32600000000002</v>
      </c>
      <c r="C15" s="111">
        <v>3196.7260000000001</v>
      </c>
      <c r="D15" s="112">
        <v>3655.0860000000002</v>
      </c>
      <c r="E15" s="113">
        <v>1807.7056423333331</v>
      </c>
      <c r="F15" s="113">
        <v>1116.4958686412999</v>
      </c>
      <c r="G15" s="113">
        <v>157.07448902536726</v>
      </c>
      <c r="H15" s="113">
        <v>3081.2760000000003</v>
      </c>
      <c r="I15" s="28"/>
      <c r="J15" s="28"/>
    </row>
    <row r="16" spans="1:10">
      <c r="A16" s="114">
        <v>2007</v>
      </c>
      <c r="B16" s="110">
        <v>573.80999999999995</v>
      </c>
      <c r="C16" s="111">
        <v>2677.1170000000002</v>
      </c>
      <c r="D16" s="112">
        <v>3260.7980000000002</v>
      </c>
      <c r="E16" s="113">
        <v>1803.4073393333331</v>
      </c>
      <c r="F16" s="113">
        <v>1158.8290570290001</v>
      </c>
      <c r="G16" s="113">
        <v>93.527603637666971</v>
      </c>
      <c r="H16" s="113">
        <v>3055.7640000000001</v>
      </c>
      <c r="I16" s="28"/>
      <c r="J16" s="28"/>
    </row>
    <row r="17" spans="1:10">
      <c r="A17" s="114">
        <v>2008</v>
      </c>
      <c r="B17" s="110">
        <v>205.03399999999999</v>
      </c>
      <c r="C17" s="111">
        <v>2967.0070000000001</v>
      </c>
      <c r="D17" s="112">
        <v>3185.3040000000001</v>
      </c>
      <c r="E17" s="113">
        <v>1661.9220666666665</v>
      </c>
      <c r="F17" s="113">
        <v>1279.2935714286002</v>
      </c>
      <c r="G17" s="113">
        <v>105.89036190473348</v>
      </c>
      <c r="H17" s="113">
        <v>3047.1060000000002</v>
      </c>
      <c r="I17" s="28"/>
      <c r="J17" s="28"/>
    </row>
    <row r="18" spans="1:10">
      <c r="A18" s="114">
        <v>2009</v>
      </c>
      <c r="B18" s="110">
        <v>138.19800000000001</v>
      </c>
      <c r="C18" s="111">
        <v>3359.011</v>
      </c>
      <c r="D18" s="112">
        <v>3511.9069999999997</v>
      </c>
      <c r="E18" s="113">
        <v>1751.6862683333336</v>
      </c>
      <c r="F18" s="113">
        <v>1499.0494840271999</v>
      </c>
      <c r="G18" s="113">
        <v>110.28624763946641</v>
      </c>
      <c r="H18" s="113">
        <v>3361.0219999999999</v>
      </c>
      <c r="I18" s="28"/>
      <c r="J18" s="28"/>
    </row>
    <row r="19" spans="1:10">
      <c r="A19" s="114">
        <v>2010</v>
      </c>
      <c r="B19" s="110">
        <v>150.88499999999999</v>
      </c>
      <c r="C19" s="111">
        <v>3329.181</v>
      </c>
      <c r="D19" s="112">
        <v>3494.5149999999999</v>
      </c>
      <c r="E19" s="113">
        <v>1648.0425946666667</v>
      </c>
      <c r="F19" s="113">
        <v>1501.3088541401999</v>
      </c>
      <c r="G19" s="113">
        <v>130.15055119313342</v>
      </c>
      <c r="H19" s="113">
        <v>3279.502</v>
      </c>
      <c r="I19" s="28"/>
      <c r="J19" s="28"/>
    </row>
    <row r="20" spans="1:10">
      <c r="A20" s="28" t="s">
        <v>382</v>
      </c>
      <c r="B20" s="28"/>
      <c r="C20" s="28"/>
      <c r="D20" s="28"/>
      <c r="E20" s="28"/>
      <c r="F20" s="28"/>
      <c r="G20" s="28"/>
      <c r="H20" s="28"/>
      <c r="I20" s="28"/>
      <c r="J20" s="28"/>
    </row>
    <row r="21" spans="1:10">
      <c r="A21" s="115" t="s">
        <v>532</v>
      </c>
      <c r="B21" s="28"/>
      <c r="C21" s="28"/>
      <c r="D21" s="28"/>
      <c r="E21" s="28"/>
      <c r="F21" s="28"/>
      <c r="G21" s="28"/>
      <c r="H21" s="28"/>
      <c r="I21" s="28"/>
      <c r="J21" s="28"/>
    </row>
    <row r="22" spans="1:10">
      <c r="A22" s="116" t="s">
        <v>225</v>
      </c>
      <c r="B22" s="28"/>
      <c r="C22" s="28"/>
      <c r="D22" s="28"/>
      <c r="E22" s="28"/>
      <c r="F22" s="28"/>
      <c r="G22" s="28"/>
      <c r="H22" s="28"/>
      <c r="I22" s="28"/>
      <c r="J22" s="28"/>
    </row>
    <row r="23" spans="1:10">
      <c r="A23" s="28"/>
      <c r="B23" s="28"/>
      <c r="C23" s="28"/>
      <c r="D23" s="28"/>
      <c r="E23" s="28"/>
      <c r="F23" s="28"/>
      <c r="G23" s="28"/>
      <c r="H23" s="28"/>
      <c r="I23" s="28"/>
      <c r="J23" s="28"/>
    </row>
    <row r="24" spans="1:10">
      <c r="A24" s="28"/>
      <c r="B24" s="28"/>
      <c r="C24" s="28"/>
      <c r="D24" s="28"/>
      <c r="E24" s="28"/>
      <c r="F24" s="28"/>
      <c r="G24" s="28"/>
      <c r="H24" s="28"/>
      <c r="I24" s="28"/>
      <c r="J24" s="28"/>
    </row>
    <row r="25" spans="1:10" ht="18">
      <c r="F25" s="79" t="s">
        <v>451</v>
      </c>
      <c r="G25" s="80">
        <f>AVERAGE(G9:G19)</f>
        <v>142.46724076481817</v>
      </c>
    </row>
    <row r="26" spans="1:10" ht="18">
      <c r="D26" s="138"/>
      <c r="F26" s="79" t="s">
        <v>442</v>
      </c>
      <c r="G26" s="81">
        <f>G25*60*0.88</f>
        <v>7522.2703123823994</v>
      </c>
    </row>
    <row r="27" spans="1:10" ht="18">
      <c r="F27" s="79" t="s">
        <v>453</v>
      </c>
      <c r="G27" s="80">
        <f>STDEV(G9:G19)</f>
        <v>36.785448744334268</v>
      </c>
    </row>
    <row r="28" spans="1:10" ht="18">
      <c r="F28" s="79" t="s">
        <v>188</v>
      </c>
      <c r="G28" s="83">
        <f>60*G27</f>
        <v>2207.1269246600559</v>
      </c>
    </row>
    <row r="29" spans="1:10" ht="18">
      <c r="F29" s="84" t="s">
        <v>452</v>
      </c>
      <c r="G29" s="85">
        <f>G26</f>
        <v>7522.2703123823994</v>
      </c>
    </row>
    <row r="30" spans="1:10" ht="18">
      <c r="F30" s="86" t="s">
        <v>534</v>
      </c>
      <c r="G30" s="87">
        <f>G29-G28</f>
        <v>5315.1433877223435</v>
      </c>
    </row>
    <row r="31" spans="1:10" ht="18">
      <c r="F31" s="88" t="s">
        <v>410</v>
      </c>
      <c r="G31" s="89">
        <f>G29+G28</f>
        <v>9729.3972370424563</v>
      </c>
    </row>
  </sheetData>
  <phoneticPr fontId="14" type="noConversion"/>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N26"/>
  <sheetViews>
    <sheetView topLeftCell="A4" zoomScale="115" zoomScaleNormal="115" zoomScalePageLayoutView="115" workbookViewId="0">
      <selection activeCell="H21" sqref="H21"/>
    </sheetView>
  </sheetViews>
  <sheetFormatPr defaultColWidth="10.5546875" defaultRowHeight="15"/>
  <cols>
    <col min="1" max="1" width="5.5546875" customWidth="1"/>
    <col min="8" max="8" width="9.44140625" customWidth="1"/>
  </cols>
  <sheetData>
    <row r="1" spans="1:14">
      <c r="A1" s="1179" t="s">
        <v>568</v>
      </c>
      <c r="B1" s="1179"/>
      <c r="C1" s="1179"/>
      <c r="D1" s="1179"/>
      <c r="E1" s="1179"/>
      <c r="F1" s="1179"/>
      <c r="G1" s="1179"/>
      <c r="H1" s="1179"/>
      <c r="I1" s="1179"/>
      <c r="J1" s="1179"/>
      <c r="K1" s="1179"/>
      <c r="L1" s="1179"/>
    </row>
    <row r="2" spans="1:14" ht="15.75" thickBot="1">
      <c r="A2" s="1185" t="s">
        <v>412</v>
      </c>
      <c r="B2" s="1185"/>
      <c r="C2" s="1185"/>
      <c r="D2" s="1185"/>
      <c r="E2" s="1185"/>
      <c r="F2" s="1185"/>
      <c r="G2" s="1185"/>
      <c r="H2" s="1185"/>
      <c r="I2" s="1185"/>
      <c r="J2" s="1185"/>
      <c r="K2" s="1185"/>
      <c r="L2" s="1185"/>
      <c r="M2" s="1185"/>
    </row>
    <row r="3" spans="1:14" ht="15.75" thickBot="1">
      <c r="A3" s="1186" t="s">
        <v>516</v>
      </c>
      <c r="B3" s="1188" t="s">
        <v>447</v>
      </c>
      <c r="C3" s="1188"/>
      <c r="D3" s="1188"/>
      <c r="E3" s="1188"/>
      <c r="F3" s="1188" t="s">
        <v>179</v>
      </c>
      <c r="G3" s="1188"/>
      <c r="H3" s="1188"/>
      <c r="I3" s="1188"/>
      <c r="J3" s="1188"/>
      <c r="K3" s="1188"/>
      <c r="L3" s="60"/>
      <c r="M3" s="61"/>
    </row>
    <row r="4" spans="1:14" ht="15.75" thickBot="1">
      <c r="A4" s="1186"/>
      <c r="B4" s="1189"/>
      <c r="C4" s="1189"/>
      <c r="D4" s="1189"/>
      <c r="E4" s="1189"/>
      <c r="F4" s="1190" t="s">
        <v>180</v>
      </c>
      <c r="G4" s="1190"/>
      <c r="H4" s="1190"/>
      <c r="I4" s="1190"/>
      <c r="J4" s="1189"/>
      <c r="K4" s="1189"/>
      <c r="L4" s="62"/>
      <c r="M4" s="61"/>
    </row>
    <row r="5" spans="1:14" ht="25.35" customHeight="1">
      <c r="A5" s="1187"/>
      <c r="B5" s="63" t="s">
        <v>181</v>
      </c>
      <c r="C5" s="63" t="s">
        <v>182</v>
      </c>
      <c r="D5" s="63" t="s">
        <v>413</v>
      </c>
      <c r="E5" s="63" t="s">
        <v>313</v>
      </c>
      <c r="F5" s="63" t="s">
        <v>314</v>
      </c>
      <c r="G5" s="63" t="s">
        <v>539</v>
      </c>
      <c r="H5" s="63" t="s">
        <v>389</v>
      </c>
      <c r="I5" s="63" t="s">
        <v>315</v>
      </c>
      <c r="J5" s="63" t="s">
        <v>253</v>
      </c>
      <c r="K5" s="63" t="s">
        <v>250</v>
      </c>
      <c r="L5" s="64" t="s">
        <v>238</v>
      </c>
      <c r="M5" s="61"/>
    </row>
    <row r="6" spans="1:14">
      <c r="A6" s="65">
        <v>2001</v>
      </c>
      <c r="B6" s="66">
        <v>950</v>
      </c>
      <c r="C6" s="67">
        <v>2228</v>
      </c>
      <c r="D6" s="66">
        <v>90</v>
      </c>
      <c r="E6" s="67">
        <v>3268</v>
      </c>
      <c r="F6" s="66">
        <v>950</v>
      </c>
      <c r="G6" s="66">
        <v>79</v>
      </c>
      <c r="H6" s="66">
        <v>300</v>
      </c>
      <c r="I6" s="67">
        <v>1330</v>
      </c>
      <c r="J6" s="67">
        <v>1062</v>
      </c>
      <c r="K6" s="67">
        <v>2392</v>
      </c>
      <c r="L6" s="68">
        <v>876</v>
      </c>
      <c r="M6" s="69"/>
    </row>
    <row r="7" spans="1:14">
      <c r="A7" s="70">
        <v>2002</v>
      </c>
      <c r="B7" s="71">
        <v>876</v>
      </c>
      <c r="C7" s="72">
        <v>1947</v>
      </c>
      <c r="D7" s="71">
        <v>108</v>
      </c>
      <c r="E7" s="72">
        <v>2931</v>
      </c>
      <c r="F7" s="71">
        <v>926</v>
      </c>
      <c r="G7" s="71">
        <v>83</v>
      </c>
      <c r="H7" s="71">
        <v>182</v>
      </c>
      <c r="I7" s="72">
        <v>1192</v>
      </c>
      <c r="J7" s="71">
        <v>962</v>
      </c>
      <c r="K7" s="72">
        <v>2154</v>
      </c>
      <c r="L7" s="73">
        <v>777</v>
      </c>
      <c r="M7" s="69"/>
    </row>
    <row r="8" spans="1:14">
      <c r="A8" s="70">
        <v>2003</v>
      </c>
      <c r="B8" s="71">
        <v>777</v>
      </c>
      <c r="C8" s="72">
        <v>1606</v>
      </c>
      <c r="D8" s="71">
        <v>77</v>
      </c>
      <c r="E8" s="72">
        <v>2460</v>
      </c>
      <c r="F8" s="71">
        <v>919</v>
      </c>
      <c r="G8" s="71">
        <v>84</v>
      </c>
      <c r="H8" s="71">
        <v>116</v>
      </c>
      <c r="I8" s="72">
        <v>1119</v>
      </c>
      <c r="J8" s="71">
        <v>850</v>
      </c>
      <c r="K8" s="72">
        <v>1969</v>
      </c>
      <c r="L8" s="73">
        <v>491</v>
      </c>
      <c r="M8" s="69"/>
    </row>
    <row r="9" spans="1:14">
      <c r="A9" s="70">
        <v>2004</v>
      </c>
      <c r="B9" s="71">
        <v>491</v>
      </c>
      <c r="C9" s="72">
        <v>2344</v>
      </c>
      <c r="D9" s="71">
        <v>63</v>
      </c>
      <c r="E9" s="72">
        <v>2899</v>
      </c>
      <c r="F9" s="71">
        <v>912</v>
      </c>
      <c r="G9" s="71">
        <v>80</v>
      </c>
      <c r="H9" s="71">
        <v>203</v>
      </c>
      <c r="I9" s="72">
        <v>1194</v>
      </c>
      <c r="J9" s="72">
        <v>1158</v>
      </c>
      <c r="K9" s="72">
        <v>2352</v>
      </c>
      <c r="L9" s="73">
        <v>546</v>
      </c>
      <c r="M9" s="69"/>
    </row>
    <row r="10" spans="1:14">
      <c r="A10" s="70">
        <v>2005</v>
      </c>
      <c r="B10" s="71">
        <v>546</v>
      </c>
      <c r="C10" s="72">
        <v>2157</v>
      </c>
      <c r="D10" s="71">
        <v>71</v>
      </c>
      <c r="E10" s="72">
        <v>2774</v>
      </c>
      <c r="F10" s="71">
        <v>910</v>
      </c>
      <c r="G10" s="71">
        <v>78</v>
      </c>
      <c r="H10" s="71">
        <v>181</v>
      </c>
      <c r="I10" s="72">
        <v>1168</v>
      </c>
      <c r="J10" s="72">
        <v>1066</v>
      </c>
      <c r="K10" s="72">
        <v>2234</v>
      </c>
      <c r="L10" s="73">
        <v>540</v>
      </c>
      <c r="M10" s="69"/>
    </row>
    <row r="11" spans="1:14">
      <c r="A11" s="70">
        <v>2006</v>
      </c>
      <c r="B11" s="71">
        <v>540</v>
      </c>
      <c r="C11" s="72">
        <v>2103</v>
      </c>
      <c r="D11" s="71">
        <v>81</v>
      </c>
      <c r="E11" s="72">
        <v>2725</v>
      </c>
      <c r="F11" s="71">
        <v>917</v>
      </c>
      <c r="G11" s="71">
        <v>77</v>
      </c>
      <c r="H11" s="71">
        <v>157</v>
      </c>
      <c r="I11" s="72">
        <v>1151</v>
      </c>
      <c r="J11" s="72">
        <v>1003</v>
      </c>
      <c r="K11" s="72">
        <v>2154</v>
      </c>
      <c r="L11" s="73">
        <v>571</v>
      </c>
      <c r="M11" s="69"/>
    </row>
    <row r="12" spans="1:14">
      <c r="A12" s="70">
        <v>2007</v>
      </c>
      <c r="B12" s="71">
        <v>571</v>
      </c>
      <c r="C12" s="72">
        <v>1808</v>
      </c>
      <c r="D12" s="71">
        <v>122</v>
      </c>
      <c r="E12" s="72">
        <v>2501</v>
      </c>
      <c r="F12" s="71">
        <v>938</v>
      </c>
      <c r="G12" s="71">
        <v>82</v>
      </c>
      <c r="H12" s="71">
        <v>117</v>
      </c>
      <c r="I12" s="72">
        <v>1137</v>
      </c>
      <c r="J12" s="71">
        <v>908</v>
      </c>
      <c r="K12" s="72">
        <v>2045</v>
      </c>
      <c r="L12" s="73">
        <v>456</v>
      </c>
      <c r="M12" s="69"/>
    </row>
    <row r="13" spans="1:14">
      <c r="A13" s="70">
        <v>2008</v>
      </c>
      <c r="B13" s="71">
        <v>456</v>
      </c>
      <c r="C13" s="72">
        <v>2051</v>
      </c>
      <c r="D13" s="71">
        <v>113</v>
      </c>
      <c r="E13" s="72">
        <v>2620</v>
      </c>
      <c r="F13" s="71">
        <v>948</v>
      </c>
      <c r="G13" s="71">
        <v>88</v>
      </c>
      <c r="H13" s="71">
        <v>16</v>
      </c>
      <c r="I13" s="72">
        <v>1051</v>
      </c>
      <c r="J13" s="72">
        <v>1263</v>
      </c>
      <c r="K13" s="72">
        <v>2314</v>
      </c>
      <c r="L13" s="73">
        <v>306</v>
      </c>
      <c r="M13" s="69"/>
    </row>
    <row r="14" spans="1:14">
      <c r="A14" s="70">
        <v>2009</v>
      </c>
      <c r="B14" s="71">
        <v>306</v>
      </c>
      <c r="C14" s="72">
        <v>2499</v>
      </c>
      <c r="D14" s="71">
        <v>127</v>
      </c>
      <c r="E14" s="72">
        <v>2932</v>
      </c>
      <c r="F14" s="71">
        <v>927</v>
      </c>
      <c r="G14" s="71">
        <v>78</v>
      </c>
      <c r="H14" s="71">
        <v>255</v>
      </c>
      <c r="I14" s="72">
        <v>1260</v>
      </c>
      <c r="J14" s="72">
        <v>1015</v>
      </c>
      <c r="K14" s="72">
        <v>2275</v>
      </c>
      <c r="L14" s="73">
        <v>657</v>
      </c>
      <c r="M14" s="69"/>
    </row>
    <row r="15" spans="1:14">
      <c r="A15" s="70">
        <v>2010</v>
      </c>
      <c r="B15" s="71">
        <v>657</v>
      </c>
      <c r="C15" s="72">
        <v>2218</v>
      </c>
      <c r="D15" s="71">
        <v>119</v>
      </c>
      <c r="E15" s="72">
        <v>2993</v>
      </c>
      <c r="F15" s="71">
        <v>919</v>
      </c>
      <c r="G15" s="71">
        <v>69</v>
      </c>
      <c r="H15" s="71">
        <v>150</v>
      </c>
      <c r="I15" s="72">
        <v>1138</v>
      </c>
      <c r="J15" s="71">
        <v>879</v>
      </c>
      <c r="K15" s="72">
        <v>2018</v>
      </c>
      <c r="L15" s="73">
        <v>976</v>
      </c>
      <c r="M15" s="69"/>
    </row>
    <row r="16" spans="1:14">
      <c r="A16" s="74">
        <v>2011</v>
      </c>
      <c r="B16" s="75">
        <v>976</v>
      </c>
      <c r="C16" s="76">
        <v>2207</v>
      </c>
      <c r="D16" s="75">
        <v>97</v>
      </c>
      <c r="E16" s="76">
        <v>3279</v>
      </c>
      <c r="F16" s="75">
        <v>926</v>
      </c>
      <c r="G16" s="75">
        <v>71</v>
      </c>
      <c r="H16" s="75">
        <v>132</v>
      </c>
      <c r="I16" s="76">
        <v>1128</v>
      </c>
      <c r="J16" s="76">
        <v>1289</v>
      </c>
      <c r="K16" s="76">
        <v>2417</v>
      </c>
      <c r="L16" s="77">
        <v>862</v>
      </c>
      <c r="M16" s="78"/>
      <c r="N16" s="44"/>
    </row>
    <row r="17" spans="1:14" ht="41.1" customHeight="1">
      <c r="A17" s="1182" t="s">
        <v>515</v>
      </c>
      <c r="B17" s="1183"/>
      <c r="C17" s="1183"/>
      <c r="D17" s="1183"/>
      <c r="E17" s="1183"/>
      <c r="F17" s="1183"/>
      <c r="G17" s="1184"/>
      <c r="H17" s="59"/>
      <c r="I17" s="59"/>
      <c r="J17" s="59"/>
      <c r="K17" s="59"/>
      <c r="L17" s="52"/>
      <c r="M17" s="54"/>
      <c r="N17" s="54"/>
    </row>
    <row r="18" spans="1:14" ht="12" customHeight="1">
      <c r="A18" s="1180" t="s">
        <v>380</v>
      </c>
      <c r="B18" s="1181"/>
      <c r="C18" s="1181"/>
      <c r="D18" s="55"/>
      <c r="E18" s="55"/>
      <c r="F18" s="55"/>
      <c r="G18" s="58"/>
      <c r="H18" s="57"/>
      <c r="I18" s="57"/>
      <c r="J18" s="57"/>
      <c r="K18" s="57"/>
      <c r="L18" s="57"/>
      <c r="M18" s="56"/>
      <c r="N18" s="53"/>
    </row>
    <row r="19" spans="1:14">
      <c r="G19" s="79"/>
      <c r="H19" s="82"/>
    </row>
    <row r="20" spans="1:14" ht="18">
      <c r="E20" s="138" t="s">
        <v>376</v>
      </c>
      <c r="G20" s="79" t="s">
        <v>451</v>
      </c>
      <c r="H20" s="80">
        <f>AVERAGE(H6:H12,H14:H16)</f>
        <v>179.3</v>
      </c>
    </row>
    <row r="21" spans="1:14" ht="18">
      <c r="G21" s="79" t="s">
        <v>441</v>
      </c>
      <c r="H21" s="81">
        <f>H20*60*0.89</f>
        <v>9574.6200000000008</v>
      </c>
    </row>
    <row r="22" spans="1:14" ht="18">
      <c r="G22" s="79" t="s">
        <v>453</v>
      </c>
      <c r="H22" s="80">
        <f>STDEV(H8:H14,H16:H18)</f>
        <v>71.015969029105392</v>
      </c>
    </row>
    <row r="23" spans="1:14" ht="18">
      <c r="G23" s="79" t="s">
        <v>188</v>
      </c>
      <c r="H23" s="83">
        <f>60*H22</f>
        <v>4260.9581417463232</v>
      </c>
    </row>
    <row r="24" spans="1:14" ht="18">
      <c r="G24" s="84" t="s">
        <v>452</v>
      </c>
      <c r="H24" s="85">
        <f>H21</f>
        <v>9574.6200000000008</v>
      </c>
    </row>
    <row r="25" spans="1:14" ht="18">
      <c r="G25" s="86" t="s">
        <v>534</v>
      </c>
      <c r="H25" s="87">
        <f>H24-H23</f>
        <v>5313.6618582536776</v>
      </c>
    </row>
    <row r="26" spans="1:14" ht="18">
      <c r="G26" s="88" t="s">
        <v>410</v>
      </c>
      <c r="H26" s="89">
        <f>H24+H23</f>
        <v>13835.578141746324</v>
      </c>
    </row>
  </sheetData>
  <mergeCells count="10">
    <mergeCell ref="A1:L1"/>
    <mergeCell ref="A18:C18"/>
    <mergeCell ref="A17:G17"/>
    <mergeCell ref="A2:M2"/>
    <mergeCell ref="A3:A5"/>
    <mergeCell ref="B3:E3"/>
    <mergeCell ref="F3:K3"/>
    <mergeCell ref="B4:E4"/>
    <mergeCell ref="F4:I4"/>
    <mergeCell ref="J4:K4"/>
  </mergeCells>
  <phoneticPr fontId="14" type="noConversion"/>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Q61"/>
  <sheetViews>
    <sheetView workbookViewId="0">
      <selection sqref="A1:Q1"/>
    </sheetView>
  </sheetViews>
  <sheetFormatPr defaultColWidth="11.5546875" defaultRowHeight="15"/>
  <cols>
    <col min="2" max="2" width="27.44140625" customWidth="1"/>
    <col min="4" max="4" width="31.44140625" customWidth="1"/>
    <col min="5" max="5" width="17.44140625" customWidth="1"/>
    <col min="6" max="6" width="6" customWidth="1"/>
  </cols>
  <sheetData>
    <row r="1" spans="1:17" ht="18">
      <c r="A1" s="1191" t="s">
        <v>569</v>
      </c>
      <c r="B1" s="1191"/>
      <c r="C1" s="1191"/>
      <c r="D1" s="1191"/>
      <c r="E1" s="1191"/>
      <c r="F1" s="1191"/>
      <c r="G1" s="1191"/>
      <c r="H1" s="1191"/>
      <c r="I1" s="1191"/>
      <c r="J1" s="1191"/>
      <c r="K1" s="1191"/>
      <c r="L1" s="1191"/>
      <c r="M1" s="1191"/>
      <c r="N1" s="1191"/>
      <c r="O1" s="1191"/>
      <c r="P1" s="1191"/>
      <c r="Q1" s="1191"/>
    </row>
    <row r="2" spans="1:17" ht="18">
      <c r="A2" s="9"/>
      <c r="B2" s="9"/>
      <c r="C2" s="9"/>
      <c r="D2" s="9"/>
      <c r="E2" s="9"/>
      <c r="F2" s="9"/>
      <c r="G2" s="9"/>
      <c r="H2" s="9"/>
      <c r="I2" s="9"/>
      <c r="J2" s="9"/>
      <c r="K2" s="9"/>
      <c r="L2" s="9"/>
      <c r="M2" s="3"/>
      <c r="N2" s="3"/>
      <c r="O2" s="3"/>
      <c r="P2" s="3"/>
      <c r="Q2" s="3"/>
    </row>
    <row r="3" spans="1:17" s="69" customFormat="1">
      <c r="A3" s="361"/>
      <c r="B3" s="361"/>
      <c r="C3" s="361"/>
      <c r="D3" s="362" t="s">
        <v>304</v>
      </c>
      <c r="E3" s="363"/>
      <c r="F3" s="363"/>
      <c r="G3" s="361"/>
      <c r="H3" s="361"/>
      <c r="I3" s="361"/>
      <c r="J3" s="361"/>
      <c r="K3" s="361"/>
      <c r="L3" s="361"/>
      <c r="M3" s="364"/>
    </row>
    <row r="4" spans="1:17" s="69" customFormat="1">
      <c r="A4" s="365"/>
      <c r="B4" s="365"/>
      <c r="C4" s="366" t="s">
        <v>305</v>
      </c>
      <c r="D4" s="367" t="s">
        <v>306</v>
      </c>
      <c r="E4" s="368"/>
      <c r="F4" s="369"/>
      <c r="G4" s="370"/>
      <c r="H4" s="370"/>
      <c r="I4" s="370"/>
      <c r="J4" s="370"/>
      <c r="K4" s="370"/>
      <c r="L4" s="370"/>
    </row>
    <row r="5" spans="1:17" s="69" customFormat="1" ht="18" customHeight="1">
      <c r="A5" s="371" t="s">
        <v>184</v>
      </c>
      <c r="B5" s="371" t="s">
        <v>249</v>
      </c>
      <c r="C5" s="372" t="s">
        <v>111</v>
      </c>
      <c r="D5" s="373" t="s">
        <v>307</v>
      </c>
      <c r="E5" s="374"/>
      <c r="F5" s="369"/>
      <c r="G5" s="370"/>
      <c r="H5" s="370"/>
      <c r="I5" s="370"/>
      <c r="J5" s="370"/>
      <c r="K5" s="370"/>
      <c r="L5" s="370"/>
    </row>
    <row r="6" spans="1:17" s="357" customFormat="1" ht="18" customHeight="1">
      <c r="A6" s="360"/>
      <c r="B6" s="360"/>
      <c r="C6" s="42"/>
      <c r="D6" s="48"/>
      <c r="E6" s="42"/>
      <c r="F6" s="41"/>
      <c r="G6" s="7"/>
      <c r="H6" s="7"/>
      <c r="I6" s="7"/>
      <c r="J6" s="10"/>
      <c r="K6" s="10"/>
      <c r="L6" s="10"/>
    </row>
    <row r="7" spans="1:17" s="120" customFormat="1" ht="18" customHeight="1">
      <c r="A7" s="122" t="s">
        <v>322</v>
      </c>
      <c r="B7" s="121" t="s">
        <v>321</v>
      </c>
      <c r="C7" s="42"/>
      <c r="D7" s="48">
        <f>AVERAGE(27305,30148,27898,27796,27467)*0.9</f>
        <v>25310.52</v>
      </c>
      <c r="E7" s="42"/>
      <c r="F7" s="41"/>
      <c r="G7" s="7"/>
      <c r="H7" s="7"/>
      <c r="I7" s="7"/>
      <c r="J7" s="10"/>
      <c r="K7" s="10"/>
      <c r="L7" s="10"/>
    </row>
    <row r="8" spans="1:17" s="120" customFormat="1" ht="18" customHeight="1">
      <c r="A8" s="122" t="s">
        <v>322</v>
      </c>
      <c r="B8" s="121" t="s">
        <v>323</v>
      </c>
      <c r="C8" s="42"/>
      <c r="D8" s="48">
        <f>AVERAGE(2766,2349,1639,1592,2225)*0.9</f>
        <v>1902.78</v>
      </c>
      <c r="E8" s="42"/>
      <c r="F8" s="41"/>
      <c r="G8" s="7"/>
      <c r="H8" s="7"/>
      <c r="I8" s="7"/>
      <c r="J8" s="10"/>
      <c r="K8" s="10"/>
      <c r="L8" s="10"/>
    </row>
    <row r="9" spans="1:17" s="120" customFormat="1" ht="18" customHeight="1">
      <c r="A9" s="122" t="s">
        <v>322</v>
      </c>
      <c r="B9" s="121" t="s">
        <v>324</v>
      </c>
      <c r="C9" s="42"/>
      <c r="D9" s="48">
        <f>AVERAGE(1992,2343,2291,1806,2719)*0.9</f>
        <v>2007.1799999999998</v>
      </c>
      <c r="E9" s="42"/>
      <c r="F9" s="41"/>
      <c r="G9" s="7"/>
      <c r="H9" s="7"/>
      <c r="I9" s="7"/>
      <c r="J9" s="10"/>
      <c r="K9" s="10"/>
      <c r="L9" s="10"/>
    </row>
    <row r="10" spans="1:17" s="120" customFormat="1" ht="18" customHeight="1">
      <c r="A10" s="122" t="s">
        <v>322</v>
      </c>
      <c r="B10" s="121" t="s">
        <v>325</v>
      </c>
      <c r="C10" s="42"/>
      <c r="D10" s="48">
        <f>AVERAGE(249,190,117,190,190)*0.9</f>
        <v>168.48</v>
      </c>
      <c r="E10" s="42"/>
      <c r="F10" s="41"/>
      <c r="G10" s="7"/>
      <c r="H10" s="7"/>
      <c r="I10" s="7"/>
      <c r="J10" s="10"/>
      <c r="K10" s="10"/>
      <c r="L10" s="10"/>
    </row>
    <row r="11" spans="1:17" s="120" customFormat="1" ht="18" customHeight="1">
      <c r="A11" s="122" t="s">
        <v>322</v>
      </c>
      <c r="B11" s="121" t="s">
        <v>391</v>
      </c>
      <c r="C11" s="42"/>
      <c r="D11" s="48">
        <f>AVERAGE(108,105,93,83,102)*0.9</f>
        <v>88.38000000000001</v>
      </c>
      <c r="E11" s="42"/>
      <c r="F11" s="41"/>
      <c r="G11" s="7"/>
      <c r="H11" s="7"/>
      <c r="I11" s="7"/>
      <c r="J11" s="10"/>
      <c r="K11" s="10"/>
      <c r="L11" s="10"/>
    </row>
    <row r="12" spans="1:17" s="120" customFormat="1" ht="18" customHeight="1">
      <c r="A12" s="122" t="s">
        <v>322</v>
      </c>
      <c r="B12" s="121" t="s">
        <v>392</v>
      </c>
      <c r="C12" s="42"/>
      <c r="D12" s="48">
        <f>AVERAGE(323,311,327,368,249)*0.9</f>
        <v>284.04000000000002</v>
      </c>
      <c r="E12" s="42"/>
      <c r="F12" s="41"/>
      <c r="G12" s="7"/>
      <c r="H12" s="7"/>
      <c r="I12" s="7"/>
      <c r="J12" s="10"/>
      <c r="K12" s="10"/>
      <c r="L12" s="10"/>
    </row>
    <row r="13" spans="1:17" s="120" customFormat="1" ht="18" customHeight="1">
      <c r="A13" s="122" t="s">
        <v>322</v>
      </c>
      <c r="B13" s="121" t="s">
        <v>393</v>
      </c>
      <c r="C13" s="42"/>
      <c r="D13" s="48">
        <f>AVERAGE(2154,2147,2088,2049,2010)*0.9</f>
        <v>1880.6399999999999</v>
      </c>
      <c r="E13" s="42"/>
      <c r="F13" s="41"/>
      <c r="G13" s="7"/>
      <c r="H13" s="7"/>
      <c r="I13" s="7"/>
      <c r="J13" s="10"/>
      <c r="K13" s="10"/>
      <c r="L13" s="10"/>
    </row>
    <row r="14" spans="1:17" s="120" customFormat="1" ht="18" customHeight="1">
      <c r="A14" s="122" t="s">
        <v>322</v>
      </c>
      <c r="B14" s="121" t="s">
        <v>543</v>
      </c>
      <c r="C14" s="42"/>
      <c r="D14" s="48">
        <f>AVERAGE(194,178,165,161,270)*0.9</f>
        <v>174.24</v>
      </c>
      <c r="E14" s="42"/>
      <c r="F14" s="41"/>
      <c r="G14" s="7"/>
      <c r="H14" s="7"/>
      <c r="I14" s="7"/>
      <c r="J14" s="10"/>
      <c r="K14" s="10"/>
      <c r="L14" s="10"/>
    </row>
    <row r="15" spans="1:17" s="120" customFormat="1" ht="18" customHeight="1">
      <c r="A15" s="122" t="s">
        <v>322</v>
      </c>
      <c r="B15" s="121" t="s">
        <v>544</v>
      </c>
      <c r="C15" s="42"/>
      <c r="D15" s="48">
        <f>AVERAGE(285,326,324,227,225)*0.9</f>
        <v>249.66</v>
      </c>
      <c r="E15" s="42"/>
      <c r="F15" s="41"/>
      <c r="G15" s="7"/>
      <c r="H15" s="7"/>
      <c r="I15" s="7"/>
      <c r="J15" s="10"/>
      <c r="K15" s="10"/>
      <c r="L15" s="10"/>
    </row>
    <row r="16" spans="1:17" ht="18" customHeight="1">
      <c r="A16" s="5">
        <v>2006</v>
      </c>
      <c r="B16" s="5" t="s">
        <v>450</v>
      </c>
      <c r="C16" s="6">
        <v>4194.2122034187596</v>
      </c>
      <c r="D16" s="8"/>
      <c r="E16" s="41"/>
      <c r="F16" s="41"/>
      <c r="G16" s="7"/>
      <c r="H16" s="7"/>
      <c r="I16" s="7"/>
      <c r="J16" s="10"/>
      <c r="K16" s="10"/>
      <c r="L16" s="10"/>
    </row>
    <row r="17" spans="1:12" ht="18" customHeight="1">
      <c r="A17" s="5">
        <v>2007</v>
      </c>
      <c r="B17" s="5" t="s">
        <v>450</v>
      </c>
      <c r="C17" s="6">
        <v>4136.6513270744399</v>
      </c>
      <c r="D17" s="8"/>
      <c r="E17" s="41"/>
      <c r="F17" s="41"/>
      <c r="G17" s="7"/>
      <c r="H17" s="7"/>
      <c r="I17" s="7"/>
      <c r="J17" s="10"/>
      <c r="K17" s="10"/>
      <c r="L17" s="10"/>
    </row>
    <row r="18" spans="1:12" ht="18" customHeight="1">
      <c r="A18" s="5">
        <v>2008</v>
      </c>
      <c r="B18" s="5" t="s">
        <v>450</v>
      </c>
      <c r="C18" s="6">
        <v>4686.96274876391</v>
      </c>
      <c r="D18" s="8"/>
      <c r="E18" s="41"/>
      <c r="F18" s="41"/>
      <c r="G18" s="7"/>
      <c r="H18" s="7"/>
      <c r="I18" s="7"/>
      <c r="J18" s="10"/>
      <c r="K18" s="10"/>
      <c r="L18" s="10"/>
    </row>
    <row r="19" spans="1:12" ht="18" customHeight="1">
      <c r="A19" s="5">
        <v>2009</v>
      </c>
      <c r="B19" s="5" t="s">
        <v>450</v>
      </c>
      <c r="C19" s="6">
        <v>4710.3418177526501</v>
      </c>
      <c r="D19" s="8"/>
      <c r="E19" s="41"/>
      <c r="F19" s="41"/>
      <c r="G19" s="146" t="s">
        <v>344</v>
      </c>
      <c r="H19" s="7"/>
      <c r="I19" s="7"/>
      <c r="J19" s="10"/>
      <c r="K19" s="10"/>
      <c r="L19" s="10"/>
    </row>
    <row r="20" spans="1:12" ht="18" customHeight="1">
      <c r="A20" s="5">
        <v>2010</v>
      </c>
      <c r="B20" s="4" t="s">
        <v>450</v>
      </c>
      <c r="C20" s="6">
        <v>4547.2662110181</v>
      </c>
      <c r="D20" s="49">
        <f>AVERAGE(C16:C20)*0.9</f>
        <v>4009.5781754450149</v>
      </c>
      <c r="E20" s="43"/>
      <c r="F20" s="44"/>
      <c r="G20" s="11" t="s">
        <v>109</v>
      </c>
      <c r="H20" s="7"/>
      <c r="I20" s="7"/>
      <c r="J20" s="10"/>
      <c r="K20" s="10"/>
      <c r="L20" s="10"/>
    </row>
    <row r="21" spans="1:12" ht="18" customHeight="1">
      <c r="A21" s="5">
        <v>2006</v>
      </c>
      <c r="B21" s="5" t="s">
        <v>533</v>
      </c>
      <c r="C21" s="6">
        <v>6218.4886496720701</v>
      </c>
      <c r="D21" s="50"/>
      <c r="E21" s="43"/>
      <c r="F21" s="41"/>
      <c r="G21" s="7"/>
      <c r="H21" s="7"/>
      <c r="I21" s="7"/>
      <c r="J21" s="10"/>
      <c r="K21" s="10"/>
      <c r="L21" s="10"/>
    </row>
    <row r="22" spans="1:12" ht="18" customHeight="1">
      <c r="A22" s="5">
        <v>2007</v>
      </c>
      <c r="B22" s="5" t="s">
        <v>533</v>
      </c>
      <c r="C22" s="6">
        <v>6119.1264281383901</v>
      </c>
      <c r="D22" s="50"/>
      <c r="E22" s="43"/>
      <c r="F22" s="41"/>
      <c r="G22" s="7"/>
      <c r="H22" s="7"/>
      <c r="I22" s="7"/>
      <c r="J22" s="10"/>
      <c r="K22" s="10"/>
      <c r="L22" s="10"/>
    </row>
    <row r="23" spans="1:12" ht="18" customHeight="1">
      <c r="A23" s="5">
        <v>2008</v>
      </c>
      <c r="B23" s="5" t="s">
        <v>533</v>
      </c>
      <c r="C23" s="6">
        <v>5928.2926473562202</v>
      </c>
      <c r="D23" s="50"/>
      <c r="E23" s="45"/>
      <c r="F23" s="41"/>
      <c r="G23" s="7"/>
      <c r="H23" s="7"/>
      <c r="I23" s="7"/>
      <c r="J23" s="10"/>
      <c r="K23" s="10"/>
      <c r="L23" s="10"/>
    </row>
    <row r="24" spans="1:12" ht="18" customHeight="1">
      <c r="A24" s="5">
        <v>2009</v>
      </c>
      <c r="B24" s="5" t="s">
        <v>533</v>
      </c>
      <c r="C24" s="6">
        <v>5795.0117908920402</v>
      </c>
      <c r="D24" s="50"/>
      <c r="E24" s="43"/>
      <c r="F24" s="41"/>
      <c r="G24" s="7"/>
      <c r="H24" s="7"/>
      <c r="I24" s="7"/>
      <c r="J24" s="10"/>
      <c r="K24" s="10"/>
      <c r="L24" s="10"/>
    </row>
    <row r="25" spans="1:12" ht="18" customHeight="1">
      <c r="A25" s="5">
        <v>2010</v>
      </c>
      <c r="B25" s="4" t="s">
        <v>533</v>
      </c>
      <c r="C25" s="5">
        <v>5128</v>
      </c>
      <c r="D25" s="49">
        <f>AVERAGE(C21:C25)*0.9</f>
        <v>5254.0055128905706</v>
      </c>
      <c r="E25" s="43"/>
      <c r="F25" s="41"/>
      <c r="G25" s="7" t="s">
        <v>377</v>
      </c>
      <c r="H25" s="7"/>
      <c r="I25" s="7"/>
      <c r="J25" s="10"/>
      <c r="K25" s="10"/>
      <c r="L25" s="10"/>
    </row>
    <row r="26" spans="1:12" ht="18" customHeight="1">
      <c r="A26" s="5">
        <v>2006</v>
      </c>
      <c r="B26" s="5" t="s">
        <v>227</v>
      </c>
      <c r="C26" s="6">
        <v>496.73549537018198</v>
      </c>
      <c r="D26" s="50"/>
      <c r="E26" s="43"/>
      <c r="F26" s="41"/>
      <c r="G26" s="7"/>
      <c r="H26" s="7"/>
      <c r="I26" s="7"/>
      <c r="J26" s="10"/>
      <c r="K26" s="10"/>
      <c r="L26" s="10"/>
    </row>
    <row r="27" spans="1:12" ht="18" customHeight="1">
      <c r="A27" s="5">
        <v>2007</v>
      </c>
      <c r="B27" s="5" t="s">
        <v>227</v>
      </c>
      <c r="C27" s="6">
        <v>510.60159917754601</v>
      </c>
      <c r="D27" s="50"/>
      <c r="E27" s="43"/>
      <c r="F27" s="41"/>
      <c r="G27" s="7"/>
      <c r="H27" s="7"/>
      <c r="I27" s="7"/>
      <c r="J27" s="10"/>
      <c r="K27" s="10"/>
      <c r="L27" s="10"/>
    </row>
    <row r="28" spans="1:12" ht="18" customHeight="1">
      <c r="A28" s="5">
        <v>2008</v>
      </c>
      <c r="B28" s="5" t="s">
        <v>227</v>
      </c>
      <c r="C28" s="6">
        <v>559.59831635173805</v>
      </c>
      <c r="D28" s="50"/>
      <c r="E28" s="43"/>
      <c r="F28" s="41"/>
      <c r="G28" s="7"/>
      <c r="H28" s="7"/>
      <c r="I28" s="7"/>
      <c r="J28" s="10"/>
      <c r="K28" s="10"/>
      <c r="L28" s="10"/>
    </row>
    <row r="29" spans="1:12" ht="18" customHeight="1">
      <c r="A29" s="5">
        <v>2009</v>
      </c>
      <c r="B29" s="5" t="s">
        <v>227</v>
      </c>
      <c r="C29" s="6">
        <v>513.43494724356401</v>
      </c>
      <c r="D29" s="50"/>
      <c r="E29" s="43"/>
      <c r="F29" s="41"/>
      <c r="G29" s="7"/>
      <c r="H29" s="7"/>
      <c r="I29" s="7"/>
      <c r="J29" s="10"/>
      <c r="K29" s="10"/>
      <c r="L29" s="10"/>
    </row>
    <row r="30" spans="1:12" ht="18" customHeight="1">
      <c r="A30" s="5">
        <v>2010</v>
      </c>
      <c r="B30" s="4" t="s">
        <v>227</v>
      </c>
      <c r="C30" s="5">
        <v>525</v>
      </c>
      <c r="D30" s="49">
        <f>AVERAGE(C26:C30)*0.9</f>
        <v>468.96666446574545</v>
      </c>
      <c r="E30" s="43"/>
      <c r="F30" s="41"/>
      <c r="G30" s="7" t="s">
        <v>378</v>
      </c>
      <c r="H30" s="7"/>
      <c r="I30" s="7"/>
      <c r="J30" s="10"/>
      <c r="K30" s="10"/>
      <c r="L30" s="10"/>
    </row>
    <row r="31" spans="1:12" ht="18" customHeight="1">
      <c r="A31" s="5">
        <v>2006</v>
      </c>
      <c r="B31" s="5" t="s">
        <v>234</v>
      </c>
      <c r="C31" s="6">
        <v>1353.5473548888999</v>
      </c>
      <c r="D31" s="50"/>
      <c r="E31" s="43"/>
      <c r="F31" s="41"/>
      <c r="G31" s="7"/>
      <c r="H31" s="7"/>
      <c r="I31" s="7"/>
      <c r="J31" s="10"/>
      <c r="K31" s="10"/>
      <c r="L31" s="10"/>
    </row>
    <row r="32" spans="1:12" ht="18" customHeight="1">
      <c r="A32" s="5">
        <v>2007</v>
      </c>
      <c r="B32" s="5" t="s">
        <v>234</v>
      </c>
      <c r="C32" s="6">
        <v>1300.8237497155001</v>
      </c>
      <c r="D32" s="50"/>
      <c r="E32" s="43"/>
      <c r="F32" s="41"/>
      <c r="G32" s="7"/>
      <c r="H32" s="7"/>
      <c r="I32" s="7"/>
      <c r="J32" s="10"/>
      <c r="K32" s="10"/>
      <c r="L32" s="10"/>
    </row>
    <row r="33" spans="1:12" ht="18" customHeight="1">
      <c r="A33" s="5">
        <v>2008</v>
      </c>
      <c r="B33" s="5" t="s">
        <v>234</v>
      </c>
      <c r="C33" s="6">
        <v>1081.4039190000001</v>
      </c>
      <c r="D33" s="50"/>
      <c r="E33" s="43"/>
      <c r="F33" s="41"/>
      <c r="G33" s="7"/>
      <c r="H33" s="7"/>
      <c r="I33" s="7"/>
      <c r="J33" s="10"/>
      <c r="K33" s="10"/>
      <c r="L33" s="10"/>
    </row>
    <row r="34" spans="1:12" ht="18" customHeight="1">
      <c r="A34" s="5">
        <v>2009</v>
      </c>
      <c r="B34" s="5" t="s">
        <v>234</v>
      </c>
      <c r="C34" s="6">
        <v>877.77738901999999</v>
      </c>
      <c r="D34" s="50"/>
      <c r="E34" s="43"/>
      <c r="F34" s="41"/>
      <c r="G34" s="7"/>
      <c r="H34" s="7"/>
      <c r="I34" s="7"/>
      <c r="J34" s="10"/>
      <c r="K34" s="10"/>
      <c r="L34" s="10"/>
    </row>
    <row r="35" spans="1:12" ht="18" customHeight="1">
      <c r="A35" s="5">
        <v>2010</v>
      </c>
      <c r="B35" s="4" t="s">
        <v>234</v>
      </c>
      <c r="C35" s="5">
        <v>905</v>
      </c>
      <c r="D35" s="49">
        <f>AVERAGE(C31:C35)*0.9</f>
        <v>993.33943427239205</v>
      </c>
      <c r="E35" s="43"/>
      <c r="F35" s="41"/>
      <c r="G35" s="7" t="s">
        <v>108</v>
      </c>
      <c r="H35" s="7"/>
      <c r="I35" s="7"/>
      <c r="J35" s="10"/>
      <c r="K35" s="10"/>
      <c r="L35" s="10"/>
    </row>
    <row r="36" spans="1:12" ht="18" customHeight="1">
      <c r="A36" s="5">
        <v>2006</v>
      </c>
      <c r="B36" s="5" t="s">
        <v>379</v>
      </c>
      <c r="C36" s="6">
        <v>1582.7449999999999</v>
      </c>
      <c r="D36" s="50"/>
      <c r="E36" s="43"/>
      <c r="F36" s="41"/>
      <c r="G36" s="7"/>
      <c r="H36" s="7"/>
      <c r="I36" s="7"/>
      <c r="J36" s="10"/>
      <c r="K36" s="10"/>
      <c r="L36" s="10"/>
    </row>
    <row r="37" spans="1:12" ht="18" customHeight="1">
      <c r="A37" s="5">
        <v>2007</v>
      </c>
      <c r="B37" s="5" t="s">
        <v>445</v>
      </c>
      <c r="C37" s="6">
        <v>1587.5740000000001</v>
      </c>
      <c r="D37" s="50"/>
      <c r="E37" s="43"/>
      <c r="F37" s="41"/>
      <c r="G37" s="7"/>
      <c r="H37" s="7"/>
      <c r="I37" s="7"/>
      <c r="J37" s="10"/>
      <c r="K37" s="10"/>
      <c r="L37" s="10"/>
    </row>
    <row r="38" spans="1:12" ht="18" customHeight="1">
      <c r="A38" s="5">
        <v>2008</v>
      </c>
      <c r="B38" s="5" t="s">
        <v>446</v>
      </c>
      <c r="C38" s="6">
        <v>1592.1096680000001</v>
      </c>
      <c r="D38" s="50"/>
      <c r="E38" s="43"/>
      <c r="F38" s="41"/>
      <c r="G38" s="7"/>
      <c r="H38" s="7"/>
      <c r="I38" s="7"/>
      <c r="J38" s="10"/>
      <c r="K38" s="10"/>
      <c r="L38" s="10"/>
    </row>
    <row r="39" spans="1:12" ht="18" customHeight="1">
      <c r="A39" s="5">
        <v>2009</v>
      </c>
      <c r="B39" s="5" t="s">
        <v>248</v>
      </c>
      <c r="C39" s="6">
        <v>1596.65</v>
      </c>
      <c r="D39" s="50"/>
      <c r="E39" s="43"/>
      <c r="F39" s="41"/>
      <c r="G39" s="7" t="s">
        <v>545</v>
      </c>
      <c r="H39" s="7"/>
      <c r="I39" s="7"/>
      <c r="J39" s="10"/>
      <c r="K39" s="10"/>
      <c r="L39" s="10"/>
    </row>
    <row r="40" spans="1:12" ht="18" customHeight="1">
      <c r="A40" s="5">
        <v>2010</v>
      </c>
      <c r="B40" s="4" t="s">
        <v>247</v>
      </c>
      <c r="C40" s="5">
        <v>1600</v>
      </c>
      <c r="D40" s="49">
        <f>AVERAGE(C36:C40)*0.9</f>
        <v>1432.63416024</v>
      </c>
      <c r="E40" s="43"/>
      <c r="F40" s="41"/>
      <c r="G40" s="7" t="s">
        <v>444</v>
      </c>
      <c r="H40" s="7"/>
      <c r="I40" s="7"/>
      <c r="J40" s="10"/>
      <c r="K40" s="10"/>
      <c r="L40" s="10"/>
    </row>
    <row r="41" spans="1:12" ht="18" customHeight="1">
      <c r="A41" s="5"/>
      <c r="D41" s="50"/>
      <c r="E41" s="43"/>
      <c r="F41" s="41"/>
      <c r="G41" s="7" t="s">
        <v>332</v>
      </c>
      <c r="H41" s="7"/>
      <c r="I41" s="7"/>
      <c r="J41" s="10"/>
      <c r="K41" s="10"/>
      <c r="L41" s="10"/>
    </row>
    <row r="42" spans="1:12" ht="18" customHeight="1">
      <c r="A42" s="5"/>
      <c r="B42" s="145" t="s">
        <v>375</v>
      </c>
      <c r="C42" s="51">
        <f>SUM(D7:D40)</f>
        <v>44224.443947313732</v>
      </c>
      <c r="D42" s="50"/>
      <c r="E42" s="43"/>
      <c r="F42" s="41"/>
      <c r="G42" s="7"/>
      <c r="H42" s="7"/>
      <c r="I42" s="7"/>
      <c r="J42" s="10"/>
      <c r="K42" s="10"/>
      <c r="L42" s="10"/>
    </row>
    <row r="43" spans="1:12" ht="18" customHeight="1">
      <c r="A43" s="5"/>
      <c r="D43" s="50"/>
      <c r="E43" s="43"/>
      <c r="F43" s="41"/>
      <c r="G43" s="7"/>
      <c r="H43" s="7"/>
      <c r="I43" s="7"/>
      <c r="J43" s="10"/>
      <c r="K43" s="10"/>
      <c r="L43" s="10"/>
    </row>
    <row r="44" spans="1:12" ht="18" customHeight="1">
      <c r="A44" s="5"/>
      <c r="B44" s="5"/>
      <c r="C44" s="6"/>
      <c r="D44" s="50"/>
      <c r="E44" s="43"/>
      <c r="F44" s="41"/>
      <c r="G44" s="7"/>
      <c r="H44" s="7"/>
      <c r="I44" s="7"/>
      <c r="J44" s="10"/>
      <c r="K44" s="10"/>
      <c r="L44" s="10"/>
    </row>
    <row r="45" spans="1:12" ht="18" customHeight="1">
      <c r="A45" s="5"/>
      <c r="B45" s="4"/>
      <c r="C45" s="5"/>
      <c r="E45" s="43"/>
      <c r="F45" s="46"/>
      <c r="G45" s="7" t="s">
        <v>479</v>
      </c>
      <c r="H45" s="7"/>
      <c r="I45" s="7"/>
      <c r="J45" s="10"/>
      <c r="K45" s="10"/>
      <c r="L45" s="10"/>
    </row>
    <row r="46" spans="1:12" ht="18" customHeight="1" thickBot="1">
      <c r="A46" s="7"/>
      <c r="B46" s="145"/>
      <c r="C46" s="6"/>
      <c r="D46" s="7"/>
      <c r="E46" s="43"/>
      <c r="F46" s="46"/>
      <c r="G46" s="7"/>
      <c r="H46" s="7"/>
      <c r="I46" s="7"/>
      <c r="J46" s="10"/>
      <c r="K46" s="10"/>
      <c r="L46" s="10"/>
    </row>
    <row r="47" spans="1:12" ht="18" customHeight="1">
      <c r="A47" s="1192" t="s">
        <v>343</v>
      </c>
      <c r="B47" s="1193"/>
      <c r="C47" s="33" t="s">
        <v>112</v>
      </c>
      <c r="D47" s="38">
        <f>SUM(D7:D45)*2.205</f>
        <v>97514.898903826775</v>
      </c>
      <c r="E47" s="43"/>
      <c r="F47" s="41"/>
      <c r="G47" s="7"/>
      <c r="H47" s="7"/>
      <c r="I47" s="7"/>
      <c r="J47" s="10"/>
      <c r="K47" s="10"/>
      <c r="L47" s="10"/>
    </row>
    <row r="48" spans="1:12" ht="18" customHeight="1">
      <c r="A48" s="1194"/>
      <c r="B48" s="1195"/>
      <c r="C48" s="32" t="s">
        <v>492</v>
      </c>
      <c r="D48" s="39">
        <f>D47-2*STDEV(D7:D45)</f>
        <v>84396.990776104125</v>
      </c>
      <c r="E48" s="43"/>
      <c r="F48" s="47"/>
      <c r="G48" s="10"/>
      <c r="H48" s="10"/>
      <c r="I48" s="10"/>
      <c r="J48" s="10"/>
      <c r="K48" s="10"/>
      <c r="L48" s="10"/>
    </row>
    <row r="49" spans="1:12" ht="18.75" thickBot="1">
      <c r="A49" s="1196"/>
      <c r="B49" s="1197"/>
      <c r="C49" s="34" t="s">
        <v>493</v>
      </c>
      <c r="D49" s="40">
        <f>D47+2*STDEV(D7:D45)</f>
        <v>110632.80703154943</v>
      </c>
      <c r="E49" s="10"/>
      <c r="F49" s="10"/>
      <c r="G49" s="10"/>
      <c r="H49" s="10"/>
      <c r="I49" s="10"/>
      <c r="J49" s="10"/>
      <c r="K49" s="10"/>
      <c r="L49" s="10"/>
    </row>
    <row r="50" spans="1:12" ht="20.100000000000001" customHeight="1">
      <c r="A50" s="10"/>
      <c r="B50" s="10"/>
      <c r="C50" s="10" t="s">
        <v>186</v>
      </c>
      <c r="D50" s="117">
        <f>STDEV(D7:D45)</f>
        <v>6558.9540638613244</v>
      </c>
      <c r="F50" s="10"/>
      <c r="G50" s="10"/>
      <c r="H50" s="10"/>
      <c r="I50" s="10"/>
      <c r="J50" s="10"/>
      <c r="K50" s="10"/>
      <c r="L50" s="10"/>
    </row>
    <row r="51" spans="1:12" ht="15" customHeight="1">
      <c r="A51" s="10"/>
      <c r="B51" s="10"/>
      <c r="C51" s="10"/>
      <c r="D51" s="10"/>
      <c r="E51" s="10"/>
      <c r="F51" s="10"/>
      <c r="G51" s="10"/>
      <c r="H51" s="10"/>
      <c r="I51" s="10"/>
      <c r="J51" s="10"/>
      <c r="K51" s="10"/>
      <c r="L51" s="10"/>
    </row>
    <row r="52" spans="1:12" ht="15" customHeight="1">
      <c r="A52" s="10"/>
      <c r="B52" s="10"/>
      <c r="C52" s="10"/>
      <c r="D52" s="10"/>
      <c r="E52" s="10"/>
      <c r="F52" s="10"/>
      <c r="G52" s="10"/>
      <c r="H52" s="10"/>
      <c r="I52" s="10"/>
      <c r="J52" s="10"/>
      <c r="K52" s="10"/>
      <c r="L52" s="10"/>
    </row>
    <row r="53" spans="1:12">
      <c r="A53" s="10"/>
      <c r="B53" s="10"/>
      <c r="C53" s="10"/>
      <c r="D53" s="10"/>
      <c r="E53" s="10"/>
      <c r="F53" s="10"/>
      <c r="G53" s="10"/>
      <c r="H53" s="10"/>
      <c r="I53" s="10"/>
      <c r="J53" s="10"/>
      <c r="K53" s="10"/>
      <c r="L53" s="10"/>
    </row>
    <row r="54" spans="1:12">
      <c r="A54" s="10"/>
      <c r="B54" s="10"/>
      <c r="C54" s="10"/>
      <c r="D54" s="10"/>
      <c r="E54" s="10"/>
      <c r="F54" s="10"/>
      <c r="G54" s="10"/>
      <c r="H54" s="10"/>
      <c r="I54" s="10"/>
      <c r="J54" s="10"/>
      <c r="K54" s="10"/>
      <c r="L54" s="10"/>
    </row>
    <row r="55" spans="1:12">
      <c r="A55" s="10"/>
      <c r="B55" s="10"/>
      <c r="C55" s="10"/>
      <c r="D55" s="10"/>
      <c r="E55" s="10"/>
      <c r="F55" s="10"/>
      <c r="G55" s="10"/>
      <c r="H55" s="10"/>
      <c r="I55" s="10"/>
      <c r="J55" s="10"/>
      <c r="K55" s="10"/>
      <c r="L55" s="10"/>
    </row>
    <row r="56" spans="1:12">
      <c r="A56" s="10"/>
      <c r="B56" s="10"/>
      <c r="C56" s="10"/>
      <c r="D56" s="10"/>
      <c r="E56" s="10"/>
      <c r="F56" s="10"/>
      <c r="G56" s="10"/>
      <c r="H56" s="10"/>
      <c r="I56" s="10"/>
      <c r="J56" s="10"/>
      <c r="K56" s="10"/>
      <c r="L56" s="10"/>
    </row>
    <row r="57" spans="1:12">
      <c r="A57" s="10"/>
      <c r="B57" s="10"/>
      <c r="C57" s="10"/>
      <c r="D57" s="10"/>
      <c r="E57" s="10"/>
      <c r="F57" s="10"/>
      <c r="G57" s="10"/>
      <c r="H57" s="10"/>
      <c r="I57" s="10"/>
      <c r="J57" s="10"/>
      <c r="K57" s="10"/>
      <c r="L57" s="10"/>
    </row>
    <row r="58" spans="1:12">
      <c r="A58" s="10"/>
      <c r="B58" s="10"/>
      <c r="C58" s="10"/>
      <c r="D58" s="10"/>
      <c r="E58" s="10"/>
      <c r="F58" s="10"/>
      <c r="G58" s="10"/>
      <c r="H58" s="10"/>
      <c r="I58" s="10"/>
      <c r="J58" s="10"/>
      <c r="K58" s="10"/>
      <c r="L58" s="10"/>
    </row>
    <row r="59" spans="1:12">
      <c r="E59" s="10"/>
      <c r="F59" s="10"/>
      <c r="G59" s="10"/>
      <c r="H59" s="10"/>
      <c r="I59" s="10"/>
      <c r="J59" s="10"/>
      <c r="K59" s="10"/>
      <c r="L59" s="10"/>
    </row>
    <row r="60" spans="1:12">
      <c r="E60" s="10"/>
      <c r="F60" s="10"/>
      <c r="G60" s="10"/>
      <c r="H60" s="10"/>
      <c r="I60" s="10"/>
      <c r="J60" s="10"/>
      <c r="K60" s="10"/>
      <c r="L60" s="10"/>
    </row>
    <row r="61" spans="1:12">
      <c r="E61" s="10"/>
      <c r="F61" s="10"/>
      <c r="G61" s="10"/>
      <c r="H61" s="10"/>
      <c r="I61" s="10"/>
      <c r="J61" s="10"/>
      <c r="K61" s="10"/>
      <c r="L61" s="10"/>
    </row>
  </sheetData>
  <mergeCells count="2">
    <mergeCell ref="A1:Q1"/>
    <mergeCell ref="A47:B49"/>
  </mergeCells>
  <phoneticPr fontId="14" type="noConversion"/>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sheetPr>
  <dimension ref="A1:S44"/>
  <sheetViews>
    <sheetView topLeftCell="C19" workbookViewId="0">
      <pane xSplit="2" ySplit="3" topLeftCell="E22" activePane="bottomRight" state="frozen"/>
      <selection activeCell="C19" sqref="C19"/>
      <selection pane="topRight" activeCell="E19" sqref="E19"/>
      <selection pane="bottomLeft" activeCell="C22" sqref="C22"/>
      <selection pane="bottomRight" sqref="A1:M1"/>
    </sheetView>
  </sheetViews>
  <sheetFormatPr defaultColWidth="10.5546875" defaultRowHeight="15"/>
  <cols>
    <col min="1" max="1" width="9.44140625" customWidth="1"/>
    <col min="4" max="4" width="23.5546875" customWidth="1"/>
    <col min="5" max="5" width="8.44140625" customWidth="1"/>
    <col min="9" max="9" width="13.5546875" bestFit="1" customWidth="1"/>
    <col min="10" max="10" width="2.44140625" customWidth="1"/>
  </cols>
  <sheetData>
    <row r="1" spans="1:13" ht="18">
      <c r="A1" s="1191" t="s">
        <v>386</v>
      </c>
      <c r="B1" s="1191"/>
      <c r="C1" s="1191"/>
      <c r="D1" s="1191"/>
      <c r="E1" s="1191"/>
      <c r="F1" s="1191"/>
      <c r="G1" s="1191"/>
      <c r="H1" s="1191"/>
      <c r="I1" s="1191"/>
      <c r="J1" s="1191"/>
      <c r="K1" s="1191"/>
      <c r="L1" s="1191"/>
      <c r="M1" s="1191"/>
    </row>
    <row r="2" spans="1:13">
      <c r="A2" s="1206" t="str">
        <f>"Table 8--Hay: Production, harvested acreage, yield, and stocks"</f>
        <v>Table 8--Hay: Production, harvested acreage, yield, and stocks</v>
      </c>
      <c r="B2" s="1207"/>
      <c r="C2" s="1207"/>
      <c r="D2" s="1207"/>
      <c r="E2" s="1207"/>
      <c r="F2" s="1207"/>
      <c r="G2" s="1207"/>
      <c r="H2" s="1207"/>
      <c r="I2" s="1208"/>
    </row>
    <row r="3" spans="1:13" ht="60.75">
      <c r="A3" s="17" t="str">
        <f>"Mkt year 1/"</f>
        <v>Mkt year 1/</v>
      </c>
      <c r="B3" s="12" t="s">
        <v>387</v>
      </c>
      <c r="C3" s="12" t="s">
        <v>411</v>
      </c>
      <c r="D3" s="12" t="s">
        <v>110</v>
      </c>
      <c r="E3" s="12" t="s">
        <v>478</v>
      </c>
      <c r="F3" s="12" t="s">
        <v>251</v>
      </c>
      <c r="G3" s="12" t="s">
        <v>228</v>
      </c>
      <c r="H3" s="12" t="s">
        <v>229</v>
      </c>
      <c r="I3" s="18" t="s">
        <v>230</v>
      </c>
      <c r="K3" s="25" t="s">
        <v>231</v>
      </c>
      <c r="L3" s="25" t="s">
        <v>185</v>
      </c>
    </row>
    <row r="4" spans="1:13">
      <c r="A4" s="19" t="s">
        <v>536</v>
      </c>
      <c r="B4" s="13">
        <v>81520</v>
      </c>
      <c r="C4" s="13">
        <v>72083</v>
      </c>
      <c r="D4" s="13">
        <v>60355</v>
      </c>
      <c r="E4" s="14">
        <v>2.54</v>
      </c>
      <c r="F4" s="13">
        <v>28848</v>
      </c>
      <c r="G4" s="13">
        <v>106412</v>
      </c>
      <c r="H4" s="14">
        <v>2.5186099903899133</v>
      </c>
      <c r="I4" s="20">
        <v>2.225296031706185</v>
      </c>
      <c r="K4" s="23">
        <f>B4+C4</f>
        <v>153603</v>
      </c>
      <c r="L4" s="26">
        <f>K4*2000/1000</f>
        <v>307206</v>
      </c>
    </row>
    <row r="5" spans="1:13">
      <c r="A5" s="19" t="s">
        <v>537</v>
      </c>
      <c r="B5" s="13">
        <v>80354</v>
      </c>
      <c r="C5" s="13">
        <v>76062</v>
      </c>
      <c r="D5" s="13">
        <v>63516</v>
      </c>
      <c r="E5" s="14">
        <v>2.46</v>
      </c>
      <c r="F5" s="13">
        <v>21248</v>
      </c>
      <c r="G5" s="13">
        <v>110384</v>
      </c>
      <c r="H5" s="14">
        <v>2.4647151023381006</v>
      </c>
      <c r="I5" s="20">
        <v>2.153157489268998</v>
      </c>
      <c r="K5" s="23">
        <f t="shared" ref="K5:K14" si="0">B5+C5</f>
        <v>156416</v>
      </c>
      <c r="L5" s="23">
        <f t="shared" ref="L5:L14" si="1">K5*2000/1000</f>
        <v>312832</v>
      </c>
    </row>
    <row r="6" spans="1:13">
      <c r="A6" s="19" t="s">
        <v>171</v>
      </c>
      <c r="B6" s="13">
        <v>73014</v>
      </c>
      <c r="C6" s="13">
        <v>76453</v>
      </c>
      <c r="D6" s="13">
        <v>63942</v>
      </c>
      <c r="E6" s="14">
        <v>2.34</v>
      </c>
      <c r="F6" s="13">
        <v>22458</v>
      </c>
      <c r="G6" s="13">
        <v>102978</v>
      </c>
      <c r="H6" s="14">
        <v>2.3863674776764654</v>
      </c>
      <c r="I6" s="20">
        <v>2.0808208306728768</v>
      </c>
      <c r="K6" s="23">
        <f t="shared" si="0"/>
        <v>149467</v>
      </c>
      <c r="L6" s="23">
        <f t="shared" si="1"/>
        <v>298934</v>
      </c>
    </row>
    <row r="7" spans="1:13">
      <c r="A7" s="19" t="s">
        <v>172</v>
      </c>
      <c r="B7" s="13">
        <v>76098</v>
      </c>
      <c r="C7" s="13">
        <v>81292</v>
      </c>
      <c r="D7" s="13">
        <v>63371</v>
      </c>
      <c r="E7" s="14">
        <v>2.48</v>
      </c>
      <c r="F7" s="13">
        <v>22013</v>
      </c>
      <c r="G7" s="13">
        <v>111011</v>
      </c>
      <c r="H7" s="14">
        <v>2.5513173616015661</v>
      </c>
      <c r="I7" s="20">
        <v>2.182321126413326</v>
      </c>
      <c r="K7" s="23">
        <f t="shared" si="0"/>
        <v>157390</v>
      </c>
      <c r="L7" s="23">
        <f t="shared" si="1"/>
        <v>314780</v>
      </c>
    </row>
    <row r="8" spans="1:13">
      <c r="A8" s="19" t="s">
        <v>173</v>
      </c>
      <c r="B8" s="13">
        <v>75375</v>
      </c>
      <c r="C8" s="13">
        <v>82747</v>
      </c>
      <c r="D8" s="13">
        <v>61944</v>
      </c>
      <c r="E8" s="14">
        <v>2.5499999999999998</v>
      </c>
      <c r="F8" s="13">
        <v>25947</v>
      </c>
      <c r="G8" s="13">
        <v>114489</v>
      </c>
      <c r="H8" s="14">
        <v>2.598766940819119</v>
      </c>
      <c r="I8" s="20">
        <v>2.2068673121838946</v>
      </c>
      <c r="K8" s="23">
        <f t="shared" si="0"/>
        <v>158122</v>
      </c>
      <c r="L8" s="23">
        <f t="shared" si="1"/>
        <v>316244</v>
      </c>
    </row>
    <row r="9" spans="1:13">
      <c r="A9" s="19" t="s">
        <v>383</v>
      </c>
      <c r="B9" s="13">
        <v>75610</v>
      </c>
      <c r="C9" s="13">
        <v>74851</v>
      </c>
      <c r="D9" s="13">
        <v>61637</v>
      </c>
      <c r="E9" s="14">
        <v>2.44</v>
      </c>
      <c r="F9" s="13">
        <v>27758</v>
      </c>
      <c r="G9" s="13">
        <v>105181</v>
      </c>
      <c r="H9" s="14">
        <v>2.487487830068134</v>
      </c>
      <c r="I9" s="20">
        <v>2.1895654551653219</v>
      </c>
      <c r="K9" s="23">
        <f t="shared" si="0"/>
        <v>150461</v>
      </c>
      <c r="L9" s="23">
        <f t="shared" si="1"/>
        <v>300922</v>
      </c>
    </row>
    <row r="10" spans="1:13">
      <c r="A10" s="19" t="s">
        <v>326</v>
      </c>
      <c r="B10" s="13">
        <v>70548</v>
      </c>
      <c r="C10" s="13">
        <v>70235</v>
      </c>
      <c r="D10" s="13">
        <v>60632</v>
      </c>
      <c r="E10" s="14">
        <v>2.3199999999999998</v>
      </c>
      <c r="F10" s="13">
        <v>21345</v>
      </c>
      <c r="G10" s="13">
        <v>96400</v>
      </c>
      <c r="H10" s="14">
        <v>2.2595457684957294</v>
      </c>
      <c r="I10" s="20">
        <v>2.0506331126327635</v>
      </c>
      <c r="K10" s="23">
        <f t="shared" si="0"/>
        <v>140783</v>
      </c>
      <c r="L10" s="23">
        <f t="shared" si="1"/>
        <v>281566</v>
      </c>
    </row>
    <row r="11" spans="1:13">
      <c r="A11" s="19" t="s">
        <v>327</v>
      </c>
      <c r="B11" s="13">
        <v>69880</v>
      </c>
      <c r="C11" s="13">
        <v>77021</v>
      </c>
      <c r="D11" s="13">
        <v>61006</v>
      </c>
      <c r="E11" s="14">
        <v>2.41</v>
      </c>
      <c r="F11" s="13">
        <v>14990</v>
      </c>
      <c r="G11" s="13">
        <v>104089</v>
      </c>
      <c r="H11" s="14">
        <v>2.2648820049714988</v>
      </c>
      <c r="I11" s="20">
        <v>1.9629042663862175</v>
      </c>
      <c r="K11" s="23">
        <f t="shared" si="0"/>
        <v>146901</v>
      </c>
      <c r="L11" s="23">
        <f t="shared" si="1"/>
        <v>293802</v>
      </c>
    </row>
    <row r="12" spans="1:13">
      <c r="A12" s="19" t="s">
        <v>328</v>
      </c>
      <c r="B12" s="13">
        <v>70180</v>
      </c>
      <c r="C12" s="13">
        <v>76090</v>
      </c>
      <c r="D12" s="13">
        <v>60152</v>
      </c>
      <c r="E12" s="14">
        <v>2.4300000000000002</v>
      </c>
      <c r="F12" s="13">
        <v>21585</v>
      </c>
      <c r="G12" s="13">
        <v>103658</v>
      </c>
      <c r="H12" s="14">
        <v>2.3679142754716795</v>
      </c>
      <c r="I12" s="20">
        <v>2.056645451258623</v>
      </c>
      <c r="K12" s="23">
        <f t="shared" si="0"/>
        <v>146270</v>
      </c>
      <c r="L12" s="23">
        <f t="shared" si="1"/>
        <v>292540</v>
      </c>
    </row>
    <row r="13" spans="1:13">
      <c r="A13" s="19" t="s">
        <v>329</v>
      </c>
      <c r="B13" s="13">
        <v>71072</v>
      </c>
      <c r="C13" s="13">
        <v>76628</v>
      </c>
      <c r="D13" s="13">
        <v>59775</v>
      </c>
      <c r="E13" s="14">
        <v>2.4700000000000002</v>
      </c>
      <c r="F13" s="13">
        <v>22065</v>
      </c>
      <c r="G13" s="13">
        <v>107222</v>
      </c>
      <c r="H13" s="14">
        <v>2.4118840820452396</v>
      </c>
      <c r="I13" s="20">
        <v>2.1145133299980632</v>
      </c>
      <c r="K13" s="23">
        <f t="shared" si="0"/>
        <v>147700</v>
      </c>
      <c r="L13" s="23">
        <f t="shared" si="1"/>
        <v>295400</v>
      </c>
    </row>
    <row r="14" spans="1:13">
      <c r="A14" s="21" t="s">
        <v>226</v>
      </c>
      <c r="B14" s="15">
        <v>67971</v>
      </c>
      <c r="C14" s="15">
        <v>77653</v>
      </c>
      <c r="D14" s="15">
        <v>59872</v>
      </c>
      <c r="E14" s="16">
        <v>2.4300000000000002</v>
      </c>
      <c r="F14" s="15">
        <v>20931</v>
      </c>
      <c r="G14" s="15">
        <v>102134</v>
      </c>
      <c r="H14" s="16">
        <v>2.4026568668218018</v>
      </c>
      <c r="I14" s="22">
        <v>2.0821631703841086</v>
      </c>
      <c r="K14" s="24">
        <f t="shared" si="0"/>
        <v>145624</v>
      </c>
      <c r="L14" s="24">
        <f t="shared" si="1"/>
        <v>291248</v>
      </c>
    </row>
    <row r="15" spans="1:13" ht="15" customHeight="1">
      <c r="L15" s="27">
        <f>STDEV(L4:L14)</f>
        <v>11089.642187850131</v>
      </c>
      <c r="M15" s="28" t="s">
        <v>489</v>
      </c>
    </row>
    <row r="16" spans="1:13" ht="15.75">
      <c r="L16" s="35">
        <f>AVERAGE(L4:L14)</f>
        <v>300497.63636363635</v>
      </c>
      <c r="M16" s="29" t="s">
        <v>517</v>
      </c>
    </row>
    <row r="17" spans="3:19" ht="15.75">
      <c r="L17" s="36">
        <f>L16-2*L15</f>
        <v>278318.35198793607</v>
      </c>
      <c r="M17" s="30" t="s">
        <v>518</v>
      </c>
    </row>
    <row r="18" spans="3:19" ht="16.5" thickBot="1">
      <c r="L18" s="37">
        <f>L16+2*L15</f>
        <v>322676.92073933664</v>
      </c>
      <c r="M18" s="31" t="s">
        <v>488</v>
      </c>
    </row>
    <row r="19" spans="3:19" ht="16.5" thickBot="1">
      <c r="C19" s="123"/>
      <c r="D19" s="952"/>
      <c r="E19" s="847" t="s">
        <v>335</v>
      </c>
      <c r="F19" s="844"/>
      <c r="G19" s="1209" t="s">
        <v>473</v>
      </c>
      <c r="H19" s="1210"/>
      <c r="I19" s="1204" t="s">
        <v>474</v>
      </c>
      <c r="J19" s="123"/>
      <c r="K19" s="123" t="s">
        <v>334</v>
      </c>
      <c r="L19" s="123"/>
      <c r="M19" s="123"/>
      <c r="N19" s="123"/>
      <c r="O19" s="123"/>
      <c r="P19" s="123"/>
      <c r="Q19" s="123"/>
      <c r="R19" s="123"/>
      <c r="S19" s="123"/>
    </row>
    <row r="20" spans="3:19" ht="30">
      <c r="C20" s="123"/>
      <c r="D20" s="744"/>
      <c r="E20" s="848" t="s">
        <v>335</v>
      </c>
      <c r="F20" s="828" t="s">
        <v>342</v>
      </c>
      <c r="G20" s="829" t="s">
        <v>336</v>
      </c>
      <c r="H20" s="830" t="s">
        <v>337</v>
      </c>
      <c r="I20" s="1205"/>
      <c r="J20" s="123"/>
      <c r="K20" s="123" t="s">
        <v>338</v>
      </c>
      <c r="L20" s="123"/>
      <c r="M20" s="123"/>
      <c r="N20" s="123"/>
      <c r="O20" s="123"/>
      <c r="P20" s="123"/>
      <c r="Q20" s="123"/>
      <c r="R20" s="123"/>
      <c r="S20" s="123"/>
    </row>
    <row r="21" spans="3:19" ht="15.75">
      <c r="C21" s="123"/>
      <c r="D21" s="745"/>
      <c r="E21" s="745"/>
      <c r="F21" s="1211" t="s">
        <v>339</v>
      </c>
      <c r="G21" s="1212"/>
      <c r="H21" s="831"/>
      <c r="I21" s="126"/>
      <c r="J21" s="123"/>
      <c r="K21" s="123" t="s">
        <v>340</v>
      </c>
      <c r="L21" s="123"/>
      <c r="M21" s="123"/>
      <c r="N21" s="123"/>
      <c r="O21" s="123"/>
      <c r="P21" s="123"/>
      <c r="Q21" s="123"/>
      <c r="R21" s="123"/>
      <c r="S21" s="123"/>
    </row>
    <row r="22" spans="3:19" ht="15.75">
      <c r="C22" s="123"/>
      <c r="D22" s="953">
        <v>2001</v>
      </c>
      <c r="E22" s="849">
        <v>156416</v>
      </c>
      <c r="F22" s="832"/>
      <c r="G22" s="127">
        <v>101992</v>
      </c>
      <c r="H22" s="833">
        <v>3860</v>
      </c>
      <c r="I22" s="125"/>
      <c r="J22" s="123"/>
      <c r="K22" s="128" t="s">
        <v>341</v>
      </c>
      <c r="L22" s="123"/>
      <c r="M22" s="123"/>
      <c r="N22" s="123"/>
      <c r="O22" s="123"/>
      <c r="P22" s="123"/>
      <c r="Q22" s="123"/>
      <c r="R22" s="123"/>
      <c r="S22" s="123"/>
    </row>
    <row r="23" spans="3:19" ht="15.75">
      <c r="C23" s="123"/>
      <c r="D23" s="953">
        <v>2002</v>
      </c>
      <c r="E23" s="849">
        <v>149467</v>
      </c>
      <c r="F23" s="832"/>
      <c r="G23" s="127">
        <v>102293</v>
      </c>
      <c r="H23" s="833">
        <v>3913</v>
      </c>
      <c r="I23" s="125"/>
      <c r="J23" s="123"/>
      <c r="K23" s="128" t="s">
        <v>528</v>
      </c>
      <c r="L23" s="123"/>
      <c r="M23" s="123"/>
      <c r="N23" s="123"/>
      <c r="O23" s="123"/>
      <c r="P23" s="123"/>
      <c r="Q23" s="123"/>
      <c r="R23" s="123"/>
      <c r="S23" s="123"/>
    </row>
    <row r="24" spans="3:19">
      <c r="C24" s="123"/>
      <c r="D24" s="953">
        <v>2003</v>
      </c>
      <c r="E24" s="849">
        <v>157390</v>
      </c>
      <c r="F24" s="832"/>
      <c r="G24" s="127">
        <v>107378</v>
      </c>
      <c r="H24" s="833">
        <v>3558</v>
      </c>
      <c r="I24" s="125"/>
      <c r="J24" s="123"/>
      <c r="K24" s="123"/>
      <c r="L24" s="123"/>
      <c r="M24" s="123"/>
      <c r="N24" s="123"/>
      <c r="O24" s="123"/>
      <c r="P24" s="123"/>
      <c r="Q24" s="123"/>
      <c r="R24" s="123"/>
      <c r="S24" s="123"/>
    </row>
    <row r="25" spans="3:19">
      <c r="C25" s="123"/>
      <c r="D25" s="953">
        <v>2004</v>
      </c>
      <c r="E25" s="849">
        <v>158122</v>
      </c>
      <c r="F25" s="832"/>
      <c r="G25" s="127">
        <v>107293</v>
      </c>
      <c r="H25" s="833">
        <v>4782</v>
      </c>
      <c r="I25" s="125"/>
      <c r="J25" s="123"/>
      <c r="K25" s="123" t="s">
        <v>529</v>
      </c>
      <c r="L25" s="123"/>
      <c r="M25" s="123"/>
      <c r="N25" s="123"/>
      <c r="O25" s="123"/>
      <c r="P25" s="123"/>
      <c r="Q25" s="123"/>
      <c r="R25" s="123"/>
      <c r="S25" s="123"/>
    </row>
    <row r="26" spans="3:19" ht="15.75">
      <c r="C26" s="123"/>
      <c r="D26" s="953">
        <v>2005</v>
      </c>
      <c r="E26" s="849">
        <v>150461</v>
      </c>
      <c r="F26" s="832"/>
      <c r="G26" s="127">
        <v>106486</v>
      </c>
      <c r="H26" s="833">
        <v>4224</v>
      </c>
      <c r="I26" s="125"/>
      <c r="J26" s="123"/>
      <c r="K26" s="131" t="s">
        <v>38</v>
      </c>
      <c r="L26" s="123"/>
      <c r="M26" s="123"/>
      <c r="N26" s="123"/>
      <c r="O26" s="123"/>
      <c r="P26" s="123"/>
      <c r="Q26" s="123"/>
      <c r="R26" s="123"/>
      <c r="S26" s="123"/>
    </row>
    <row r="27" spans="3:19">
      <c r="C27" s="123"/>
      <c r="D27" s="953">
        <v>2006</v>
      </c>
      <c r="E27" s="849">
        <v>140783</v>
      </c>
      <c r="F27" s="832"/>
      <c r="G27" s="127">
        <v>105294</v>
      </c>
      <c r="H27" s="833">
        <v>4612</v>
      </c>
      <c r="I27" s="125"/>
      <c r="J27" s="123"/>
      <c r="K27" s="123"/>
      <c r="L27" s="123"/>
      <c r="M27" s="123"/>
      <c r="N27" s="123"/>
      <c r="O27" s="123"/>
      <c r="P27" s="123"/>
      <c r="Q27" s="123"/>
      <c r="R27" s="123"/>
      <c r="S27" s="123"/>
    </row>
    <row r="28" spans="3:19">
      <c r="C28" s="123"/>
      <c r="D28" s="953">
        <v>2007</v>
      </c>
      <c r="E28" s="849">
        <v>146901</v>
      </c>
      <c r="F28" s="832"/>
      <c r="G28" s="127">
        <v>106229</v>
      </c>
      <c r="H28" s="833">
        <v>5246</v>
      </c>
      <c r="I28" s="125"/>
      <c r="J28" s="123"/>
      <c r="K28" s="123"/>
      <c r="L28" s="123"/>
      <c r="M28" s="123"/>
      <c r="N28" s="123"/>
      <c r="O28" s="123"/>
      <c r="P28" s="123"/>
      <c r="Q28" s="123"/>
      <c r="R28" s="123"/>
      <c r="S28" s="123"/>
    </row>
    <row r="29" spans="3:19">
      <c r="C29" s="123"/>
      <c r="D29" s="953">
        <v>2008</v>
      </c>
      <c r="E29" s="849">
        <v>146270</v>
      </c>
      <c r="F29" s="832">
        <v>32290</v>
      </c>
      <c r="G29" s="127">
        <v>111619</v>
      </c>
      <c r="H29" s="833">
        <v>5646</v>
      </c>
      <c r="I29" s="125"/>
      <c r="J29" s="123"/>
      <c r="K29" s="123"/>
      <c r="L29" s="123"/>
      <c r="M29" s="123"/>
      <c r="N29" s="123"/>
      <c r="O29" s="123"/>
      <c r="P29" s="123"/>
      <c r="Q29" s="123"/>
      <c r="R29" s="123"/>
      <c r="S29" s="123"/>
    </row>
    <row r="30" spans="3:19">
      <c r="C30" s="123"/>
      <c r="D30" s="953">
        <v>2009</v>
      </c>
      <c r="E30" s="849">
        <v>147700</v>
      </c>
      <c r="F30" s="832">
        <v>31518</v>
      </c>
      <c r="G30" s="127">
        <v>108209</v>
      </c>
      <c r="H30" s="833">
        <v>3680</v>
      </c>
      <c r="I30" s="125"/>
      <c r="J30" s="123"/>
      <c r="K30" s="123"/>
      <c r="L30" s="123"/>
      <c r="M30" s="123"/>
      <c r="N30" s="123"/>
      <c r="O30" s="123"/>
      <c r="P30" s="123"/>
      <c r="Q30" s="123"/>
      <c r="R30" s="123"/>
      <c r="S30" s="123"/>
    </row>
    <row r="31" spans="3:19" ht="15.75" thickBot="1">
      <c r="C31" s="123"/>
      <c r="D31" s="954">
        <v>2010</v>
      </c>
      <c r="E31" s="849">
        <v>145556</v>
      </c>
      <c r="F31" s="855">
        <v>33755</v>
      </c>
      <c r="G31" s="856">
        <v>107314</v>
      </c>
      <c r="H31" s="831">
        <v>3420</v>
      </c>
      <c r="I31" s="125"/>
      <c r="J31" s="123"/>
      <c r="K31" s="123"/>
      <c r="L31" s="123"/>
      <c r="M31" s="123"/>
      <c r="N31" s="123"/>
      <c r="O31" s="123"/>
      <c r="P31" s="123"/>
      <c r="Q31" s="123"/>
      <c r="R31" s="123"/>
      <c r="S31" s="123"/>
    </row>
    <row r="32" spans="3:19" ht="15.75">
      <c r="C32" s="123"/>
      <c r="D32" s="955" t="s">
        <v>530</v>
      </c>
      <c r="E32" s="857">
        <f>AVERAGE(E22:E31)</f>
        <v>149906.6</v>
      </c>
      <c r="F32" s="834">
        <f t="shared" ref="F32:H32" si="2">AVERAGE(F22:F31)</f>
        <v>32521</v>
      </c>
      <c r="G32" s="132">
        <f t="shared" si="2"/>
        <v>106410.7</v>
      </c>
      <c r="H32" s="835">
        <f t="shared" si="2"/>
        <v>4294.1000000000004</v>
      </c>
      <c r="I32" s="125"/>
      <c r="J32" s="123"/>
      <c r="K32" s="123"/>
      <c r="L32" s="123"/>
      <c r="M32" s="123"/>
      <c r="N32" s="123"/>
      <c r="O32" s="123"/>
      <c r="P32" s="123"/>
      <c r="Q32" s="123"/>
      <c r="R32" s="123"/>
      <c r="S32" s="123"/>
    </row>
    <row r="33" spans="3:19" ht="16.5" thickBot="1">
      <c r="C33" s="123"/>
      <c r="D33" s="956" t="s">
        <v>531</v>
      </c>
      <c r="E33" s="850">
        <v>0.87</v>
      </c>
      <c r="F33" s="836">
        <v>0.87</v>
      </c>
      <c r="G33" s="129">
        <v>0.3</v>
      </c>
      <c r="H33" s="837">
        <v>0.35</v>
      </c>
      <c r="I33" s="130"/>
      <c r="J33" s="123"/>
      <c r="K33" s="123"/>
      <c r="L33" s="35">
        <f>I35</f>
        <v>384276.31399999995</v>
      </c>
      <c r="M33" s="29" t="s">
        <v>448</v>
      </c>
      <c r="N33" s="123"/>
      <c r="O33" s="123"/>
      <c r="P33" s="123"/>
      <c r="Q33" s="123"/>
      <c r="R33" s="123"/>
      <c r="S33" s="123"/>
    </row>
    <row r="34" spans="3:19" ht="15.75">
      <c r="C34" s="123"/>
      <c r="D34" s="957" t="s">
        <v>42</v>
      </c>
      <c r="E34" s="851">
        <f>E32*E33</f>
        <v>130418.742</v>
      </c>
      <c r="F34" s="838">
        <f>F32*F33</f>
        <v>28293.27</v>
      </c>
      <c r="G34" s="133">
        <f>G32*G33</f>
        <v>31923.21</v>
      </c>
      <c r="H34" s="839">
        <f>H32*H33</f>
        <v>1502.9349999999999</v>
      </c>
      <c r="I34" s="858">
        <f>SUM(E34:H34)</f>
        <v>192138.15699999998</v>
      </c>
      <c r="J34" s="123"/>
      <c r="K34" s="123"/>
      <c r="L34" s="36">
        <f>I37</f>
        <v>363639.13829916297</v>
      </c>
      <c r="M34" s="30" t="s">
        <v>518</v>
      </c>
      <c r="N34" s="123"/>
      <c r="O34" s="123"/>
      <c r="P34" s="123"/>
      <c r="Q34" s="123"/>
      <c r="R34" s="123"/>
      <c r="S34" s="123"/>
    </row>
    <row r="35" spans="3:19" ht="15.75">
      <c r="C35" s="123"/>
      <c r="D35" s="955" t="s">
        <v>193</v>
      </c>
      <c r="E35" s="852">
        <f>E34*2</f>
        <v>260837.484</v>
      </c>
      <c r="F35" s="840">
        <f>F34*2</f>
        <v>56586.54</v>
      </c>
      <c r="G35" s="134">
        <f>G34*2</f>
        <v>63846.42</v>
      </c>
      <c r="H35" s="841">
        <f>H34*2</f>
        <v>3005.87</v>
      </c>
      <c r="I35" s="859">
        <f>SUM(E35:H35)</f>
        <v>384276.31399999995</v>
      </c>
      <c r="J35" s="123"/>
      <c r="K35" s="123"/>
      <c r="L35" s="37">
        <f>I38</f>
        <v>404913.48970083694</v>
      </c>
      <c r="M35" s="31" t="s">
        <v>488</v>
      </c>
      <c r="N35" s="123"/>
      <c r="O35" s="123"/>
      <c r="P35" s="123"/>
      <c r="Q35" s="123"/>
      <c r="R35" s="123"/>
      <c r="S35" s="123"/>
    </row>
    <row r="36" spans="3:19" s="123" customFormat="1" ht="15.75">
      <c r="D36" s="955" t="s">
        <v>194</v>
      </c>
      <c r="E36" s="851">
        <f>STDEV(E22:E31)*E33*2</f>
        <v>9973.0041266691551</v>
      </c>
      <c r="F36" s="860">
        <f>STDEV(F29:F31)*F33*2</f>
        <v>1977.0741864684796</v>
      </c>
      <c r="G36" s="861">
        <f>STDEV(G22:G31)*G33*2</f>
        <v>1681.1473712914046</v>
      </c>
      <c r="H36" s="839">
        <f>STDEV(H22:H31)*H33*2</f>
        <v>526.65462444038667</v>
      </c>
      <c r="I36" s="859">
        <f>SQRT(E36^2+F36^2+G36^2+H36^2)</f>
        <v>10318.587850418508</v>
      </c>
    </row>
    <row r="37" spans="3:19" s="123" customFormat="1" ht="15.75">
      <c r="D37" s="955" t="s">
        <v>40</v>
      </c>
      <c r="E37" s="853">
        <f>E35-2*E36</f>
        <v>240891.47574666169</v>
      </c>
      <c r="F37" s="842">
        <f t="shared" ref="F37:H37" si="3">F35-2*F36</f>
        <v>52632.391627063043</v>
      </c>
      <c r="G37" s="136">
        <f t="shared" si="3"/>
        <v>60484.125257417189</v>
      </c>
      <c r="H37" s="843">
        <f t="shared" si="3"/>
        <v>1952.5607511192266</v>
      </c>
      <c r="I37" s="748">
        <f>I35-2*I36</f>
        <v>363639.13829916297</v>
      </c>
      <c r="L37" s="135"/>
      <c r="M37" s="119"/>
    </row>
    <row r="38" spans="3:19" ht="16.5" thickBot="1">
      <c r="C38" s="123"/>
      <c r="D38" s="958" t="s">
        <v>41</v>
      </c>
      <c r="E38" s="853">
        <f>E35+2*E36</f>
        <v>280783.49225333834</v>
      </c>
      <c r="F38" s="842">
        <f t="shared" ref="F38:H38" si="4">F35+2*F36</f>
        <v>60540.688372936958</v>
      </c>
      <c r="G38" s="136">
        <f t="shared" si="4"/>
        <v>67208.714742582801</v>
      </c>
      <c r="H38" s="843">
        <f t="shared" si="4"/>
        <v>4059.1792488807732</v>
      </c>
      <c r="I38" s="751">
        <f>I35+2*I36</f>
        <v>404913.48970083694</v>
      </c>
      <c r="J38" s="123"/>
      <c r="K38" s="123"/>
      <c r="L38" s="123"/>
      <c r="M38" s="123"/>
      <c r="N38" s="123"/>
      <c r="O38" s="123"/>
      <c r="P38" s="123"/>
      <c r="Q38" s="123"/>
      <c r="R38" s="123"/>
      <c r="S38" s="123"/>
    </row>
    <row r="39" spans="3:19" s="804" customFormat="1" ht="15.75">
      <c r="D39" s="845" t="s">
        <v>472</v>
      </c>
      <c r="E39" s="862">
        <f>E35</f>
        <v>260837.484</v>
      </c>
      <c r="F39" s="1198">
        <f>G35+H35+F35</f>
        <v>123438.82999999999</v>
      </c>
      <c r="G39" s="1199"/>
      <c r="H39" s="1200"/>
      <c r="I39" s="137"/>
    </row>
    <row r="40" spans="3:19" s="804" customFormat="1" ht="16.5" thickBot="1">
      <c r="D40" s="846" t="s">
        <v>194</v>
      </c>
      <c r="E40" s="854">
        <f>E36</f>
        <v>9973.0041266691551</v>
      </c>
      <c r="F40" s="1201">
        <f>SQRT(G36^2+H36^2+F36^2)</f>
        <v>2648.1019459689323</v>
      </c>
      <c r="G40" s="1202"/>
      <c r="H40" s="1203"/>
      <c r="I40" s="137"/>
    </row>
    <row r="41" spans="3:19">
      <c r="F41" s="804"/>
    </row>
    <row r="42" spans="3:19" ht="15.75">
      <c r="C42" s="123"/>
      <c r="D42" s="140"/>
      <c r="E42" s="142"/>
      <c r="F42" s="142"/>
      <c r="G42" s="142"/>
      <c r="H42" s="142"/>
      <c r="I42" s="142"/>
      <c r="J42" s="123"/>
      <c r="K42" s="123"/>
      <c r="L42" s="123"/>
      <c r="M42" s="123"/>
      <c r="N42" s="123"/>
      <c r="O42" s="123"/>
      <c r="P42" s="123"/>
      <c r="Q42" s="123"/>
      <c r="R42" s="123"/>
      <c r="S42" s="123"/>
    </row>
    <row r="43" spans="3:19" ht="15.75">
      <c r="C43" s="123"/>
      <c r="D43" s="140"/>
      <c r="E43" s="141"/>
      <c r="F43" s="141"/>
      <c r="G43" s="141"/>
      <c r="H43" s="141"/>
      <c r="I43" s="142"/>
      <c r="J43" s="123"/>
      <c r="K43" s="123"/>
      <c r="L43" s="123"/>
      <c r="M43" s="123"/>
      <c r="N43" s="123"/>
      <c r="O43" s="123"/>
      <c r="P43" s="123"/>
      <c r="Q43" s="123"/>
      <c r="R43" s="123"/>
      <c r="S43" s="123"/>
    </row>
    <row r="44" spans="3:19" ht="15.75">
      <c r="D44" s="140"/>
      <c r="E44" s="143"/>
      <c r="F44" s="142"/>
      <c r="G44" s="142"/>
      <c r="H44" s="142"/>
      <c r="I44" s="144"/>
    </row>
  </sheetData>
  <mergeCells count="7">
    <mergeCell ref="F39:H39"/>
    <mergeCell ref="F40:H40"/>
    <mergeCell ref="I19:I20"/>
    <mergeCell ref="A1:M1"/>
    <mergeCell ref="A2:I2"/>
    <mergeCell ref="G19:H19"/>
    <mergeCell ref="F21:G21"/>
  </mergeCells>
  <phoneticPr fontId="14" type="noConversion"/>
  <pageMargins left="0.75" right="0.75" top="1" bottom="1" header="0.5" footer="0.5"/>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abSelected="1" topLeftCell="A7" workbookViewId="0">
      <selection activeCell="B41" sqref="B41"/>
    </sheetView>
  </sheetViews>
  <sheetFormatPr defaultColWidth="8.5546875" defaultRowHeight="15"/>
  <cols>
    <col min="1" max="1" width="3.33203125" style="537" customWidth="1"/>
    <col min="2" max="2" width="7.5546875" customWidth="1"/>
    <col min="3" max="3" width="64.33203125" customWidth="1"/>
  </cols>
  <sheetData>
    <row r="1" spans="2:3" customFormat="1" ht="15.75" thickBot="1"/>
    <row r="2" spans="2:3" customFormat="1" ht="16.5" thickBot="1">
      <c r="B2" s="995" t="s">
        <v>519</v>
      </c>
      <c r="C2" s="996"/>
    </row>
    <row r="3" spans="2:3" customFormat="1">
      <c r="B3" s="124"/>
      <c r="C3" s="125"/>
    </row>
    <row r="4" spans="2:3" customFormat="1" ht="15.75">
      <c r="B4" s="597" t="s">
        <v>520</v>
      </c>
      <c r="C4" s="125"/>
    </row>
    <row r="5" spans="2:3" s="537" customFormat="1" ht="15.75">
      <c r="B5" s="597"/>
      <c r="C5" s="125"/>
    </row>
    <row r="6" spans="2:3" customFormat="1">
      <c r="B6" s="600" t="s">
        <v>521</v>
      </c>
      <c r="C6" s="601" t="s">
        <v>527</v>
      </c>
    </row>
    <row r="7" spans="2:3" s="537" customFormat="1">
      <c r="B7" s="608" t="s">
        <v>498</v>
      </c>
      <c r="C7" s="601"/>
    </row>
    <row r="8" spans="2:3" customFormat="1">
      <c r="B8" s="600" t="s">
        <v>522</v>
      </c>
      <c r="C8" s="601" t="s">
        <v>524</v>
      </c>
    </row>
    <row r="9" spans="2:3" s="537" customFormat="1">
      <c r="B9" s="608" t="s">
        <v>470</v>
      </c>
      <c r="C9" s="601"/>
    </row>
    <row r="10" spans="2:3" customFormat="1">
      <c r="B10" s="600" t="s">
        <v>523</v>
      </c>
      <c r="C10" s="601" t="s">
        <v>525</v>
      </c>
    </row>
    <row r="11" spans="2:3" customFormat="1">
      <c r="B11" s="608" t="s">
        <v>499</v>
      </c>
      <c r="C11" s="601"/>
    </row>
    <row r="12" spans="2:3" customFormat="1">
      <c r="B12" s="600" t="s">
        <v>505</v>
      </c>
      <c r="C12" s="601"/>
    </row>
    <row r="13" spans="2:3" customFormat="1">
      <c r="B13" s="608" t="s">
        <v>552</v>
      </c>
      <c r="C13" s="601"/>
    </row>
    <row r="14" spans="2:3" customFormat="1">
      <c r="B14" s="600"/>
      <c r="C14" s="601"/>
    </row>
    <row r="15" spans="2:3" customFormat="1" ht="15.75">
      <c r="B15" s="949" t="s">
        <v>573</v>
      </c>
      <c r="C15" s="950"/>
    </row>
    <row r="16" spans="2:3" s="696" customFormat="1" ht="15.75">
      <c r="B16" s="597"/>
      <c r="C16" s="125"/>
    </row>
    <row r="17" spans="2:3" s="696" customFormat="1">
      <c r="B17" s="600" t="s">
        <v>471</v>
      </c>
      <c r="C17" s="125"/>
    </row>
    <row r="18" spans="2:3" customFormat="1">
      <c r="B18" s="608" t="s">
        <v>572</v>
      </c>
      <c r="C18" s="125"/>
    </row>
    <row r="19" spans="2:3" customFormat="1">
      <c r="B19" s="600" t="s">
        <v>503</v>
      </c>
      <c r="C19" s="601"/>
    </row>
    <row r="20" spans="2:3" customFormat="1">
      <c r="B20" s="706" t="s">
        <v>553</v>
      </c>
      <c r="C20" s="601"/>
    </row>
    <row r="21" spans="2:3" customFormat="1">
      <c r="B21" s="600" t="s">
        <v>500</v>
      </c>
      <c r="C21" s="601"/>
    </row>
    <row r="22" spans="2:3" customFormat="1">
      <c r="B22" s="706" t="s">
        <v>501</v>
      </c>
      <c r="C22" s="601"/>
    </row>
    <row r="23" spans="2:3" s="538" customFormat="1">
      <c r="B23" s="693" t="s">
        <v>467</v>
      </c>
      <c r="C23" s="601"/>
    </row>
    <row r="24" spans="2:3" s="538" customFormat="1">
      <c r="B24" s="608" t="s">
        <v>449</v>
      </c>
      <c r="C24" s="601"/>
    </row>
    <row r="25" spans="2:3" customFormat="1">
      <c r="B25" s="602" t="s">
        <v>502</v>
      </c>
      <c r="C25" s="601"/>
    </row>
    <row r="26" spans="2:3" customFormat="1">
      <c r="B26" s="947" t="s">
        <v>504</v>
      </c>
      <c r="C26" s="601"/>
    </row>
    <row r="27" spans="2:3" customFormat="1">
      <c r="B27" s="124"/>
      <c r="C27" s="125"/>
    </row>
    <row r="28" spans="2:3" customFormat="1" ht="15.75">
      <c r="B28" s="948" t="s">
        <v>514</v>
      </c>
      <c r="C28" s="125"/>
    </row>
    <row r="29" spans="2:3" customFormat="1">
      <c r="B29" s="124"/>
      <c r="C29" s="125"/>
    </row>
    <row r="30" spans="2:3" customFormat="1">
      <c r="B30" s="600" t="s">
        <v>414</v>
      </c>
      <c r="C30" s="601"/>
    </row>
    <row r="31" spans="2:3" customFormat="1">
      <c r="B31" s="608" t="s">
        <v>428</v>
      </c>
      <c r="C31" s="601"/>
    </row>
    <row r="32" spans="2:3" customFormat="1">
      <c r="B32" s="602" t="s">
        <v>418</v>
      </c>
      <c r="C32" s="601"/>
    </row>
    <row r="33" spans="2:3" customFormat="1">
      <c r="B33" s="947" t="s">
        <v>427</v>
      </c>
      <c r="C33" s="601"/>
    </row>
    <row r="34" spans="2:3" customFormat="1">
      <c r="B34" s="600" t="s">
        <v>420</v>
      </c>
      <c r="C34" s="601"/>
    </row>
    <row r="35" spans="2:3" customFormat="1">
      <c r="B35" s="706" t="s">
        <v>426</v>
      </c>
      <c r="C35" s="601"/>
    </row>
    <row r="36" spans="2:3" customFormat="1">
      <c r="B36" s="600" t="s">
        <v>421</v>
      </c>
      <c r="C36" s="601"/>
    </row>
    <row r="37" spans="2:3" customFormat="1">
      <c r="B37" s="706" t="s">
        <v>422</v>
      </c>
      <c r="C37" s="601"/>
    </row>
    <row r="38" spans="2:3" customFormat="1">
      <c r="B38" s="602" t="s">
        <v>419</v>
      </c>
      <c r="C38" s="601"/>
    </row>
    <row r="39" spans="2:3" customFormat="1">
      <c r="B39" s="947" t="s">
        <v>424</v>
      </c>
      <c r="C39" s="601"/>
    </row>
    <row r="40" spans="2:3" customFormat="1">
      <c r="B40" s="600" t="s">
        <v>423</v>
      </c>
      <c r="C40" s="601"/>
    </row>
    <row r="41" spans="2:3" customFormat="1">
      <c r="B41" s="706" t="s">
        <v>425</v>
      </c>
      <c r="C41" s="601"/>
    </row>
    <row r="42" spans="2:3" customFormat="1" ht="15.75" thickBot="1">
      <c r="B42" s="598"/>
      <c r="C42" s="599"/>
    </row>
    <row r="44" spans="2:3">
      <c r="B44" s="1213" t="s">
        <v>577</v>
      </c>
    </row>
  </sheetData>
  <mergeCells count="1">
    <mergeCell ref="B2:C2"/>
  </mergeCells>
  <hyperlinks>
    <hyperlink ref="B22" location="SlaughterWeights!A1" display="SlaughterWeights!A1"/>
    <hyperlink ref="B26" location="Goats!A1" display="Goats!A1"/>
    <hyperlink ref="B33" location="Grains!O4" display="Grains!O4"/>
    <hyperlink ref="B37" location="wheat!A1" display="wheat!h20"/>
    <hyperlink ref="B39" location="Byproducts!A1" display="Byproducts!A1"/>
    <hyperlink ref="B41" location="ProcessedRoughage!A1" display="ProcessedRoughage!A1"/>
    <hyperlink ref="B35" location="soy!G25" display="soy!G25"/>
    <hyperlink ref="B31" location="'Feed Total'!A1" display="Feed Total'!A1"/>
    <hyperlink ref="B7" location="'Main Feed Needs &amp; Partitioning'!A1" display="Main Feed Needs &amp; Partitioning'!A1"/>
    <hyperlink ref="B20" location="SlaughterHeadCount!A132" display="SlaughterHeadCount!A132"/>
    <hyperlink ref="B9" location="'Main Feed Needs &amp; Partitioning'!A1" display="Main Feed Needs &amp; Partitioning'!J1"/>
    <hyperlink ref="B11" location="'Main Feed Needs &amp; Partitioning'!A1" display="Main Feed Needs &amp; Partitioning'!W1"/>
    <hyperlink ref="B13" location="'Main Uncertainty'!A1" display="Main Uncertainty'!A1"/>
    <hyperlink ref="B18" location="'inventory 2'!A1" display="'inventory 2'!A1"/>
    <hyperlink ref="B24" location="' Cattle Inventory'!A1" display=" Cattle Inventory'!A1"/>
  </hyperlinks>
  <pageMargins left="0.7" right="0.7" top="0.75" bottom="0.75" header="0.3" footer="0.3"/>
  <pageSetup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4.9989318521683403E-2"/>
  </sheetPr>
  <dimension ref="A1:V56"/>
  <sheetViews>
    <sheetView zoomScaleNormal="100" zoomScalePageLayoutView="125" workbookViewId="0">
      <pane xSplit="1" ySplit="5" topLeftCell="C6" activePane="bottomRight" state="frozen"/>
      <selection pane="topRight" activeCell="B1" sqref="B1"/>
      <selection pane="bottomLeft" activeCell="A4" sqref="A4"/>
      <selection pane="bottomRight"/>
    </sheetView>
  </sheetViews>
  <sheetFormatPr defaultColWidth="8.5546875" defaultRowHeight="12.75"/>
  <cols>
    <col min="1" max="1" width="16.109375" style="349" customWidth="1"/>
    <col min="2" max="2" width="14.5546875" style="625" customWidth="1"/>
    <col min="3" max="3" width="11.33203125" style="349" customWidth="1"/>
    <col min="4" max="4" width="12" style="349" customWidth="1"/>
    <col min="5" max="5" width="9.6640625" style="349" customWidth="1"/>
    <col min="6" max="6" width="10" style="349" customWidth="1"/>
    <col min="7" max="7" width="8.33203125" style="349" customWidth="1"/>
    <col min="8" max="8" width="7.6640625" style="349" customWidth="1"/>
    <col min="9" max="10" width="9" style="349" customWidth="1"/>
    <col min="11" max="11" width="7.5546875" style="349" customWidth="1"/>
    <col min="12" max="12" width="7.44140625" style="349" customWidth="1"/>
    <col min="13" max="13" width="8.77734375" style="349" customWidth="1"/>
    <col min="14" max="14" width="9.33203125" style="349" customWidth="1"/>
    <col min="15" max="15" width="8.5546875" style="349"/>
    <col min="16" max="16" width="8.6640625" style="349" customWidth="1"/>
    <col min="17" max="17" width="5" style="349" customWidth="1"/>
    <col min="18" max="18" width="7.6640625" style="349" customWidth="1"/>
    <col min="19" max="19" width="10.33203125" style="349" customWidth="1"/>
    <col min="20" max="20" width="17.5546875" style="349" customWidth="1"/>
    <col min="21" max="21" width="8.44140625" style="349" customWidth="1"/>
    <col min="22" max="16384" width="8.5546875" style="349"/>
  </cols>
  <sheetData>
    <row r="1" spans="1:22" ht="29.85" customHeight="1">
      <c r="A1" s="354"/>
      <c r="B1" s="390"/>
      <c r="C1" s="1004" t="s">
        <v>526</v>
      </c>
      <c r="D1" s="1004"/>
      <c r="E1" s="1004"/>
      <c r="F1" s="1004"/>
      <c r="G1" s="1004"/>
      <c r="H1" s="1004"/>
      <c r="I1" s="1004"/>
      <c r="J1" s="707">
        <f>750*5.5*365</f>
        <v>1505625</v>
      </c>
      <c r="M1" s="605"/>
      <c r="N1" s="606" t="s">
        <v>550</v>
      </c>
      <c r="T1" s="606" t="s">
        <v>548</v>
      </c>
    </row>
    <row r="2" spans="1:22" ht="18.600000000000001" customHeight="1" thickBot="1">
      <c r="A2" s="354"/>
      <c r="B2" s="390"/>
      <c r="N2" s="607" t="s">
        <v>551</v>
      </c>
      <c r="T2" s="607" t="s">
        <v>549</v>
      </c>
    </row>
    <row r="3" spans="1:22" ht="41.1" customHeight="1" thickBot="1">
      <c r="A3" s="200"/>
      <c r="B3" s="997" t="s">
        <v>468</v>
      </c>
      <c r="C3" s="997" t="s">
        <v>133</v>
      </c>
      <c r="D3" s="1014" t="s">
        <v>506</v>
      </c>
      <c r="E3" s="1014" t="s">
        <v>435</v>
      </c>
      <c r="F3" s="1017" t="s">
        <v>436</v>
      </c>
      <c r="G3" s="1018"/>
      <c r="H3" s="1018"/>
      <c r="I3" s="1019"/>
      <c r="J3" s="358"/>
      <c r="K3" s="358"/>
    </row>
    <row r="4" spans="1:22" ht="16.350000000000001" customHeight="1" thickBot="1">
      <c r="A4" s="336"/>
      <c r="B4" s="998"/>
      <c r="C4" s="998"/>
      <c r="D4" s="1015"/>
      <c r="E4" s="1015"/>
      <c r="F4" s="1020" t="s">
        <v>437</v>
      </c>
      <c r="G4" s="1021"/>
      <c r="H4" s="1005" t="s">
        <v>575</v>
      </c>
      <c r="I4" s="1006"/>
      <c r="J4" s="358"/>
      <c r="K4" s="354"/>
      <c r="L4" s="1009" t="s">
        <v>122</v>
      </c>
      <c r="M4" s="1010"/>
      <c r="N4" s="1002" t="s">
        <v>255</v>
      </c>
      <c r="O4" s="1002"/>
      <c r="P4" s="1002"/>
      <c r="Q4" s="1003"/>
      <c r="S4" s="389" t="s">
        <v>122</v>
      </c>
      <c r="T4" s="1000" t="s">
        <v>255</v>
      </c>
      <c r="U4" s="1001"/>
    </row>
    <row r="5" spans="1:22" ht="29.1" customHeight="1" thickBot="1">
      <c r="A5" s="337"/>
      <c r="B5" s="999"/>
      <c r="C5" s="999"/>
      <c r="D5" s="1016"/>
      <c r="E5" s="1016"/>
      <c r="F5" s="705" t="s">
        <v>554</v>
      </c>
      <c r="G5" s="705" t="s">
        <v>542</v>
      </c>
      <c r="H5" s="1007"/>
      <c r="I5" s="1008"/>
      <c r="J5" s="358"/>
      <c r="K5" s="381"/>
      <c r="L5" s="540"/>
      <c r="M5" s="541"/>
      <c r="N5" s="1011" t="s">
        <v>33</v>
      </c>
      <c r="O5" s="1012"/>
      <c r="P5" s="1011" t="s">
        <v>120</v>
      </c>
      <c r="Q5" s="1013"/>
      <c r="S5" s="387"/>
      <c r="T5" s="405" t="s">
        <v>33</v>
      </c>
      <c r="U5" s="406" t="s">
        <v>120</v>
      </c>
    </row>
    <row r="6" spans="1:22">
      <c r="A6" s="342" t="s">
        <v>233</v>
      </c>
      <c r="B6" s="769"/>
      <c r="C6" s="827">
        <f>SlaughterHeadCount!I142/1000</f>
        <v>106.04393</v>
      </c>
      <c r="D6" s="609">
        <f>SlaughterHeadCount!I145</f>
        <v>280</v>
      </c>
      <c r="E6" s="339"/>
      <c r="F6" s="610">
        <v>3.16</v>
      </c>
      <c r="G6" s="611"/>
      <c r="H6" s="612">
        <f>C6*D6*F6</f>
        <v>93827.669264000011</v>
      </c>
      <c r="I6" s="613">
        <f>H6</f>
        <v>93827.669264000011</v>
      </c>
      <c r="J6" s="708"/>
      <c r="K6" s="375"/>
      <c r="L6" s="632">
        <f>H6</f>
        <v>93827.669264000011</v>
      </c>
      <c r="M6" s="633">
        <f>L6/I6</f>
        <v>1</v>
      </c>
      <c r="N6" s="384"/>
      <c r="O6" s="350"/>
      <c r="P6" s="354"/>
      <c r="Q6" s="378"/>
      <c r="S6" s="638">
        <f>L6/L$21</f>
        <v>0.23308576238594531</v>
      </c>
      <c r="T6" s="639"/>
      <c r="U6" s="640"/>
    </row>
    <row r="7" spans="1:22">
      <c r="A7" s="347" t="s">
        <v>541</v>
      </c>
      <c r="B7" s="772"/>
      <c r="C7" s="962"/>
      <c r="D7" s="965"/>
      <c r="E7" s="967"/>
      <c r="F7" s="969"/>
      <c r="G7" s="619"/>
      <c r="H7" s="621"/>
      <c r="I7" s="866">
        <f>H8+H9+H10+H11</f>
        <v>110280.13206447814</v>
      </c>
      <c r="J7" s="708"/>
      <c r="K7" s="700"/>
      <c r="L7" s="632">
        <f>I7</f>
        <v>110280.13206447814</v>
      </c>
      <c r="M7" s="633">
        <f>L7/I7</f>
        <v>1</v>
      </c>
      <c r="N7" s="384"/>
      <c r="O7" s="350"/>
      <c r="P7" s="354"/>
      <c r="Q7" s="378"/>
      <c r="S7" s="638">
        <f>L7/L$21</f>
        <v>0.27395680677036771</v>
      </c>
      <c r="T7" s="639"/>
      <c r="U7" s="640"/>
    </row>
    <row r="8" spans="1:22">
      <c r="A8" s="345" t="s">
        <v>494</v>
      </c>
      <c r="B8" s="770"/>
      <c r="C8" s="963">
        <f>SlaughterHeadCount!P142/1000</f>
        <v>8683.7798000000003</v>
      </c>
      <c r="D8" s="390">
        <f>SlaughterHeadCount!P145</f>
        <v>5.5</v>
      </c>
      <c r="E8" s="339"/>
      <c r="F8" s="614">
        <v>1.8</v>
      </c>
      <c r="G8" s="611"/>
      <c r="H8" s="890">
        <f>F8*D8*C8</f>
        <v>85969.420020000005</v>
      </c>
      <c r="I8" s="867"/>
      <c r="J8" s="709"/>
      <c r="K8" s="700"/>
      <c r="L8" s="632"/>
      <c r="M8" s="633"/>
      <c r="N8" s="384"/>
      <c r="O8" s="350"/>
      <c r="P8" s="354"/>
      <c r="Q8" s="378"/>
      <c r="S8" s="638"/>
      <c r="T8" s="639"/>
      <c r="U8" s="640"/>
    </row>
    <row r="9" spans="1:22">
      <c r="A9" s="345" t="s">
        <v>395</v>
      </c>
      <c r="B9" s="770"/>
      <c r="C9" s="609">
        <f>SlaughterHeadCount!Q142/1000</f>
        <v>146.47620000000001</v>
      </c>
      <c r="D9" s="624">
        <v>5.7</v>
      </c>
      <c r="E9" s="339"/>
      <c r="F9" s="614">
        <v>1.8</v>
      </c>
      <c r="G9" s="611"/>
      <c r="H9" s="890">
        <f>F9*D9*C9</f>
        <v>1502.845812</v>
      </c>
      <c r="I9" s="867"/>
      <c r="J9" s="709"/>
      <c r="K9" s="700"/>
      <c r="L9" s="632"/>
      <c r="M9" s="633"/>
      <c r="N9" s="384"/>
      <c r="O9" s="350"/>
      <c r="P9" s="354"/>
      <c r="Q9" s="379"/>
      <c r="S9" s="638"/>
      <c r="T9" s="639"/>
      <c r="U9" s="640"/>
    </row>
    <row r="10" spans="1:22">
      <c r="A10" s="345" t="s">
        <v>396</v>
      </c>
      <c r="B10" s="770"/>
      <c r="C10" s="609">
        <f>SlaughterHeadCount!R142/1000</f>
        <v>259.00670000000002</v>
      </c>
      <c r="D10" s="390">
        <f>SlaughterHeadCount!R145</f>
        <v>28.6</v>
      </c>
      <c r="E10" s="339"/>
      <c r="F10" s="614">
        <v>2.6</v>
      </c>
      <c r="G10" s="611"/>
      <c r="H10" s="890">
        <f>F10*D10*C10</f>
        <v>19259.738212</v>
      </c>
      <c r="I10" s="867"/>
      <c r="J10" s="709"/>
      <c r="K10" s="700"/>
      <c r="L10" s="632"/>
      <c r="M10" s="633"/>
      <c r="N10" s="384"/>
      <c r="O10" s="350"/>
      <c r="P10" s="354"/>
      <c r="Q10" s="378"/>
      <c r="S10" s="638"/>
      <c r="T10" s="639"/>
      <c r="U10" s="640"/>
    </row>
    <row r="11" spans="1:22" ht="15" customHeight="1">
      <c r="A11" s="868" t="s">
        <v>469</v>
      </c>
      <c r="B11" s="869">
        <f>'inventory 2'!M12/1000</f>
        <v>58.247300000000003</v>
      </c>
      <c r="C11" s="964"/>
      <c r="D11" s="966"/>
      <c r="E11" s="870"/>
      <c r="F11" s="872"/>
      <c r="G11" s="891">
        <f>88%*0.086*2.204</f>
        <v>0.16679872000000001</v>
      </c>
      <c r="H11" s="968">
        <f>B11*G11*365.2</f>
        <v>3548.1280204781315</v>
      </c>
      <c r="I11" s="825"/>
      <c r="J11" s="709"/>
      <c r="K11" s="700"/>
      <c r="L11" s="632"/>
      <c r="M11" s="633"/>
      <c r="N11" s="384"/>
      <c r="O11" s="350"/>
      <c r="P11" s="354"/>
      <c r="Q11" s="378"/>
      <c r="S11" s="638"/>
      <c r="T11" s="639"/>
      <c r="U11" s="640"/>
    </row>
    <row r="12" spans="1:22">
      <c r="A12" s="882" t="s">
        <v>495</v>
      </c>
      <c r="B12" s="883">
        <f>'inventory 2'!M13/1000</f>
        <v>283.02424999999999</v>
      </c>
      <c r="C12" s="884"/>
      <c r="D12" s="885"/>
      <c r="E12" s="885"/>
      <c r="F12" s="886"/>
      <c r="G12" s="887">
        <f>88%*0.086*2.204</f>
        <v>0.16679872000000001</v>
      </c>
      <c r="H12" s="888">
        <f>B12*G12*365.2</f>
        <v>17240.391776096192</v>
      </c>
      <c r="I12" s="889">
        <f>H12</f>
        <v>17240.391776096192</v>
      </c>
      <c r="J12" s="708"/>
      <c r="K12" s="700"/>
      <c r="L12" s="632">
        <f>I12</f>
        <v>17240.391776096192</v>
      </c>
      <c r="M12" s="633">
        <f>L12/I12</f>
        <v>1</v>
      </c>
      <c r="N12" s="384"/>
      <c r="O12" s="350"/>
      <c r="P12" s="354"/>
      <c r="Q12" s="378"/>
      <c r="S12" s="638">
        <f>L12/L$21</f>
        <v>4.2828409705638774E-2</v>
      </c>
      <c r="T12" s="639"/>
      <c r="U12" s="640"/>
    </row>
    <row r="13" spans="1:22">
      <c r="A13" s="347" t="s">
        <v>496</v>
      </c>
      <c r="B13" s="772">
        <f>B14+B15</f>
        <v>13.415000000000001</v>
      </c>
      <c r="C13" s="864"/>
      <c r="D13" s="620"/>
      <c r="E13" s="620"/>
      <c r="F13" s="622"/>
      <c r="G13" s="619"/>
      <c r="H13" s="865"/>
      <c r="I13" s="866">
        <f>SUM(H14:H16)</f>
        <v>161861.24270434209</v>
      </c>
      <c r="J13" s="708"/>
      <c r="K13" s="700"/>
      <c r="L13" s="632">
        <f>0.6*I13</f>
        <v>97116.745622605245</v>
      </c>
      <c r="M13" s="633">
        <f>L13/I13</f>
        <v>0.6</v>
      </c>
      <c r="N13" s="635">
        <f>(1-0.6-0.117)*I13</f>
        <v>45806.731685328814</v>
      </c>
      <c r="O13" s="633">
        <f>N13/I13</f>
        <v>0.28300000000000003</v>
      </c>
      <c r="P13" s="636">
        <f>11.7%*I13</f>
        <v>18937.765396408024</v>
      </c>
      <c r="Q13" s="637">
        <f>P13/I13</f>
        <v>0.11699999999999999</v>
      </c>
      <c r="S13" s="638">
        <f>L13/L$21</f>
        <v>0.24125645314917879</v>
      </c>
      <c r="T13" s="641">
        <f>N13/N$21</f>
        <v>0.12518748056460249</v>
      </c>
      <c r="U13" s="642">
        <f>P13/P$21</f>
        <v>7.9672274914769928E-2</v>
      </c>
      <c r="V13" s="393"/>
    </row>
    <row r="14" spans="1:22">
      <c r="A14" s="345" t="s">
        <v>402</v>
      </c>
      <c r="B14" s="770">
        <f>'inventory 2'!M15/1000</f>
        <v>9.1315000000000008</v>
      </c>
      <c r="C14" s="701"/>
      <c r="D14" s="339"/>
      <c r="E14" s="609">
        <f>(0.9*650*2.2046)+0.1*450*2.2046</f>
        <v>1388.8980000000001</v>
      </c>
      <c r="F14" s="614"/>
      <c r="G14" s="616">
        <f>3.05%*E14</f>
        <v>42.361389000000003</v>
      </c>
      <c r="H14" s="612">
        <f>B14*G14*365.2</f>
        <v>141267.76823825823</v>
      </c>
      <c r="I14" s="867"/>
      <c r="J14" s="709"/>
      <c r="K14" s="700"/>
      <c r="L14" s="634"/>
      <c r="M14" s="633"/>
      <c r="N14" s="614"/>
      <c r="O14" s="633"/>
      <c r="P14" s="390"/>
      <c r="Q14" s="637"/>
      <c r="S14" s="638"/>
      <c r="T14" s="641"/>
      <c r="U14" s="642"/>
    </row>
    <row r="15" spans="1:22">
      <c r="A15" s="345" t="s">
        <v>403</v>
      </c>
      <c r="B15" s="770">
        <f>'inventory 2'!M16/1000</f>
        <v>4.2835000000000001</v>
      </c>
      <c r="C15" s="701"/>
      <c r="E15" s="976">
        <f>((75+0.96*0.55*E14)/2)*407/(687) +(0.96*0.55*E14+0.96*0.82*E14)/2*(687-407)/(687)</f>
        <v>611.69115465502193</v>
      </c>
      <c r="F15" s="614"/>
      <c r="G15" s="616">
        <f>2%*'Main Feed Needs &amp; Partitioning'!E15</f>
        <v>12.233823093100439</v>
      </c>
      <c r="H15" s="612">
        <f>B15*G15*365.2</f>
        <v>19137.787861286801</v>
      </c>
      <c r="I15" s="867"/>
      <c r="J15" s="709"/>
      <c r="K15" s="700"/>
      <c r="L15" s="634"/>
      <c r="M15" s="633"/>
      <c r="N15" s="614"/>
      <c r="O15" s="633"/>
      <c r="P15" s="390"/>
      <c r="Q15" s="637"/>
      <c r="S15" s="638"/>
      <c r="T15" s="641"/>
      <c r="U15" s="642"/>
    </row>
    <row r="16" spans="1:22">
      <c r="A16" s="868" t="s">
        <v>476</v>
      </c>
      <c r="B16" s="869">
        <f>0.012*B14</f>
        <v>0.10957800000000001</v>
      </c>
      <c r="C16" s="771"/>
      <c r="D16" s="870"/>
      <c r="E16" s="871">
        <f>825*2.2046</f>
        <v>1818.7950000000001</v>
      </c>
      <c r="F16" s="872"/>
      <c r="G16" s="873">
        <f>E16*0.02</f>
        <v>36.375900000000001</v>
      </c>
      <c r="H16" s="874">
        <f>B16*G16*365.2</f>
        <v>1455.68660479704</v>
      </c>
      <c r="I16" s="825"/>
      <c r="J16" s="709"/>
      <c r="K16" s="700"/>
      <c r="L16" s="634"/>
      <c r="M16" s="633"/>
      <c r="N16" s="614"/>
      <c r="O16" s="633"/>
      <c r="P16" s="390"/>
      <c r="Q16" s="637"/>
      <c r="S16" s="638"/>
      <c r="T16" s="641"/>
      <c r="U16" s="642"/>
    </row>
    <row r="17" spans="1:22">
      <c r="A17" s="877" t="s">
        <v>232</v>
      </c>
      <c r="B17" s="878">
        <f>B19+B18</f>
        <v>81.802799999999991</v>
      </c>
      <c r="C17" s="879"/>
      <c r="D17" s="880"/>
      <c r="E17" s="881"/>
      <c r="F17" s="622"/>
      <c r="G17" s="619"/>
      <c r="H17" s="865"/>
      <c r="I17" s="866">
        <f>H18+H19</f>
        <v>622937.11133280001</v>
      </c>
      <c r="J17" s="708"/>
      <c r="K17" s="700"/>
      <c r="L17" s="632">
        <f xml:space="preserve"> I17-N17-P17</f>
        <v>84080.752195972542</v>
      </c>
      <c r="M17" s="633">
        <f>L17/I17</f>
        <v>0.13497470397305156</v>
      </c>
      <c r="N17" s="635">
        <f>N21-N13</f>
        <v>320098.3211101896</v>
      </c>
      <c r="O17" s="633">
        <f>N17/I17</f>
        <v>0.51385334937795868</v>
      </c>
      <c r="P17" s="636">
        <f>P21-P13</f>
        <v>218758.03802663786</v>
      </c>
      <c r="Q17" s="637">
        <f>P17/I17</f>
        <v>0.35117194664898982</v>
      </c>
      <c r="R17" s="700"/>
      <c r="S17" s="638">
        <f>L17/L$21</f>
        <v>0.20887256798886952</v>
      </c>
      <c r="T17" s="641">
        <f t="shared" ref="T17" si="0">N17/N$21</f>
        <v>0.87481251943539751</v>
      </c>
      <c r="U17" s="642">
        <f>P17/P$21</f>
        <v>0.92032772508522998</v>
      </c>
      <c r="V17" s="393"/>
    </row>
    <row r="18" spans="1:22">
      <c r="A18" s="345" t="s">
        <v>540</v>
      </c>
      <c r="B18" s="770">
        <f>'inventory 2'!M19/1000</f>
        <v>32.305199999999999</v>
      </c>
      <c r="C18" s="701"/>
      <c r="D18" s="339"/>
      <c r="E18" s="609">
        <v>1012</v>
      </c>
      <c r="F18" s="614"/>
      <c r="G18" s="616">
        <f>2.25%*E18</f>
        <v>22.77</v>
      </c>
      <c r="H18" s="612">
        <f>B18*G18*365.2</f>
        <v>268637.25034079998</v>
      </c>
      <c r="I18" s="867"/>
      <c r="J18" s="709"/>
      <c r="K18" s="700"/>
      <c r="L18" s="377"/>
      <c r="M18" s="350"/>
      <c r="N18" s="394"/>
      <c r="O18" s="350"/>
      <c r="P18" s="395"/>
      <c r="Q18" s="378"/>
      <c r="S18" s="638"/>
      <c r="T18" s="639"/>
      <c r="U18" s="640"/>
    </row>
    <row r="19" spans="1:22">
      <c r="A19" s="868" t="s">
        <v>119</v>
      </c>
      <c r="B19" s="869">
        <f>'inventory 2'!M20/1000</f>
        <v>49.497599999999998</v>
      </c>
      <c r="C19" s="771"/>
      <c r="D19" s="871">
        <f>SlaughterWeights!Q104</f>
        <v>1301.8272695963094</v>
      </c>
      <c r="E19" s="871"/>
      <c r="F19" s="872"/>
      <c r="G19" s="873">
        <v>19.600000000000001</v>
      </c>
      <c r="H19" s="874">
        <f>B19*G19*365.2</f>
        <v>354299.86099199997</v>
      </c>
      <c r="I19" s="825"/>
      <c r="J19" s="709"/>
      <c r="K19" s="700"/>
      <c r="L19" s="377"/>
      <c r="M19" s="350"/>
      <c r="N19" s="351"/>
      <c r="O19" s="350"/>
      <c r="P19" s="354"/>
      <c r="Q19" s="378"/>
      <c r="S19" s="385"/>
      <c r="T19" s="354"/>
      <c r="U19" s="386"/>
    </row>
    <row r="20" spans="1:22" ht="13.5" thickBot="1">
      <c r="A20" s="344"/>
      <c r="B20" s="769"/>
      <c r="C20" s="875"/>
      <c r="D20" s="876"/>
      <c r="E20" s="628"/>
      <c r="F20" s="702"/>
      <c r="G20" s="703"/>
      <c r="H20" s="704"/>
      <c r="I20" s="695"/>
      <c r="J20" s="709"/>
      <c r="K20" s="700"/>
      <c r="L20" s="377"/>
      <c r="M20" s="350"/>
      <c r="N20" s="351"/>
      <c r="O20" s="350"/>
      <c r="P20" s="354"/>
      <c r="Q20" s="378"/>
      <c r="S20" s="385"/>
      <c r="T20" s="354"/>
      <c r="U20" s="386"/>
    </row>
    <row r="21" spans="1:22" ht="18" customHeight="1" thickBot="1">
      <c r="A21" s="348"/>
      <c r="B21" s="773"/>
      <c r="C21" s="774" t="s">
        <v>409</v>
      </c>
      <c r="D21" s="341"/>
      <c r="E21" s="352"/>
      <c r="F21" s="352"/>
      <c r="G21" s="352"/>
      <c r="H21" s="353"/>
      <c r="I21" s="617">
        <f>SUM(I6:I19)</f>
        <v>1006146.5471417165</v>
      </c>
      <c r="J21" s="710"/>
      <c r="K21" s="700"/>
      <c r="L21" s="646">
        <f>L33-L31</f>
        <v>402545.69092315208</v>
      </c>
      <c r="M21" s="698">
        <f>L21/L33</f>
        <v>0.98071753440353626</v>
      </c>
      <c r="N21" s="647">
        <f>N33-N31</f>
        <v>365905.05279551842</v>
      </c>
      <c r="O21" s="698">
        <f>N21/N33</f>
        <v>0.95219257462618023</v>
      </c>
      <c r="P21" s="647">
        <f>I21-L21-N21</f>
        <v>237695.8034230459</v>
      </c>
      <c r="Q21" s="699">
        <f>P21/P33</f>
        <v>0.93617962366639851</v>
      </c>
      <c r="S21" s="643">
        <f>SUM(S6:S20)</f>
        <v>1</v>
      </c>
      <c r="T21" s="644">
        <f>SUM(T6:T20)</f>
        <v>1</v>
      </c>
      <c r="U21" s="645">
        <f>SUM(U6:U20)</f>
        <v>0.99999999999999989</v>
      </c>
    </row>
    <row r="22" spans="1:22">
      <c r="A22" s="347" t="s">
        <v>497</v>
      </c>
      <c r="B22" s="769"/>
      <c r="C22" s="775"/>
      <c r="D22" s="338"/>
      <c r="E22" s="354"/>
      <c r="F22" s="354"/>
      <c r="G22" s="354"/>
      <c r="H22" s="354"/>
      <c r="I22" s="378"/>
      <c r="J22" s="354"/>
      <c r="K22" s="700"/>
      <c r="L22" s="612"/>
      <c r="M22" s="350"/>
      <c r="N22" s="612"/>
      <c r="O22" s="350"/>
      <c r="P22" s="612"/>
      <c r="Q22" s="378"/>
    </row>
    <row r="23" spans="1:22" ht="18" customHeight="1">
      <c r="B23" s="776"/>
      <c r="C23" s="618"/>
      <c r="D23" s="619"/>
      <c r="E23" s="620"/>
      <c r="F23" s="621"/>
      <c r="G23" s="621"/>
      <c r="H23" s="622"/>
      <c r="I23" s="623"/>
      <c r="J23" s="390"/>
      <c r="K23" s="700"/>
      <c r="L23" s="612"/>
      <c r="M23" s="350"/>
      <c r="N23" s="612"/>
      <c r="O23" s="350"/>
      <c r="P23" s="612"/>
      <c r="Q23" s="378"/>
    </row>
    <row r="24" spans="1:22">
      <c r="A24" s="344" t="s">
        <v>390</v>
      </c>
      <c r="B24" s="777">
        <f>'inventory 2'!M25/1000</f>
        <v>3.8365</v>
      </c>
      <c r="C24" s="626"/>
      <c r="D24" s="611">
        <v>1100</v>
      </c>
      <c r="E24" s="339"/>
      <c r="F24" s="390"/>
      <c r="G24" s="616">
        <f>0.02*D24</f>
        <v>22</v>
      </c>
      <c r="H24" s="612">
        <f>G24*B24*365.2</f>
        <v>30823.975600000002</v>
      </c>
      <c r="I24" s="613">
        <f>H24</f>
        <v>30823.975600000002</v>
      </c>
      <c r="J24" s="708"/>
      <c r="K24" s="700"/>
      <c r="L24" s="612">
        <f>M24*I24</f>
        <v>6164.7951200000007</v>
      </c>
      <c r="M24" s="633">
        <v>0.2</v>
      </c>
      <c r="N24" s="612">
        <f>O24*I24</f>
        <v>10788.391460000001</v>
      </c>
      <c r="O24" s="633">
        <v>0.35</v>
      </c>
      <c r="P24" s="612">
        <f>Q24*I24</f>
        <v>13870.78902</v>
      </c>
      <c r="Q24" s="633">
        <v>0.45</v>
      </c>
    </row>
    <row r="25" spans="1:22">
      <c r="A25" s="344" t="s">
        <v>490</v>
      </c>
      <c r="B25" s="777"/>
      <c r="C25" s="626">
        <f>B26+C27</f>
        <v>1.3342710833333329</v>
      </c>
      <c r="D25" s="611"/>
      <c r="E25" s="339"/>
      <c r="F25" s="390"/>
      <c r="G25" s="390"/>
      <c r="H25" s="614"/>
      <c r="I25" s="613">
        <f>H26+H27</f>
        <v>1382.7055935484946</v>
      </c>
      <c r="J25" s="708"/>
      <c r="K25" s="700"/>
      <c r="L25" s="612">
        <f>M25*I25</f>
        <v>207.40583903227417</v>
      </c>
      <c r="M25" s="633">
        <v>0.15</v>
      </c>
      <c r="N25" s="612">
        <f>O25*I25</f>
        <v>898.7586358065214</v>
      </c>
      <c r="O25" s="633">
        <f>1-M25-Q25</f>
        <v>0.64999999999999991</v>
      </c>
      <c r="P25" s="612">
        <f>Q25*I25</f>
        <v>276.54111870969894</v>
      </c>
      <c r="Q25" s="633">
        <v>0.2</v>
      </c>
    </row>
    <row r="26" spans="1:22">
      <c r="A26" s="345" t="s">
        <v>440</v>
      </c>
      <c r="B26" s="778">
        <f>Goats!L49+Goats!L48</f>
        <v>0.51042108333333336</v>
      </c>
      <c r="C26" s="627"/>
      <c r="D26" s="611">
        <v>160</v>
      </c>
      <c r="E26" s="339"/>
      <c r="F26" s="390"/>
      <c r="G26" s="390">
        <f>0.04*D26</f>
        <v>6.4</v>
      </c>
      <c r="H26" s="612">
        <f>G26*B26*365.2</f>
        <v>1192.9969896533335</v>
      </c>
      <c r="I26" s="615"/>
      <c r="J26" s="709"/>
      <c r="K26" s="700"/>
      <c r="L26" s="612"/>
      <c r="M26" s="633"/>
      <c r="N26" s="612"/>
      <c r="O26" s="350"/>
      <c r="P26" s="612"/>
      <c r="Q26" s="633"/>
    </row>
    <row r="27" spans="1:22" ht="17.850000000000001" customHeight="1">
      <c r="A27" s="345" t="s">
        <v>439</v>
      </c>
      <c r="B27" s="778"/>
      <c r="C27" s="626">
        <f>Goats!M10/1000</f>
        <v>0.82384999999999953</v>
      </c>
      <c r="D27" s="793">
        <f>Goats!M14</f>
        <v>62.7</v>
      </c>
      <c r="E27" s="339">
        <f>(7+62)/2</f>
        <v>34.5</v>
      </c>
      <c r="F27" s="624">
        <f>0.03*E27*220/62</f>
        <v>3.6725806451612901</v>
      </c>
      <c r="G27" s="390"/>
      <c r="H27" s="612">
        <f>C27*D27*F27</f>
        <v>189.70860389516116</v>
      </c>
      <c r="I27" s="615"/>
      <c r="J27" s="709"/>
      <c r="K27" s="700"/>
      <c r="L27" s="612"/>
      <c r="M27" s="350"/>
      <c r="N27" s="612"/>
      <c r="O27" s="350"/>
      <c r="P27" s="612"/>
      <c r="Q27" s="378"/>
    </row>
    <row r="28" spans="1:22" ht="17.850000000000001" customHeight="1">
      <c r="A28" s="344" t="s">
        <v>407</v>
      </c>
      <c r="B28" s="777"/>
      <c r="C28" s="626">
        <f>C29+B30</f>
        <v>7.2618299999999998</v>
      </c>
      <c r="D28" s="611"/>
      <c r="E28" s="339"/>
      <c r="F28" s="390"/>
      <c r="G28" s="390"/>
      <c r="H28" s="612"/>
      <c r="I28" s="613">
        <f>H29+H30</f>
        <v>10283.247859499999</v>
      </c>
      <c r="J28" s="708"/>
      <c r="K28" s="700"/>
      <c r="L28" s="612">
        <f>0.15*I28</f>
        <v>1542.4871789249999</v>
      </c>
      <c r="M28" s="633">
        <v>0.15</v>
      </c>
      <c r="N28" s="612">
        <f>0.65*I28</f>
        <v>6684.1111086749997</v>
      </c>
      <c r="O28" s="951">
        <f>1-M28-Q28</f>
        <v>0.64999999999999991</v>
      </c>
      <c r="P28" s="612">
        <f>0.2*I28</f>
        <v>2056.6495719</v>
      </c>
      <c r="Q28" s="633">
        <v>0.2</v>
      </c>
    </row>
    <row r="29" spans="1:22">
      <c r="A29" s="346" t="s">
        <v>36</v>
      </c>
      <c r="B29" s="770"/>
      <c r="C29" s="627">
        <f>SlaughterHeadCount!M142/1000</f>
        <v>2.79453</v>
      </c>
      <c r="D29" s="611">
        <v>138.5</v>
      </c>
      <c r="E29" s="339">
        <f>(8+138.5)/2</f>
        <v>73.25</v>
      </c>
      <c r="F29" s="624">
        <f>0.033*E29*200/138.5</f>
        <v>3.4906137184115527</v>
      </c>
      <c r="G29" s="624"/>
      <c r="H29" s="612">
        <f>F29*D29*C29</f>
        <v>1351.0155285000001</v>
      </c>
      <c r="I29" s="615"/>
      <c r="J29" s="709"/>
      <c r="K29" s="700"/>
      <c r="L29" s="612"/>
      <c r="M29" s="350"/>
      <c r="N29" s="612"/>
      <c r="O29" s="350"/>
      <c r="P29" s="612"/>
      <c r="Q29" s="378"/>
    </row>
    <row r="30" spans="1:22" ht="17.850000000000001" customHeight="1" thickBot="1">
      <c r="A30" s="345" t="s">
        <v>438</v>
      </c>
      <c r="B30" s="778">
        <f>'inventory 2'!M31/1000</f>
        <v>4.4672999999999998</v>
      </c>
      <c r="C30" s="627"/>
      <c r="D30" s="611">
        <v>150</v>
      </c>
      <c r="E30" s="628"/>
      <c r="F30" s="390"/>
      <c r="G30" s="624">
        <f>3.65%*D30</f>
        <v>5.4749999999999996</v>
      </c>
      <c r="H30" s="612">
        <f>B30*G30*365.2</f>
        <v>8932.2323309999992</v>
      </c>
      <c r="I30" s="615"/>
      <c r="J30" s="709"/>
      <c r="K30" s="700"/>
      <c r="L30" s="377"/>
      <c r="M30" s="350"/>
      <c r="N30" s="351"/>
      <c r="O30" s="350"/>
      <c r="P30" s="354"/>
      <c r="Q30" s="378"/>
    </row>
    <row r="31" spans="1:22" ht="17.100000000000001" customHeight="1" thickBot="1">
      <c r="A31" s="355"/>
      <c r="B31" s="764"/>
      <c r="C31" s="382" t="s">
        <v>106</v>
      </c>
      <c r="D31" s="352"/>
      <c r="E31" s="352"/>
      <c r="F31" s="352"/>
      <c r="G31" s="352"/>
      <c r="H31" s="353"/>
      <c r="I31" s="629">
        <f>SUM(H24:H30)</f>
        <v>42489.929053048494</v>
      </c>
      <c r="J31" s="711">
        <f>I31-'Main Uncertainty'!I32</f>
        <v>0</v>
      </c>
      <c r="K31" s="700"/>
      <c r="L31" s="380">
        <f>SUM(L24:L28)</f>
        <v>7914.6881379572751</v>
      </c>
      <c r="M31" s="698">
        <f>L31/I31</f>
        <v>0.18627209586713644</v>
      </c>
      <c r="N31" s="359">
        <f>SUM(N24:N28)</f>
        <v>18371.261204481521</v>
      </c>
      <c r="O31" s="698">
        <f>N31/I31</f>
        <v>0.43236742479718149</v>
      </c>
      <c r="P31" s="359">
        <f>SUM(P24:P28)</f>
        <v>16203.979710609699</v>
      </c>
      <c r="Q31" s="726">
        <f>P31/I31</f>
        <v>0.38136047933568212</v>
      </c>
    </row>
    <row r="32" spans="1:22" ht="13.5" thickBot="1">
      <c r="A32" s="346"/>
      <c r="B32" s="763"/>
      <c r="C32" s="377"/>
      <c r="D32" s="354"/>
      <c r="E32" s="354"/>
      <c r="F32" s="354"/>
      <c r="G32" s="354"/>
      <c r="H32" s="354"/>
      <c r="I32" s="630"/>
      <c r="J32" s="390"/>
      <c r="K32" s="376"/>
      <c r="L32" s="377"/>
      <c r="M32" s="350"/>
      <c r="N32" s="354"/>
      <c r="O32" s="350"/>
      <c r="P32" s="697"/>
      <c r="Q32" s="378"/>
    </row>
    <row r="33" spans="1:17" ht="17.100000000000001" customHeight="1" thickBot="1">
      <c r="C33" s="382" t="s">
        <v>35</v>
      </c>
      <c r="D33" s="340"/>
      <c r="E33" s="340"/>
      <c r="F33" s="340"/>
      <c r="G33" s="340"/>
      <c r="H33" s="340"/>
      <c r="I33" s="631">
        <f>I21+I31</f>
        <v>1048636.476194765</v>
      </c>
      <c r="J33" s="712"/>
      <c r="K33" s="376"/>
      <c r="L33" s="380">
        <f>'Feed Total'!B4+'Feed Total'!C4</f>
        <v>410460.37906110939</v>
      </c>
      <c r="M33" s="383"/>
      <c r="N33" s="359">
        <f>'Feed Total'!E4</f>
        <v>384276.31399999995</v>
      </c>
      <c r="O33" s="383"/>
      <c r="P33" s="359">
        <f>I33-L33-N33</f>
        <v>253899.78313365561</v>
      </c>
      <c r="Q33" s="388"/>
    </row>
    <row r="34" spans="1:17">
      <c r="K34" s="376"/>
    </row>
    <row r="35" spans="1:17">
      <c r="K35" s="376"/>
    </row>
    <row r="36" spans="1:17">
      <c r="A36" s="603"/>
      <c r="B36" s="765"/>
      <c r="D36" s="978" t="s">
        <v>577</v>
      </c>
      <c r="K36" s="376"/>
    </row>
    <row r="37" spans="1:17">
      <c r="A37" s="603"/>
      <c r="B37" s="765"/>
      <c r="K37" s="376"/>
      <c r="N37" s="393"/>
    </row>
    <row r="38" spans="1:17">
      <c r="K38" s="376"/>
    </row>
    <row r="39" spans="1:17">
      <c r="K39" s="376"/>
    </row>
    <row r="40" spans="1:17">
      <c r="K40" s="376"/>
    </row>
    <row r="41" spans="1:17">
      <c r="A41" s="604"/>
      <c r="B41" s="766"/>
      <c r="K41" s="376"/>
    </row>
    <row r="42" spans="1:17">
      <c r="K42" s="376"/>
    </row>
    <row r="43" spans="1:17">
      <c r="K43" s="376"/>
    </row>
    <row r="44" spans="1:17">
      <c r="K44" s="376"/>
    </row>
    <row r="45" spans="1:17">
      <c r="A45" s="321"/>
      <c r="B45" s="767"/>
      <c r="N45" s="415"/>
    </row>
    <row r="46" spans="1:17">
      <c r="A46" s="321"/>
      <c r="B46" s="767"/>
    </row>
    <row r="47" spans="1:17">
      <c r="A47" s="323"/>
      <c r="B47" s="768"/>
    </row>
    <row r="48" spans="1:17">
      <c r="A48" s="323"/>
      <c r="B48" s="768"/>
    </row>
    <row r="49" spans="1:2">
      <c r="A49" s="326"/>
      <c r="B49" s="768"/>
    </row>
    <row r="50" spans="1:2">
      <c r="A50" s="323"/>
      <c r="B50" s="768"/>
    </row>
    <row r="51" spans="1:2">
      <c r="A51" s="323"/>
      <c r="B51" s="768"/>
    </row>
    <row r="52" spans="1:2">
      <c r="A52" s="321"/>
      <c r="B52" s="767"/>
    </row>
    <row r="53" spans="1:2">
      <c r="A53" s="321"/>
      <c r="B53" s="767"/>
    </row>
    <row r="54" spans="1:2">
      <c r="A54" s="321"/>
      <c r="B54" s="767"/>
    </row>
    <row r="55" spans="1:2">
      <c r="A55" s="322"/>
    </row>
    <row r="56" spans="1:2">
      <c r="A56" s="321"/>
      <c r="B56" s="767"/>
    </row>
  </sheetData>
  <mergeCells count="13">
    <mergeCell ref="B3:B5"/>
    <mergeCell ref="T4:U4"/>
    <mergeCell ref="N4:Q4"/>
    <mergeCell ref="C1:I1"/>
    <mergeCell ref="H4:I5"/>
    <mergeCell ref="L4:M4"/>
    <mergeCell ref="N5:O5"/>
    <mergeCell ref="P5:Q5"/>
    <mergeCell ref="C3:C5"/>
    <mergeCell ref="D3:D5"/>
    <mergeCell ref="E3:E5"/>
    <mergeCell ref="F3:I3"/>
    <mergeCell ref="F4:G4"/>
  </mergeCells>
  <phoneticPr fontId="14" type="noConversion"/>
  <pageMargins left="0.7" right="0.7" top="0.75" bottom="0.75" header="0.3" footer="0.3"/>
  <pageSetup orientation="portrait" verticalDpi="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1:AO58"/>
  <sheetViews>
    <sheetView zoomScale="90" zoomScaleNormal="90" zoomScalePageLayoutView="90" workbookViewId="0"/>
  </sheetViews>
  <sheetFormatPr defaultColWidth="7" defaultRowHeight="12.75"/>
  <cols>
    <col min="1" max="1" width="13.44140625" style="2" customWidth="1"/>
    <col min="2" max="2" width="12" style="2" customWidth="1"/>
    <col min="3" max="3" width="12.44140625" style="2" customWidth="1"/>
    <col min="4" max="4" width="12" style="2" customWidth="1"/>
    <col min="5" max="5" width="13.77734375" style="2" customWidth="1"/>
    <col min="6" max="6" width="6" style="2" customWidth="1"/>
    <col min="7" max="7" width="10.44140625" style="2" customWidth="1"/>
    <col min="8" max="8" width="9.6640625" style="2" customWidth="1"/>
    <col min="9" max="9" width="9" style="2" customWidth="1"/>
    <col min="10" max="10" width="9.5546875" style="2" customWidth="1"/>
    <col min="11" max="12" width="9.44140625" style="2" customWidth="1"/>
    <col min="13" max="13" width="7.44140625" style="2" customWidth="1"/>
    <col min="14" max="14" width="10.33203125" style="2" customWidth="1"/>
    <col min="15" max="15" width="9.5546875" style="2" customWidth="1"/>
    <col min="16" max="17" width="10" style="2" customWidth="1"/>
    <col min="18" max="18" width="9.44140625" style="2" customWidth="1"/>
    <col min="19" max="19" width="13.44140625" style="2" customWidth="1"/>
    <col min="20" max="20" width="10.44140625" style="2" customWidth="1"/>
    <col min="21" max="23" width="9.5546875" style="2" customWidth="1"/>
    <col min="24" max="24" width="9.44140625" style="2" customWidth="1"/>
    <col min="25" max="26" width="9.5546875" style="2" customWidth="1"/>
    <col min="27" max="27" width="11.44140625" style="2" customWidth="1"/>
    <col min="28" max="28" width="9" style="2" customWidth="1"/>
    <col min="29" max="29" width="10.44140625" style="2" customWidth="1"/>
    <col min="30" max="30" width="9.44140625" style="2" customWidth="1"/>
    <col min="31" max="33" width="10.44140625" style="2" customWidth="1"/>
    <col min="34" max="34" width="11" style="2" customWidth="1"/>
    <col min="35" max="35" width="9.109375" style="2" customWidth="1"/>
    <col min="36" max="36" width="10.44140625" style="2" customWidth="1"/>
    <col min="37" max="37" width="7.5546875" style="2" customWidth="1"/>
    <col min="38" max="16384" width="7" style="2"/>
  </cols>
  <sheetData>
    <row r="1" spans="1:38" s="805" customFormat="1" ht="44.25" customHeight="1" thickBot="1">
      <c r="A1" s="147" t="s">
        <v>104</v>
      </c>
      <c r="B1" s="148">
        <v>75</v>
      </c>
      <c r="C1" s="149"/>
      <c r="D1" s="150"/>
      <c r="E1" s="150"/>
      <c r="F1" s="150"/>
      <c r="G1" s="150"/>
      <c r="H1" s="150"/>
      <c r="J1" s="806"/>
      <c r="K1" s="806"/>
      <c r="L1" s="806"/>
      <c r="N1" s="1092" t="s">
        <v>37</v>
      </c>
      <c r="O1" s="807"/>
      <c r="P1" s="807"/>
      <c r="Q1" s="807"/>
      <c r="R1" s="807"/>
      <c r="S1" s="807"/>
      <c r="T1" s="807"/>
      <c r="U1" s="807"/>
      <c r="V1" s="807"/>
      <c r="W1" s="807"/>
      <c r="X1" s="807"/>
      <c r="Y1" s="807"/>
      <c r="Z1" s="807"/>
      <c r="AA1" s="808"/>
      <c r="AB1" s="808"/>
      <c r="AC1" s="809"/>
      <c r="AD1" s="809"/>
      <c r="AE1" s="809"/>
      <c r="AF1" s="809"/>
      <c r="AG1" s="809"/>
      <c r="AH1" s="810"/>
      <c r="AI1" s="810"/>
      <c r="AJ1" s="810"/>
      <c r="AK1" s="810"/>
    </row>
    <row r="2" spans="1:38" s="805" customFormat="1" ht="15" customHeight="1">
      <c r="A2" s="153"/>
      <c r="B2" s="809"/>
      <c r="C2" s="809"/>
      <c r="D2" s="809"/>
      <c r="E2" s="809"/>
      <c r="F2" s="809"/>
      <c r="G2" s="809"/>
      <c r="H2" s="1084" t="s">
        <v>508</v>
      </c>
      <c r="I2" s="1085"/>
      <c r="N2" s="1093"/>
      <c r="O2" s="807"/>
      <c r="P2" s="811"/>
      <c r="Q2" s="807"/>
      <c r="R2" s="807"/>
      <c r="S2" s="807"/>
      <c r="T2" s="812"/>
      <c r="U2" s="812"/>
      <c r="V2" s="812"/>
      <c r="W2" s="812"/>
      <c r="X2" s="808"/>
      <c r="Y2" s="808"/>
      <c r="Z2" s="812"/>
      <c r="AA2" s="808"/>
      <c r="AB2" s="808"/>
      <c r="AC2" s="809"/>
      <c r="AD2" s="809"/>
      <c r="AE2" s="809"/>
      <c r="AF2" s="809"/>
      <c r="AG2" s="809"/>
      <c r="AH2" s="810"/>
      <c r="AI2" s="810"/>
      <c r="AJ2" s="810"/>
      <c r="AK2" s="810"/>
    </row>
    <row r="3" spans="1:38" s="805" customFormat="1" ht="15" customHeight="1" thickBot="1">
      <c r="A3" s="813"/>
      <c r="B3" s="1079" t="s">
        <v>105</v>
      </c>
      <c r="C3" s="1080"/>
      <c r="D3" s="1080"/>
      <c r="E3" s="1080"/>
      <c r="F3" s="1080"/>
      <c r="G3" s="1081" t="s">
        <v>431</v>
      </c>
      <c r="H3" s="1086"/>
      <c r="I3" s="1087"/>
      <c r="N3" s="1093"/>
      <c r="O3" s="809"/>
      <c r="P3" s="330"/>
      <c r="Q3" s="330"/>
      <c r="R3" s="812"/>
      <c r="S3" s="812"/>
      <c r="T3" s="812"/>
      <c r="U3" s="812"/>
      <c r="V3" s="812"/>
      <c r="W3" s="812"/>
      <c r="X3" s="808"/>
      <c r="Y3" s="808"/>
      <c r="Z3" s="809"/>
      <c r="AA3" s="808"/>
      <c r="AB3" s="808"/>
      <c r="AC3" s="809"/>
      <c r="AD3" s="809"/>
      <c r="AE3" s="809"/>
      <c r="AF3" s="809"/>
      <c r="AG3" s="809"/>
      <c r="AH3" s="809"/>
      <c r="AI3" s="809"/>
      <c r="AJ3" s="809"/>
      <c r="AK3" s="809"/>
    </row>
    <row r="4" spans="1:38" s="805" customFormat="1" ht="44.45" customHeight="1">
      <c r="A4" s="158" t="s">
        <v>113</v>
      </c>
      <c r="B4" s="814"/>
      <c r="C4" s="815"/>
      <c r="D4" s="815"/>
      <c r="E4" s="816"/>
      <c r="F4" s="1090" t="s">
        <v>187</v>
      </c>
      <c r="G4" s="1082"/>
      <c r="H4" s="1088" t="s">
        <v>454</v>
      </c>
      <c r="I4" s="1099" t="s">
        <v>114</v>
      </c>
      <c r="N4" s="1093"/>
      <c r="O4" s="809"/>
      <c r="P4" s="817"/>
      <c r="Q4" s="817"/>
      <c r="R4" s="817"/>
      <c r="S4" s="817"/>
      <c r="T4" s="817"/>
      <c r="U4" s="817"/>
      <c r="V4" s="817"/>
      <c r="W4" s="817"/>
      <c r="X4" s="817"/>
      <c r="Y4" s="817"/>
      <c r="Z4" s="817"/>
      <c r="AA4" s="808"/>
      <c r="AB4" s="808"/>
      <c r="AC4" s="809"/>
      <c r="AD4" s="809"/>
      <c r="AE4" s="809"/>
      <c r="AF4" s="809"/>
      <c r="AG4" s="809"/>
      <c r="AH4" s="809"/>
      <c r="AI4" s="809"/>
      <c r="AJ4" s="809"/>
      <c r="AK4" s="809"/>
    </row>
    <row r="5" spans="1:38" s="805" customFormat="1" ht="17.100000000000001" customHeight="1">
      <c r="A5" s="161" t="s">
        <v>115</v>
      </c>
      <c r="B5" s="818"/>
      <c r="C5" s="819"/>
      <c r="D5" s="819"/>
      <c r="E5" s="820"/>
      <c r="F5" s="1091"/>
      <c r="G5" s="1083"/>
      <c r="H5" s="1089"/>
      <c r="I5" s="1100"/>
      <c r="N5" s="1094"/>
      <c r="O5" s="809"/>
      <c r="P5" s="821"/>
      <c r="Q5" s="399"/>
      <c r="R5" s="400"/>
      <c r="T5" s="1025"/>
      <c r="U5" s="1025"/>
      <c r="V5" s="822"/>
      <c r="W5" s="822"/>
      <c r="X5" s="823"/>
      <c r="Y5" s="824"/>
      <c r="Z5" s="809"/>
      <c r="AA5" s="809"/>
      <c r="AB5" s="330"/>
      <c r="AC5" s="809"/>
      <c r="AD5" s="809"/>
      <c r="AE5" s="809"/>
      <c r="AF5" s="809"/>
      <c r="AG5" s="809"/>
      <c r="AH5" s="809"/>
      <c r="AI5" s="809"/>
      <c r="AJ5" s="809"/>
      <c r="AK5" s="809"/>
    </row>
    <row r="6" spans="1:38" ht="22.35" customHeight="1">
      <c r="A6" s="163" t="s">
        <v>116</v>
      </c>
      <c r="B6" s="164"/>
      <c r="C6" s="165"/>
      <c r="D6" s="165"/>
      <c r="E6" s="166"/>
      <c r="F6" s="167"/>
      <c r="G6" s="168"/>
      <c r="H6" s="169"/>
      <c r="I6" s="170"/>
      <c r="J6" s="1103" t="s">
        <v>117</v>
      </c>
      <c r="M6" s="151"/>
      <c r="N6" s="407">
        <f>0.1</f>
        <v>0.1</v>
      </c>
      <c r="O6" s="397"/>
      <c r="P6" s="275"/>
      <c r="Q6" s="397"/>
      <c r="R6" s="306"/>
      <c r="S6" s="306"/>
      <c r="T6" s="1026"/>
      <c r="U6" s="1026"/>
      <c r="V6" s="401"/>
      <c r="W6" s="401"/>
      <c r="X6" s="396"/>
      <c r="Y6" s="166"/>
      <c r="AD6" s="118"/>
      <c r="AE6" s="118"/>
      <c r="AF6" s="118"/>
      <c r="AG6" s="118"/>
      <c r="AH6" s="118"/>
      <c r="AI6" s="118"/>
      <c r="AJ6" s="118"/>
      <c r="AK6" s="118"/>
    </row>
    <row r="7" spans="1:38" ht="22.35" customHeight="1" thickBot="1">
      <c r="A7" s="171" t="s">
        <v>232</v>
      </c>
      <c r="B7" s="164"/>
      <c r="C7" s="165"/>
      <c r="D7" s="165"/>
      <c r="E7" s="165"/>
      <c r="F7" s="172">
        <f>F8+F9</f>
        <v>81.802799999999991</v>
      </c>
      <c r="G7" s="173"/>
      <c r="H7" s="174">
        <f>SQRT(H8^2+H9^2)</f>
        <v>52630.165607243078</v>
      </c>
      <c r="I7" s="175">
        <f>I8+I9</f>
        <v>622937.11133280001</v>
      </c>
      <c r="J7" s="1104"/>
      <c r="K7" s="1022"/>
      <c r="L7" s="713"/>
      <c r="M7" s="176"/>
      <c r="N7" s="118"/>
      <c r="O7" s="151"/>
      <c r="P7" s="118"/>
      <c r="Q7" s="398"/>
      <c r="R7" s="402"/>
      <c r="S7" s="118"/>
      <c r="T7" s="1027"/>
      <c r="U7" s="1027"/>
      <c r="V7" s="401"/>
      <c r="W7" s="401"/>
      <c r="X7" s="396"/>
      <c r="Y7" s="166"/>
      <c r="AD7" s="118"/>
      <c r="AE7" s="118"/>
      <c r="AF7" s="178"/>
      <c r="AG7" s="118"/>
    </row>
    <row r="8" spans="1:38" ht="23.1" customHeight="1" thickBot="1">
      <c r="A8" s="179" t="s">
        <v>540</v>
      </c>
      <c r="B8" s="164"/>
      <c r="C8" s="165"/>
      <c r="D8" s="165"/>
      <c r="E8" s="166"/>
      <c r="F8" s="167">
        <f>'Main Feed Needs &amp; Partitioning'!B18</f>
        <v>32.305199999999999</v>
      </c>
      <c r="G8" s="390">
        <v>1012</v>
      </c>
      <c r="H8" s="180">
        <f>365.2*SQRT(2*(0.0225*N6*F8*G8)^2+(0.0225*'inventory 2'!N19/1000*G8)^2)</f>
        <v>38485.53427261702</v>
      </c>
      <c r="I8" s="181">
        <f>365.2*0.0225*F8*G8</f>
        <v>268637.25034079998</v>
      </c>
      <c r="J8" s="157">
        <f>G8*0.02</f>
        <v>20.240000000000002</v>
      </c>
      <c r="K8" s="1022"/>
      <c r="L8" s="713"/>
      <c r="M8" s="182"/>
      <c r="N8" s="1039" t="s">
        <v>34</v>
      </c>
      <c r="O8" s="1040"/>
      <c r="P8" s="1040"/>
      <c r="Q8" s="1041"/>
      <c r="R8" s="797"/>
      <c r="S8" s="403"/>
      <c r="T8" s="1037" t="s">
        <v>432</v>
      </c>
      <c r="U8" s="1037"/>
      <c r="V8" s="1037"/>
      <c r="W8" s="1037"/>
      <c r="X8" s="1037"/>
      <c r="Y8" s="1037"/>
      <c r="Z8" s="1038"/>
      <c r="AA8" s="1023" t="s">
        <v>118</v>
      </c>
      <c r="AB8" s="1023"/>
      <c r="AC8" s="1023"/>
      <c r="AD8" s="1023"/>
      <c r="AE8" s="1023"/>
      <c r="AF8" s="1024"/>
      <c r="AG8" s="154"/>
      <c r="AH8" s="154"/>
      <c r="AI8" s="118"/>
      <c r="AJ8" s="118"/>
      <c r="AK8" s="118"/>
      <c r="AL8" s="118"/>
    </row>
    <row r="9" spans="1:38" ht="21" customHeight="1">
      <c r="A9" s="179" t="s">
        <v>119</v>
      </c>
      <c r="B9" s="164"/>
      <c r="C9" s="165"/>
      <c r="D9" s="165"/>
      <c r="E9" s="165"/>
      <c r="F9" s="167">
        <f>'Main Feed Needs &amp; Partitioning'!B19</f>
        <v>49.497599999999998</v>
      </c>
      <c r="G9" s="970">
        <f>SlaughterWeights!Q104</f>
        <v>1301.8272695963094</v>
      </c>
      <c r="H9" s="180">
        <f>365.2*SQRT((19.6*F9*N6)^2+(19.6*'inventory 2'!N20/1000)^2)</f>
        <v>35899.832640237379</v>
      </c>
      <c r="I9" s="181">
        <f>19.6*F9*365.2</f>
        <v>354299.86099199997</v>
      </c>
      <c r="J9" s="159">
        <f>(G9+B1)*0.025/2</f>
        <v>17.210340869953868</v>
      </c>
      <c r="K9" s="408"/>
      <c r="L9" s="408"/>
      <c r="M9" s="151"/>
      <c r="N9" s="183"/>
      <c r="O9" s="1044" t="s">
        <v>39</v>
      </c>
      <c r="P9" s="1044" t="s">
        <v>33</v>
      </c>
      <c r="Q9" s="1042" t="s">
        <v>71</v>
      </c>
      <c r="R9" s="1044" t="s">
        <v>120</v>
      </c>
      <c r="S9" s="184"/>
      <c r="T9" s="1029" t="s">
        <v>120</v>
      </c>
      <c r="U9" s="1036"/>
      <c r="V9" s="1030" t="s">
        <v>33</v>
      </c>
      <c r="W9" s="1031"/>
      <c r="X9" s="1032" t="s">
        <v>122</v>
      </c>
      <c r="Y9" s="1048"/>
      <c r="Z9" s="1046" t="s">
        <v>121</v>
      </c>
      <c r="AA9" s="1028" t="s">
        <v>120</v>
      </c>
      <c r="AB9" s="1029"/>
      <c r="AC9" s="1030" t="s">
        <v>33</v>
      </c>
      <c r="AD9" s="1031"/>
      <c r="AE9" s="1032" t="s">
        <v>122</v>
      </c>
      <c r="AF9" s="1033"/>
      <c r="AI9" s="118"/>
      <c r="AJ9" s="118"/>
    </row>
    <row r="10" spans="1:38" ht="39.6" customHeight="1">
      <c r="A10" s="185" t="s">
        <v>541</v>
      </c>
      <c r="B10" s="186"/>
      <c r="C10" s="187"/>
      <c r="D10" s="187"/>
      <c r="E10" s="188"/>
      <c r="F10" s="189"/>
      <c r="G10" s="190"/>
      <c r="H10" s="191">
        <f>SQRT(H15^2+H13^2+H12^2+H11^2)</f>
        <v>17307.797236654154</v>
      </c>
      <c r="I10" s="192">
        <f>SUM(I11:I15)</f>
        <v>110280.13206447814</v>
      </c>
      <c r="M10" s="193"/>
      <c r="N10" s="184"/>
      <c r="O10" s="1045"/>
      <c r="P10" s="1045"/>
      <c r="Q10" s="1043"/>
      <c r="R10" s="1045"/>
      <c r="S10" s="404"/>
      <c r="T10" s="195" t="s">
        <v>187</v>
      </c>
      <c r="U10" s="194" t="s">
        <v>381</v>
      </c>
      <c r="V10" s="195" t="s">
        <v>187</v>
      </c>
      <c r="W10" s="194" t="s">
        <v>381</v>
      </c>
      <c r="X10" s="196" t="s">
        <v>187</v>
      </c>
      <c r="Y10" s="194" t="s">
        <v>381</v>
      </c>
      <c r="Z10" s="1047"/>
      <c r="AA10" s="197" t="s">
        <v>187</v>
      </c>
      <c r="AB10" s="194" t="s">
        <v>381</v>
      </c>
      <c r="AC10" s="196" t="s">
        <v>187</v>
      </c>
      <c r="AD10" s="194" t="s">
        <v>381</v>
      </c>
      <c r="AE10" s="196" t="s">
        <v>187</v>
      </c>
      <c r="AF10" s="198" t="s">
        <v>381</v>
      </c>
      <c r="AG10" s="118"/>
      <c r="AH10" s="118"/>
      <c r="AI10" s="199"/>
      <c r="AJ10" s="118"/>
    </row>
    <row r="11" spans="1:38" ht="22.35" customHeight="1">
      <c r="A11" s="179" t="s">
        <v>494</v>
      </c>
      <c r="B11" s="165"/>
      <c r="C11" s="165"/>
      <c r="D11" s="165"/>
      <c r="E11" s="165"/>
      <c r="F11" s="826">
        <f>'Main Feed Needs &amp; Partitioning'!C8</f>
        <v>8683.7798000000003</v>
      </c>
      <c r="G11" s="200">
        <v>5.5</v>
      </c>
      <c r="H11" s="201">
        <f>SQRT((SlaughterHeadCount!P143/1000*G11*K44)^2+(F11*SlaughterWeights!J94*K44)^2+(F11*G11*K45)^2)</f>
        <v>16986.590486125242</v>
      </c>
      <c r="I11" s="202">
        <f>F11*G11*K44</f>
        <v>85969.420020000005</v>
      </c>
      <c r="M11" s="118"/>
      <c r="N11" s="203" t="s">
        <v>187</v>
      </c>
      <c r="O11" s="204">
        <f>I33+I34+I37</f>
        <v>42489.929053048494</v>
      </c>
      <c r="P11" s="204">
        <f>0.35*I33+0.65*I34+0.65*I37</f>
        <v>18371.261204481521</v>
      </c>
      <c r="Q11" s="204">
        <f>0.2*I33+0.15*I34+0.15*I37</f>
        <v>7914.6881379572751</v>
      </c>
      <c r="R11" s="801">
        <f>0.45*I33+0.2*I34+0.2*I37</f>
        <v>16203.979710609699</v>
      </c>
      <c r="S11" s="798" t="s">
        <v>232</v>
      </c>
      <c r="T11" s="205">
        <f>Q18-T15</f>
        <v>218758.03802663786</v>
      </c>
      <c r="U11" s="206">
        <f>SQRT( H7^2 + H17^2 + H10^2 + H16^2 +O19^2 + P19^2 + U26^2*I18^2 + T26^2*H18^2 )</f>
        <v>72404.150945203233</v>
      </c>
      <c r="V11" s="207">
        <f>P18-V15</f>
        <v>320098.3211101896</v>
      </c>
      <c r="W11" s="206">
        <f>SQRT(P19^2+W15^2)</f>
        <v>16486.46157109514</v>
      </c>
      <c r="X11" s="208">
        <f>I7-T11-V11</f>
        <v>84080.752195972542</v>
      </c>
      <c r="Y11" s="209">
        <f>SQRT(W15^2+O19^2+H17^2+H10^2+H16^2+((1-T26)*H18)^2+(I18*U26)^2)</f>
        <v>53230.004145237261</v>
      </c>
      <c r="Z11" s="210">
        <f>T11+V11+X11</f>
        <v>622937.11133280001</v>
      </c>
      <c r="AA11" s="923">
        <f>T11/$Z11</f>
        <v>0.35117194664898982</v>
      </c>
      <c r="AB11" s="924">
        <f>U11/$Z$11</f>
        <v>0.11623027369535188</v>
      </c>
      <c r="AC11" s="925">
        <f>V11/$Z11</f>
        <v>0.51385334937795868</v>
      </c>
      <c r="AD11" s="926">
        <f t="shared" ref="AD11:AD15" si="0">W11/Z11</f>
        <v>2.6465691754696822E-2</v>
      </c>
      <c r="AE11" s="925">
        <f>X11/$Z11</f>
        <v>0.13497470397305156</v>
      </c>
      <c r="AF11" s="308">
        <f>Y11/Z11</f>
        <v>8.5450044919220564E-2</v>
      </c>
      <c r="AG11" s="118"/>
      <c r="AH11" s="118"/>
      <c r="AI11" s="199"/>
      <c r="AJ11" s="118"/>
    </row>
    <row r="12" spans="1:38" ht="21" customHeight="1">
      <c r="A12" s="179" t="s">
        <v>395</v>
      </c>
      <c r="B12" s="164"/>
      <c r="C12" s="165"/>
      <c r="D12" s="165"/>
      <c r="E12" s="165"/>
      <c r="F12" s="396">
        <f>'Main Feed Needs &amp; Partitioning'!C9</f>
        <v>146.47620000000001</v>
      </c>
      <c r="G12" s="211">
        <v>5.7</v>
      </c>
      <c r="H12" s="201">
        <f>SQRT((SlaughterHeadCount!Q143/1000*G12*K44)^2+(F12*0.1*K44)^2+(F12*G12*K45)^2)</f>
        <v>319.97673330659791</v>
      </c>
      <c r="I12" s="212">
        <f>F12*G12*K44</f>
        <v>1502.845812</v>
      </c>
      <c r="J12" s="177"/>
      <c r="K12" s="945"/>
      <c r="M12" s="213"/>
      <c r="N12" s="214" t="s">
        <v>381</v>
      </c>
      <c r="O12" s="800">
        <f>SQRT(H33^2+H34^2+H37^2)</f>
        <v>5513.0766424426765</v>
      </c>
      <c r="P12" s="800">
        <f>SQRT((0.35*N6*I33)^2+(0.35*H33)^2+(0.65*N6*I34)^2+(0.65*H34)^2+(0.65*N6*I37)^2+(0.65*H37)^2)</f>
        <v>2430.8761143822835</v>
      </c>
      <c r="Q12" s="800">
        <f>SQRT((0.2*N6*I33)^2+(0.2*H33)^2+(0.15*N6*I34)^2+(0.15*H34)^2+(0.15*N6*I37)^2+(0.15*H37)^2)</f>
        <v>1259.7407735998211</v>
      </c>
      <c r="R12" s="802">
        <f>SQRT((0.45*N6*I33)^2+(0.45*H33)^2+(0.2*N6*I34)^2+(0.2*H34)^2+(0.2*N6*I37)^2+(0.2*H37)^2)</f>
        <v>2795.4666770476883</v>
      </c>
      <c r="S12" s="799" t="s">
        <v>433</v>
      </c>
      <c r="T12" s="216">
        <v>0</v>
      </c>
      <c r="U12" s="217">
        <v>0</v>
      </c>
      <c r="V12" s="218">
        <v>0</v>
      </c>
      <c r="W12" s="217">
        <v>0</v>
      </c>
      <c r="X12" s="219">
        <f>I10-T12-V12</f>
        <v>110280.13206447814</v>
      </c>
      <c r="Y12" s="220">
        <f>SQRT(H10^2+U12^2+W12^2)</f>
        <v>17307.797236654154</v>
      </c>
      <c r="Z12" s="221">
        <f>T12+V12+X12</f>
        <v>110280.13206447814</v>
      </c>
      <c r="AA12" s="307">
        <f>T12/$Z12</f>
        <v>0</v>
      </c>
      <c r="AB12" s="275">
        <f>U12/$Z$12</f>
        <v>0</v>
      </c>
      <c r="AC12" s="925">
        <f>V12/$Z12</f>
        <v>0</v>
      </c>
      <c r="AD12" s="926">
        <f t="shared" si="0"/>
        <v>0</v>
      </c>
      <c r="AE12" s="925">
        <f>X12/$Z12</f>
        <v>1</v>
      </c>
      <c r="AF12" s="308">
        <f>Y12/Z12</f>
        <v>0.15694392917968852</v>
      </c>
      <c r="AG12" s="118"/>
      <c r="AH12" s="118"/>
      <c r="AI12" s="199"/>
      <c r="AJ12" s="118"/>
    </row>
    <row r="13" spans="1:38" ht="16.350000000000001" customHeight="1">
      <c r="A13" s="179" t="s">
        <v>396</v>
      </c>
      <c r="B13" s="164"/>
      <c r="C13" s="165"/>
      <c r="D13" s="165"/>
      <c r="E13" s="166"/>
      <c r="F13" s="172">
        <f>'Main Feed Needs &amp; Partitioning'!C10</f>
        <v>259.00670000000002</v>
      </c>
      <c r="G13" s="200">
        <f>SlaughterHeadCount!R145</f>
        <v>28.6</v>
      </c>
      <c r="H13" s="201">
        <f>SQRT((SlaughterHeadCount!R143/1000*G13*I44)^2+(F13*SlaughterWeights!K94*I44)^2+(F13*G13*I45)^2)</f>
        <v>2951.1140639001992</v>
      </c>
      <c r="I13" s="212">
        <f>F13*G13*I44</f>
        <v>19259.738212000004</v>
      </c>
      <c r="M13" s="222"/>
      <c r="N13" s="118"/>
      <c r="P13" s="118"/>
      <c r="Q13" s="139"/>
      <c r="R13" s="139"/>
      <c r="S13" s="215" t="s">
        <v>233</v>
      </c>
      <c r="T13" s="216">
        <v>0</v>
      </c>
      <c r="U13" s="217">
        <v>0</v>
      </c>
      <c r="V13" s="218">
        <v>0</v>
      </c>
      <c r="W13" s="217">
        <v>0</v>
      </c>
      <c r="X13" s="219">
        <f>I17-T13-V13</f>
        <v>93827.669264000011</v>
      </c>
      <c r="Y13" s="220">
        <f>SQRT(H17^2+U13^2+W13^2)</f>
        <v>37068.432384545566</v>
      </c>
      <c r="Z13" s="221">
        <f>T13+V13+X13</f>
        <v>93827.669264000011</v>
      </c>
      <c r="AA13" s="307">
        <f>T13/$Z13</f>
        <v>0</v>
      </c>
      <c r="AB13" s="275">
        <f>U13/$Z$13</f>
        <v>0</v>
      </c>
      <c r="AC13" s="925">
        <f>V13/$Z13</f>
        <v>0</v>
      </c>
      <c r="AD13" s="926">
        <f t="shared" si="0"/>
        <v>0</v>
      </c>
      <c r="AE13" s="925">
        <f>X13/$Z13</f>
        <v>1</v>
      </c>
      <c r="AF13" s="308">
        <f>Y13/Z13</f>
        <v>0.3950693081829334</v>
      </c>
      <c r="AG13" s="118"/>
      <c r="AH13" s="118"/>
      <c r="AI13" s="199"/>
      <c r="AJ13" s="118"/>
    </row>
    <row r="14" spans="1:38">
      <c r="A14" s="179" t="s">
        <v>397</v>
      </c>
      <c r="B14" s="164"/>
      <c r="C14" s="165"/>
      <c r="D14" s="165"/>
      <c r="E14" s="165"/>
      <c r="F14" s="167"/>
      <c r="G14" s="200"/>
      <c r="H14" s="223"/>
      <c r="I14" s="224"/>
      <c r="M14" s="213"/>
      <c r="N14" s="118"/>
      <c r="O14" s="154"/>
      <c r="R14" s="139"/>
      <c r="S14" s="215" t="s">
        <v>495</v>
      </c>
      <c r="T14" s="216">
        <v>0</v>
      </c>
      <c r="U14" s="217">
        <v>0</v>
      </c>
      <c r="V14" s="218">
        <v>0</v>
      </c>
      <c r="W14" s="217">
        <v>0</v>
      </c>
      <c r="X14" s="219">
        <f>I16-T14-V14</f>
        <v>17240.391776096192</v>
      </c>
      <c r="Y14" s="994">
        <f>SQRT(H16^2+U14^2+W14^2)</f>
        <v>7207.2586168518992</v>
      </c>
      <c r="Z14" s="221">
        <f>T14+V14+X14</f>
        <v>17240.391776096192</v>
      </c>
      <c r="AA14" s="307">
        <f>T14/$Z14</f>
        <v>0</v>
      </c>
      <c r="AB14" s="275">
        <f>U14/$Z$14</f>
        <v>0</v>
      </c>
      <c r="AC14" s="925">
        <f>V14/$Z14</f>
        <v>0</v>
      </c>
      <c r="AD14" s="926">
        <f t="shared" si="0"/>
        <v>0</v>
      </c>
      <c r="AE14" s="925">
        <f>X14/$Z14</f>
        <v>1</v>
      </c>
      <c r="AF14" s="308">
        <f>Y14/Z14</f>
        <v>0.4180449441319985</v>
      </c>
      <c r="AG14" s="118"/>
      <c r="AH14" s="118"/>
      <c r="AI14" s="199"/>
      <c r="AJ14" s="118"/>
    </row>
    <row r="15" spans="1:38" ht="19.350000000000001" customHeight="1" thickBot="1">
      <c r="A15" s="225" t="s">
        <v>246</v>
      </c>
      <c r="B15" s="226"/>
      <c r="C15" s="227"/>
      <c r="D15" s="227"/>
      <c r="E15" s="227"/>
      <c r="F15" s="228">
        <f>'Main Feed Needs &amp; Partitioning'!B11</f>
        <v>58.247300000000003</v>
      </c>
      <c r="G15" s="229"/>
      <c r="H15" s="230">
        <f>SQRT((F15*E45)^2+('inventory 2'!N12/1000*E44)^2)</f>
        <v>1484.631103609757</v>
      </c>
      <c r="I15" s="231">
        <f>F15*E44</f>
        <v>3548.1280204781315</v>
      </c>
      <c r="M15" s="213"/>
      <c r="N15" s="1049" t="s">
        <v>434</v>
      </c>
      <c r="O15" s="1037"/>
      <c r="P15" s="1037"/>
      <c r="Q15" s="1038"/>
      <c r="R15" s="139"/>
      <c r="S15" s="215" t="s">
        <v>496</v>
      </c>
      <c r="T15" s="232">
        <f>I18*$T$26</f>
        <v>18937.765396408024</v>
      </c>
      <c r="U15" s="233">
        <f>SQRT((T26*H18)^2+(I18*U26)^2)</f>
        <v>6155.3515203390762</v>
      </c>
      <c r="V15" s="234">
        <f>I18*V26</f>
        <v>45806.731685328807</v>
      </c>
      <c r="W15" s="235">
        <f>SQRT((V26*H18)^2+(I18*W26)^2)</f>
        <v>12626.202961497096</v>
      </c>
      <c r="X15" s="236">
        <f>I18*(1-T26-V26)</f>
        <v>97116.745622605231</v>
      </c>
      <c r="Y15" s="237">
        <f>SQRT((X26*H18)^2+(I18*Y26)^2)</f>
        <v>15552.279277379756</v>
      </c>
      <c r="Z15" s="238">
        <f>T15+V15+X15</f>
        <v>161861.24270434206</v>
      </c>
      <c r="AA15" s="927">
        <f>T15/$Z15</f>
        <v>0.11700000000000002</v>
      </c>
      <c r="AB15" s="928">
        <f>U15/$Z$15</f>
        <v>3.8028569517302699E-2</v>
      </c>
      <c r="AC15" s="929">
        <f>V15/$Z15</f>
        <v>0.28300000000000003</v>
      </c>
      <c r="AD15" s="930">
        <f t="shared" si="0"/>
        <v>7.8006338951445528E-2</v>
      </c>
      <c r="AE15" s="929">
        <f>X15/$Z15</f>
        <v>0.6</v>
      </c>
      <c r="AF15" s="931">
        <f>Y15/Z15</f>
        <v>9.6084022447472245E-2</v>
      </c>
      <c r="AG15" s="118"/>
      <c r="AH15" s="118"/>
      <c r="AI15" s="118"/>
      <c r="AJ15" s="118"/>
    </row>
    <row r="16" spans="1:38" ht="19.350000000000001" customHeight="1" thickBot="1">
      <c r="A16" s="906" t="s">
        <v>495</v>
      </c>
      <c r="B16" s="239"/>
      <c r="C16" s="239"/>
      <c r="D16" s="239"/>
      <c r="E16" s="239"/>
      <c r="F16" s="240">
        <f>'Main Feed Needs &amp; Partitioning'!B12</f>
        <v>283.02424999999999</v>
      </c>
      <c r="G16" s="241"/>
      <c r="H16" s="242">
        <f>SQRT(('inventory 2'!N13/1000*E44)^2+(F16*E45)^2)</f>
        <v>7207.2586168518992</v>
      </c>
      <c r="I16" s="243">
        <f>F16*E44</f>
        <v>17240.391776096192</v>
      </c>
      <c r="M16" s="213"/>
      <c r="N16" s="184"/>
      <c r="O16" s="244" t="s">
        <v>398</v>
      </c>
      <c r="P16" s="1034" t="s">
        <v>33</v>
      </c>
      <c r="Q16" s="245"/>
      <c r="S16" s="246" t="s">
        <v>443</v>
      </c>
      <c r="T16" s="247">
        <f>SUM(T11:T15)</f>
        <v>237695.8034230459</v>
      </c>
      <c r="U16" s="248">
        <f>Q19</f>
        <v>74928.983929058857</v>
      </c>
      <c r="V16" s="249">
        <f>SUM(V11:V15)</f>
        <v>365905.05279551842</v>
      </c>
      <c r="W16" s="248">
        <f>P19</f>
        <v>10601.05720719772</v>
      </c>
      <c r="X16" s="250">
        <f t="shared" ref="X16" si="1">SUM(X11:X15)</f>
        <v>402545.69092315214</v>
      </c>
      <c r="Y16" s="251">
        <f>O19</f>
        <v>24425.046051088168</v>
      </c>
      <c r="Z16" s="984">
        <f>SUM(X16,V16,T16)</f>
        <v>1006146.5471417165</v>
      </c>
      <c r="AB16" s="252"/>
      <c r="AC16" s="252"/>
      <c r="AD16" s="252"/>
      <c r="AE16" s="252"/>
      <c r="AF16" s="252"/>
      <c r="AG16" s="252"/>
      <c r="AH16" s="252"/>
      <c r="AI16" s="118"/>
      <c r="AJ16" s="118"/>
    </row>
    <row r="17" spans="1:36" ht="18" customHeight="1">
      <c r="A17" s="907" t="s">
        <v>233</v>
      </c>
      <c r="B17" s="226"/>
      <c r="C17" s="227"/>
      <c r="D17" s="227"/>
      <c r="E17" s="253"/>
      <c r="F17" s="959">
        <f>'Main Feed Needs &amp; Partitioning'!C6</f>
        <v>106.04393</v>
      </c>
      <c r="G17" s="254">
        <v>280</v>
      </c>
      <c r="H17" s="201">
        <f>SQRT((SlaughterHeadCount!I143/1000*G17*B45)^2+(F17*SlaughterWeights!H94*B45)^2+(F17*G17*B46)^2)</f>
        <v>37068.432384545566</v>
      </c>
      <c r="I17" s="255">
        <f>F17*G17*B45</f>
        <v>93827.669264000011</v>
      </c>
      <c r="M17" s="213"/>
      <c r="N17" s="184"/>
      <c r="O17" s="244" t="s">
        <v>399</v>
      </c>
      <c r="P17" s="1035"/>
      <c r="Q17" s="256" t="s">
        <v>120</v>
      </c>
      <c r="R17" s="118"/>
      <c r="S17" s="257" t="s">
        <v>232</v>
      </c>
      <c r="T17" s="914">
        <f>T11/(T16)</f>
        <v>0.92032772508522998</v>
      </c>
      <c r="U17" s="915">
        <f>(SQRT((SUM(T12:T15))^2*U11^2/T11^4+(1/T11)^2*(SUM(U12:U15)^2)))/((1/T17)^2)</f>
        <v>3.4014352467103395E-2</v>
      </c>
      <c r="V17" s="916">
        <f>V11/(V16)</f>
        <v>0.87481251943539751</v>
      </c>
      <c r="W17" s="915">
        <f>SQRT((SUM(V12:V15))^2*W11^2/V11^4+(1/V11)^2*(SUM(W12:W15)^2))/((1/V17)^2)</f>
        <v>3.0709412413656871E-2</v>
      </c>
      <c r="X17" s="916">
        <f>X11/($X$16)</f>
        <v>0.2088725679888695</v>
      </c>
      <c r="Y17" s="981">
        <f>(SQRT((SUM(X12:X15))^2*Y11^2/X11^4+(1/X11)^2*(SUM(Y12:Y15)^2)))/((1/X17)^2)</f>
        <v>0.11200856125919401</v>
      </c>
      <c r="Z17" s="985"/>
      <c r="AA17" s="166"/>
      <c r="AB17" s="990"/>
      <c r="AC17" s="991"/>
      <c r="AD17" s="991"/>
      <c r="AE17" s="991"/>
    </row>
    <row r="18" spans="1:36" ht="18" customHeight="1">
      <c r="A18" s="908" t="s">
        <v>496</v>
      </c>
      <c r="B18" s="187"/>
      <c r="C18" s="187"/>
      <c r="D18" s="187"/>
      <c r="E18" s="188"/>
      <c r="F18" s="189"/>
      <c r="G18" s="190"/>
      <c r="H18" s="258">
        <f>SQRT(H19^2+H20^2+H21^2)</f>
        <v>20245.491124799293</v>
      </c>
      <c r="I18" s="259">
        <f>SUM(I19:I21)</f>
        <v>161861.24270434206</v>
      </c>
      <c r="J18" s="162" t="s">
        <v>400</v>
      </c>
      <c r="K18" s="1101" t="s">
        <v>401</v>
      </c>
      <c r="L18" s="713"/>
      <c r="M18" s="213"/>
      <c r="N18" s="260" t="s">
        <v>187</v>
      </c>
      <c r="O18" s="261">
        <f>'Feed Total'!B4+'Feed Total'!C4-Q11</f>
        <v>402545.69092315208</v>
      </c>
      <c r="P18" s="261">
        <f>'Feed Total'!E4-P11</f>
        <v>365905.05279551842</v>
      </c>
      <c r="Q18" s="262">
        <f>I22-O18-P18</f>
        <v>237695.8034230459</v>
      </c>
      <c r="R18" s="263">
        <f>SUM(O18:Q18)</f>
        <v>1006146.5471417163</v>
      </c>
      <c r="S18" s="264" t="s">
        <v>245</v>
      </c>
      <c r="T18" s="917">
        <f t="shared" ref="T18:V18" si="2">T12/T$16</f>
        <v>0</v>
      </c>
      <c r="U18" s="918">
        <v>0</v>
      </c>
      <c r="V18" s="919">
        <f t="shared" si="2"/>
        <v>0</v>
      </c>
      <c r="W18" s="918">
        <v>0</v>
      </c>
      <c r="X18" s="919">
        <f t="shared" ref="X18:X20" si="3">X12/($X$16)</f>
        <v>0.27395680677036766</v>
      </c>
      <c r="Y18" s="982">
        <f>X18*SQRT(Y12^2/X12^2+Y16^2/X16^2)</f>
        <v>4.6097276183472792E-2</v>
      </c>
      <c r="Z18" s="986"/>
      <c r="AA18" s="118"/>
      <c r="AB18" s="992"/>
      <c r="AC18" s="991"/>
      <c r="AD18" s="991"/>
      <c r="AE18" s="991"/>
      <c r="AF18" s="118"/>
      <c r="AG18" s="118"/>
      <c r="AH18" s="118"/>
      <c r="AI18" s="118"/>
      <c r="AJ18" s="118"/>
    </row>
    <row r="19" spans="1:36" ht="21" customHeight="1">
      <c r="A19" s="265" t="s">
        <v>402</v>
      </c>
      <c r="B19" s="165"/>
      <c r="C19" s="165"/>
      <c r="D19" s="165"/>
      <c r="E19" s="166"/>
      <c r="F19" s="266">
        <f>'Main Feed Needs &amp; Partitioning'!B14</f>
        <v>9.1315000000000008</v>
      </c>
      <c r="G19" s="898">
        <f>'Main Feed Needs &amp; Partitioning'!E14</f>
        <v>1388.8980000000001</v>
      </c>
      <c r="H19" s="201">
        <f>365.2*SQRT(('inventory 2'!N15/1000*G19*0.0305)^2+(N6*G19*F19*0.0305)^2+(N6*G19*F19*0.0305)^2)</f>
        <v>20042.939678881266</v>
      </c>
      <c r="I19" s="212">
        <f>365.2*G19*F19*0.0305</f>
        <v>141267.7682382582</v>
      </c>
      <c r="J19" s="267">
        <f>G19*0.037</f>
        <v>51.389226000000001</v>
      </c>
      <c r="K19" s="1102"/>
      <c r="L19" s="713"/>
      <c r="M19" s="213"/>
      <c r="N19" s="268" t="s">
        <v>381</v>
      </c>
      <c r="O19" s="269">
        <f>SQRT('Feed Total'!B5^2+'Feed Total'!C5^2+Q12^2)</f>
        <v>24425.046051088168</v>
      </c>
      <c r="P19" s="269">
        <f>SQRT('Feed Total'!E5^2+P12^2)</f>
        <v>10601.05720719772</v>
      </c>
      <c r="Q19" s="972">
        <f>SQRT(H22^2+O19^2+P19^2)</f>
        <v>74928.983929058857</v>
      </c>
      <c r="R19" s="154"/>
      <c r="S19" s="264" t="s">
        <v>233</v>
      </c>
      <c r="T19" s="917">
        <f t="shared" ref="T19:V19" si="4">T13/T$16</f>
        <v>0</v>
      </c>
      <c r="U19" s="918">
        <v>0</v>
      </c>
      <c r="V19" s="919">
        <f t="shared" si="4"/>
        <v>0</v>
      </c>
      <c r="W19" s="918">
        <v>0</v>
      </c>
      <c r="X19" s="919">
        <f t="shared" si="3"/>
        <v>0.23308576238594528</v>
      </c>
      <c r="Y19" s="982">
        <f>X19*SQRT(Y13^2/X13^2+Y16^2/X16^2)</f>
        <v>9.3164758455897612E-2</v>
      </c>
      <c r="Z19" s="986"/>
      <c r="AA19" s="118"/>
      <c r="AB19" s="266"/>
      <c r="AC19" s="991"/>
      <c r="AD19" s="991"/>
      <c r="AE19" s="991"/>
      <c r="AF19" s="118"/>
      <c r="AG19" s="118"/>
      <c r="AI19" s="118"/>
      <c r="AJ19" s="118"/>
    </row>
    <row r="20" spans="1:36">
      <c r="A20" s="179" t="s">
        <v>403</v>
      </c>
      <c r="B20" s="165"/>
      <c r="C20" s="165"/>
      <c r="D20" s="165"/>
      <c r="E20" s="166"/>
      <c r="F20" s="266">
        <f>'Main Feed Needs &amp; Partitioning'!B15</f>
        <v>4.2835000000000001</v>
      </c>
      <c r="G20" s="898"/>
      <c r="H20" s="201">
        <f>365.2*SQRT(2*(N6*F20*0.02*K20)^2+('inventory 2'!N16/1000*0.02*K20)^2)</f>
        <v>2845.5068455922597</v>
      </c>
      <c r="I20" s="212">
        <f>365.2*F20*0.02*K20</f>
        <v>19137.787861286801</v>
      </c>
      <c r="J20" s="272">
        <f>K20*0.02</f>
        <v>12.233823093100439</v>
      </c>
      <c r="K20" s="899">
        <f>'Main Feed Needs &amp; Partitioning'!E15</f>
        <v>611.69115465502193</v>
      </c>
      <c r="L20" s="118"/>
      <c r="M20" s="213"/>
      <c r="N20" s="273"/>
      <c r="O20" s="274"/>
      <c r="P20" s="274"/>
      <c r="Q20" s="973" t="s">
        <v>574</v>
      </c>
      <c r="R20" s="974">
        <f>R11+Q18</f>
        <v>253899.78313365561</v>
      </c>
      <c r="S20" s="280" t="s">
        <v>495</v>
      </c>
      <c r="T20" s="917">
        <f t="shared" ref="T20:V20" si="5">T14/T$16</f>
        <v>0</v>
      </c>
      <c r="U20" s="918">
        <v>0</v>
      </c>
      <c r="V20" s="919">
        <f t="shared" si="5"/>
        <v>0</v>
      </c>
      <c r="W20" s="918">
        <v>0</v>
      </c>
      <c r="X20" s="919">
        <f t="shared" si="3"/>
        <v>4.2828409705638767E-2</v>
      </c>
      <c r="Y20" s="982">
        <f>X20*SQRT(Y14^2/X14^2+Y16^2/X16^2)</f>
        <v>1.8091807549036189E-2</v>
      </c>
      <c r="Z20" s="986"/>
      <c r="AA20" s="118"/>
      <c r="AB20" s="266"/>
      <c r="AC20" s="991"/>
      <c r="AD20" s="991"/>
      <c r="AE20" s="991"/>
      <c r="AF20" s="118"/>
      <c r="AG20" s="118"/>
      <c r="AI20" s="118"/>
      <c r="AJ20" s="118"/>
    </row>
    <row r="21" spans="1:36" ht="13.5" thickBot="1">
      <c r="A21" s="270" t="str">
        <f>'Main Feed Needs &amp; Partitioning'!A16</f>
        <v>dairy bulls</v>
      </c>
      <c r="B21" s="227"/>
      <c r="C21" s="227"/>
      <c r="D21" s="227"/>
      <c r="E21" s="253"/>
      <c r="F21" s="271">
        <f>0.012*F19</f>
        <v>0.10957800000000001</v>
      </c>
      <c r="G21" s="254">
        <f>'Main Feed Needs &amp; Partitioning'!E16</f>
        <v>1818.7950000000001</v>
      </c>
      <c r="H21" s="230">
        <f>365.2*SQRT(3*(G21*0.02*F21*N6)^2)</f>
        <v>252.13231594059104</v>
      </c>
      <c r="I21" s="231">
        <f>G21*0.02*F21*365.2</f>
        <v>1455.68660479704</v>
      </c>
      <c r="J21" s="172"/>
      <c r="K21" s="118"/>
      <c r="L21" s="118"/>
      <c r="M21" s="213"/>
      <c r="N21" s="273"/>
      <c r="O21" s="274"/>
      <c r="P21" s="274"/>
      <c r="Q21" s="724"/>
      <c r="R21" s="975">
        <f>SQRT(R12^2+Q19^2)</f>
        <v>74981.112732365102</v>
      </c>
      <c r="S21" s="971" t="s">
        <v>496</v>
      </c>
      <c r="T21" s="920">
        <f>T15/(T16)</f>
        <v>7.9672274914769928E-2</v>
      </c>
      <c r="U21" s="921">
        <f>(SQRT((SUM(T11:T14))^2*U15^2/T15^4+(1/T15)^2*(SUM(U11:U14)^2)))/((1/T21)^2)</f>
        <v>3.4014352467103395E-2</v>
      </c>
      <c r="V21" s="922">
        <f>V15/(V16)</f>
        <v>0.12518748056460247</v>
      </c>
      <c r="W21" s="921">
        <f>(SQRT((SUM(V11:V14))^2*W15^2/V15^4+(1/V15)^2*(SUM(W11:W14)^2)))/((1/V21)^2)</f>
        <v>3.0709412413656871E-2</v>
      </c>
      <c r="X21" s="922">
        <f>X15/($X$16)</f>
        <v>0.24125645314917871</v>
      </c>
      <c r="Y21" s="993">
        <f>X21*SQRT(Y15^2/X15^2+Y16^2/X16^2)</f>
        <v>4.1315098176047574E-2</v>
      </c>
      <c r="Z21" s="986"/>
      <c r="AA21" s="166"/>
      <c r="AB21" s="266"/>
      <c r="AC21" s="991"/>
      <c r="AD21" s="991"/>
      <c r="AE21" s="991"/>
      <c r="AF21" s="118"/>
      <c r="AG21" s="118"/>
      <c r="AI21" s="118"/>
      <c r="AJ21" s="118"/>
    </row>
    <row r="22" spans="1:36" ht="13.5" thickBot="1">
      <c r="A22" s="118"/>
      <c r="B22" s="1075" t="s">
        <v>404</v>
      </c>
      <c r="C22" s="1076"/>
      <c r="D22" s="1076"/>
      <c r="E22" s="1076"/>
      <c r="F22" s="1076"/>
      <c r="G22" s="1076"/>
      <c r="H22" s="276">
        <f>SQRT(H7^2+H10^2+H16^2+H17^2+H18^2)</f>
        <v>70038.470458263895</v>
      </c>
      <c r="I22" s="277">
        <f>I7+I17+I10+I16+I18</f>
        <v>1006146.5471417163</v>
      </c>
      <c r="M22" s="213"/>
      <c r="N22" s="1055" t="s">
        <v>405</v>
      </c>
      <c r="O22" s="1056"/>
      <c r="P22" s="1056"/>
      <c r="Q22" s="1060"/>
      <c r="R22" s="278"/>
      <c r="S22" s="280"/>
      <c r="T22" s="281"/>
      <c r="U22" s="281"/>
      <c r="V22" s="282"/>
      <c r="W22" s="282"/>
      <c r="X22" s="281"/>
      <c r="Y22" s="281"/>
      <c r="AA22" s="283"/>
      <c r="AB22" s="118"/>
      <c r="AC22" s="118"/>
      <c r="AD22" s="118"/>
      <c r="AE22" s="118"/>
      <c r="AF22" s="118"/>
      <c r="AG22" s="118"/>
      <c r="AI22" s="118"/>
      <c r="AJ22" s="118"/>
    </row>
    <row r="23" spans="1:36">
      <c r="J23" s="977"/>
      <c r="K23" s="2">
        <f>I20/2.2</f>
        <v>8698.9944824030899</v>
      </c>
      <c r="M23" s="213"/>
      <c r="N23" s="1061"/>
      <c r="O23" s="1062"/>
      <c r="P23" s="1062"/>
      <c r="Q23" s="1063"/>
      <c r="R23" s="279"/>
      <c r="S23" s="286"/>
      <c r="T23" s="1049" t="s">
        <v>244</v>
      </c>
      <c r="U23" s="1037"/>
      <c r="V23" s="1037"/>
      <c r="W23" s="1037"/>
      <c r="X23" s="1037"/>
      <c r="Y23" s="1038"/>
      <c r="AA23" s="118"/>
      <c r="AB23" s="118"/>
      <c r="AC23" s="118"/>
      <c r="AD23" s="118"/>
      <c r="AE23" s="118"/>
      <c r="AF23" s="118"/>
      <c r="AG23" s="1022"/>
      <c r="AH23" s="1022"/>
      <c r="AI23" s="1022"/>
      <c r="AJ23" s="118"/>
    </row>
    <row r="24" spans="1:36">
      <c r="H24" s="789"/>
      <c r="K24" s="2">
        <f>I21/2.2</f>
        <v>661.67572945319989</v>
      </c>
      <c r="N24" s="1055" t="s">
        <v>243</v>
      </c>
      <c r="O24" s="1056"/>
      <c r="P24" s="1057"/>
      <c r="Q24" s="1077">
        <f>Q18/614</f>
        <v>387.1267156727132</v>
      </c>
      <c r="R24" s="279"/>
      <c r="S24" s="286"/>
      <c r="T24" s="1049" t="s">
        <v>120</v>
      </c>
      <c r="U24" s="1038"/>
      <c r="V24" s="1049" t="s">
        <v>33</v>
      </c>
      <c r="W24" s="1038"/>
      <c r="X24" s="1049" t="s">
        <v>107</v>
      </c>
      <c r="Y24" s="1038"/>
      <c r="AA24" s="118"/>
      <c r="AB24" s="118"/>
      <c r="AC24" s="118"/>
      <c r="AD24" s="118"/>
      <c r="AE24" s="118"/>
      <c r="AF24" s="118"/>
      <c r="AG24" s="118"/>
      <c r="AI24" s="118"/>
      <c r="AJ24" s="118"/>
    </row>
    <row r="25" spans="1:36" ht="18" customHeight="1">
      <c r="N25" s="1061"/>
      <c r="O25" s="1062"/>
      <c r="P25" s="1063"/>
      <c r="Q25" s="1078"/>
      <c r="R25" s="118"/>
      <c r="S25" s="286"/>
      <c r="T25" s="287" t="s">
        <v>187</v>
      </c>
      <c r="U25" s="288" t="s">
        <v>381</v>
      </c>
      <c r="V25" s="287" t="s">
        <v>187</v>
      </c>
      <c r="W25" s="288" t="s">
        <v>381</v>
      </c>
      <c r="X25" s="287" t="s">
        <v>187</v>
      </c>
      <c r="Y25" s="288" t="s">
        <v>381</v>
      </c>
      <c r="Z25" s="118"/>
      <c r="AA25" s="989"/>
      <c r="AB25" s="118"/>
      <c r="AC25" s="118"/>
      <c r="AD25" s="989"/>
      <c r="AE25" s="118"/>
      <c r="AF25" s="118"/>
      <c r="AG25" s="989"/>
      <c r="AI25" s="118"/>
      <c r="AJ25" s="118"/>
    </row>
    <row r="26" spans="1:36" ht="25.35" customHeight="1">
      <c r="J26" s="694"/>
      <c r="N26" s="1050" t="s">
        <v>406</v>
      </c>
      <c r="O26" s="1069"/>
      <c r="P26" s="1069"/>
      <c r="Q26" s="1070"/>
      <c r="R26" s="118"/>
      <c r="S26" s="286"/>
      <c r="T26" s="290">
        <v>0.11700000000000001</v>
      </c>
      <c r="U26" s="291">
        <f>3*N6*T26</f>
        <v>3.5100000000000006E-2</v>
      </c>
      <c r="V26" s="292">
        <f>1-T26-X26</f>
        <v>0.28300000000000003</v>
      </c>
      <c r="W26" s="293">
        <f>SQRT(U26^2+Y26^2)</f>
        <v>6.9512660717311062E-2</v>
      </c>
      <c r="X26" s="294">
        <v>0.6</v>
      </c>
      <c r="Y26" s="295">
        <f>N6*X26</f>
        <v>0.06</v>
      </c>
      <c r="Z26" s="176"/>
      <c r="AA26" s="989"/>
      <c r="AB26" s="118"/>
      <c r="AC26" s="118"/>
      <c r="AD26" s="989"/>
      <c r="AE26" s="118"/>
      <c r="AF26" s="118"/>
      <c r="AG26" s="989"/>
      <c r="AI26" s="980"/>
      <c r="AJ26" s="118"/>
    </row>
    <row r="27" spans="1:36" ht="18" customHeight="1">
      <c r="G27" s="118"/>
      <c r="H27" s="118"/>
      <c r="I27" s="118"/>
      <c r="N27" s="1051"/>
      <c r="O27" s="1071"/>
      <c r="P27" s="1071"/>
      <c r="Q27" s="1072"/>
      <c r="R27" s="118"/>
      <c r="T27" s="1055" t="s">
        <v>408</v>
      </c>
      <c r="U27" s="1056"/>
      <c r="V27" s="1056"/>
      <c r="W27" s="1056"/>
      <c r="X27" s="1057"/>
      <c r="Y27" s="279"/>
      <c r="Z27" s="279"/>
      <c r="AA27" s="989"/>
      <c r="AB27" s="118"/>
      <c r="AC27" s="118"/>
      <c r="AD27" s="989"/>
      <c r="AE27" s="118"/>
      <c r="AF27" s="118"/>
      <c r="AG27" s="989"/>
      <c r="AI27" s="980"/>
      <c r="AJ27" s="118"/>
    </row>
    <row r="28" spans="1:36" ht="18" customHeight="1">
      <c r="G28" s="118"/>
      <c r="H28" s="1098"/>
      <c r="I28" s="1098"/>
      <c r="J28" s="118"/>
      <c r="K28" s="118"/>
      <c r="L28" s="118"/>
      <c r="M28" s="282"/>
      <c r="N28" s="1051"/>
      <c r="O28" s="1071"/>
      <c r="P28" s="1071"/>
      <c r="Q28" s="1072"/>
      <c r="R28" s="118"/>
      <c r="T28" s="1058"/>
      <c r="U28" s="1059"/>
      <c r="V28" s="1059"/>
      <c r="W28" s="1059"/>
      <c r="X28" s="1060"/>
      <c r="Y28" s="279"/>
      <c r="Z28" s="279"/>
      <c r="AA28" s="989"/>
      <c r="AB28" s="118"/>
      <c r="AC28" s="118"/>
      <c r="AD28" s="989"/>
      <c r="AE28" s="118"/>
      <c r="AF28" s="118"/>
      <c r="AG28" s="989"/>
      <c r="AI28" s="980"/>
      <c r="AJ28" s="118"/>
    </row>
    <row r="29" spans="1:36" ht="18.75" customHeight="1">
      <c r="G29" s="118"/>
      <c r="H29" s="715"/>
      <c r="I29" s="714"/>
      <c r="M29" s="296"/>
      <c r="N29" s="1052"/>
      <c r="O29" s="1073"/>
      <c r="P29" s="1073"/>
      <c r="Q29" s="1074"/>
      <c r="T29" s="1061"/>
      <c r="U29" s="1062"/>
      <c r="V29" s="1062"/>
      <c r="W29" s="1062"/>
      <c r="X29" s="1063"/>
      <c r="Z29" s="177"/>
      <c r="AA29" s="989"/>
      <c r="AB29" s="118"/>
      <c r="AC29" s="118"/>
      <c r="AD29" s="989"/>
      <c r="AE29" s="118"/>
      <c r="AF29" s="118"/>
      <c r="AG29" s="989"/>
      <c r="AI29" s="980"/>
      <c r="AJ29" s="118"/>
    </row>
    <row r="30" spans="1:36" ht="17.100000000000001" customHeight="1" thickBot="1">
      <c r="G30" s="118"/>
      <c r="H30" s="1095" t="s">
        <v>512</v>
      </c>
      <c r="I30" s="1096"/>
      <c r="J30" s="1096"/>
      <c r="K30" s="1096"/>
      <c r="L30" s="1097"/>
      <c r="M30" s="863"/>
      <c r="N30" s="297"/>
      <c r="O30" s="297"/>
      <c r="P30" s="297"/>
      <c r="Q30" s="297"/>
      <c r="S30" s="118"/>
      <c r="T30" s="118"/>
      <c r="U30" s="299"/>
      <c r="V30" s="118"/>
      <c r="W30" s="118"/>
      <c r="X30" s="118"/>
      <c r="Y30" s="118"/>
      <c r="Z30" s="118"/>
      <c r="AA30" s="989"/>
      <c r="AB30" s="118"/>
      <c r="AC30" s="118"/>
      <c r="AD30" s="118"/>
      <c r="AE30" s="118"/>
      <c r="AF30" s="118"/>
      <c r="AG30" s="118"/>
    </row>
    <row r="31" spans="1:36" ht="32.25" customHeight="1" thickBot="1">
      <c r="G31" s="118"/>
      <c r="H31" s="892" t="s">
        <v>513</v>
      </c>
      <c r="I31" s="893" t="s">
        <v>509</v>
      </c>
      <c r="J31" s="894" t="s">
        <v>510</v>
      </c>
      <c r="K31" s="895" t="s">
        <v>33</v>
      </c>
      <c r="L31" s="896" t="s">
        <v>511</v>
      </c>
      <c r="N31" s="282"/>
      <c r="O31" s="282"/>
      <c r="P31" s="282"/>
      <c r="Q31" s="282"/>
      <c r="R31" s="118"/>
      <c r="S31" s="303"/>
      <c r="T31" s="1064" t="s">
        <v>120</v>
      </c>
      <c r="U31" s="1065"/>
      <c r="V31" s="1009" t="s">
        <v>33</v>
      </c>
      <c r="W31" s="1010"/>
      <c r="X31" s="1053" t="s">
        <v>254</v>
      </c>
      <c r="Y31" s="1054"/>
      <c r="Z31" s="118"/>
      <c r="AA31" s="118"/>
      <c r="AB31" s="118"/>
      <c r="AC31" s="118"/>
      <c r="AD31" s="118"/>
      <c r="AE31" s="118"/>
      <c r="AF31" s="118"/>
      <c r="AG31" s="118"/>
    </row>
    <row r="32" spans="1:36" ht="20.100000000000001" customHeight="1">
      <c r="A32" s="536" t="s">
        <v>497</v>
      </c>
      <c r="B32" s="497"/>
      <c r="C32" s="188"/>
      <c r="D32" s="188"/>
      <c r="E32" s="284"/>
      <c r="F32" s="285"/>
      <c r="G32" s="267"/>
      <c r="H32" s="156"/>
      <c r="I32" s="779">
        <f>I33+I34+I37</f>
        <v>42489.929053048494</v>
      </c>
      <c r="J32" s="780">
        <f>J33+J34+J37</f>
        <v>7914.6881379572751</v>
      </c>
      <c r="K32" s="781">
        <f t="shared" ref="K32:L32" si="6">K33+K34+K37</f>
        <v>18371.261204481521</v>
      </c>
      <c r="L32" s="782">
        <f t="shared" si="6"/>
        <v>16203.979710609699</v>
      </c>
      <c r="M32" s="298"/>
      <c r="N32" s="300"/>
      <c r="O32" s="301"/>
      <c r="P32" s="118"/>
      <c r="Q32" s="302"/>
      <c r="R32" s="118"/>
      <c r="S32" s="215" t="s">
        <v>232</v>
      </c>
      <c r="T32" s="307">
        <f>T17+NORMINV(U37,0,1)*U17</f>
        <v>0.88507411446631357</v>
      </c>
      <c r="U32" s="308">
        <f>T17+NORMINV(1-U37,0,1)*U17</f>
        <v>0.95558133570414638</v>
      </c>
      <c r="V32" s="309">
        <f>V17+NORMINV(U37,0,1)*W17</f>
        <v>0.84298425903814844</v>
      </c>
      <c r="W32" s="310">
        <f>V17+NORMINV(1-U37,0,1)*W17</f>
        <v>0.90664077983264657</v>
      </c>
      <c r="X32" s="275">
        <f>X17+NORMINV(U37,0,1)*Y17</f>
        <v>9.2783155190680255E-2</v>
      </c>
      <c r="Y32" s="308">
        <f>X17+NORMINV(1-U37,0,1)*Y17</f>
        <v>0.32496198078705874</v>
      </c>
      <c r="Z32" s="118"/>
      <c r="AA32" s="118"/>
      <c r="AB32" s="311"/>
      <c r="AC32" s="311"/>
      <c r="AD32" s="118"/>
    </row>
    <row r="33" spans="1:41">
      <c r="A33" s="391" t="s">
        <v>390</v>
      </c>
      <c r="B33" s="343"/>
      <c r="C33" s="166"/>
      <c r="D33" s="166"/>
      <c r="E33" s="211"/>
      <c r="F33" s="266">
        <f>'Main Feed Needs &amp; Partitioning'!B24</f>
        <v>3.8365</v>
      </c>
      <c r="G33" s="794">
        <v>1100</v>
      </c>
      <c r="H33" s="779">
        <f>365.2*SQRT(3*(N6*0.02*1100*F33)^2)</f>
        <v>5338.8691830463367</v>
      </c>
      <c r="I33" s="779">
        <f>0.02*1100*F33*365.2</f>
        <v>30823.975600000002</v>
      </c>
      <c r="J33" s="180">
        <f>0.2*I33</f>
        <v>6164.7951200000007</v>
      </c>
      <c r="K33" s="408">
        <f>0.35*I33</f>
        <v>10788.391460000001</v>
      </c>
      <c r="L33" s="783">
        <f>0.45*I33</f>
        <v>13870.78902</v>
      </c>
      <c r="M33" s="304"/>
      <c r="N33" s="305"/>
      <c r="O33" s="118"/>
      <c r="P33" s="306"/>
      <c r="Q33" s="118"/>
      <c r="R33" s="118"/>
      <c r="S33" s="215" t="s">
        <v>433</v>
      </c>
      <c r="T33" s="307">
        <f t="shared" ref="T33" si="7">T18+NORMINV(0.03,0,1)*U18</f>
        <v>0</v>
      </c>
      <c r="U33" s="308">
        <f t="shared" ref="U33" si="8">T18+NORMINV(0.97,0,1)*U18</f>
        <v>0</v>
      </c>
      <c r="V33" s="309">
        <f t="shared" ref="V33" si="9">V18+NORMINV(0.03,0,1)*W18</f>
        <v>0</v>
      </c>
      <c r="W33" s="310">
        <f t="shared" ref="W33" si="10">V18+NORMINV(0.97,0,1)*W18</f>
        <v>0</v>
      </c>
      <c r="X33" s="275">
        <f>X18+NORMINV(U37,0,1)*Y18</f>
        <v>0.22618005056909959</v>
      </c>
      <c r="Y33" s="308">
        <f>X18+NORMINV(1-U37,0,1)*Y18</f>
        <v>0.32173356297163569</v>
      </c>
      <c r="Z33" s="311"/>
      <c r="AA33" s="299"/>
      <c r="AB33" s="311"/>
      <c r="AC33" s="311"/>
      <c r="AD33" s="118"/>
      <c r="AE33" s="118"/>
    </row>
    <row r="34" spans="1:41" ht="17.100000000000001" customHeight="1">
      <c r="A34" s="391" t="s">
        <v>310</v>
      </c>
      <c r="B34" s="343"/>
      <c r="C34" s="166"/>
      <c r="D34" s="166"/>
      <c r="E34" s="211"/>
      <c r="F34" s="266">
        <v>1.33385</v>
      </c>
      <c r="G34" s="795"/>
      <c r="H34" s="779">
        <f>SQRT(H36^2+H35^2)</f>
        <v>198.87558577431835</v>
      </c>
      <c r="I34" s="779">
        <f>I35+I36</f>
        <v>1382.7055935484946</v>
      </c>
      <c r="J34" s="180">
        <f>0.15*I34</f>
        <v>207.40583903227417</v>
      </c>
      <c r="K34" s="408">
        <f>0.65*I34</f>
        <v>898.75863580652151</v>
      </c>
      <c r="L34" s="783">
        <f>0.2*I34</f>
        <v>276.54111870969894</v>
      </c>
      <c r="M34" s="312"/>
      <c r="N34" s="305"/>
      <c r="O34" s="152"/>
      <c r="P34" s="152"/>
      <c r="Q34" s="118"/>
      <c r="R34" s="118"/>
      <c r="S34" s="215" t="s">
        <v>233</v>
      </c>
      <c r="T34" s="307">
        <f>T19+NORMINV(0.03,0,1)*U19</f>
        <v>0</v>
      </c>
      <c r="U34" s="308">
        <f>T19+NORMINV(0.97,0,1)*U19</f>
        <v>0</v>
      </c>
      <c r="V34" s="309">
        <f>V19+NORMINV(0.03,0,1)*W19</f>
        <v>0</v>
      </c>
      <c r="W34" s="310">
        <f>V19+NORMINV(0.97,0,1)*W19</f>
        <v>0</v>
      </c>
      <c r="X34" s="275">
        <f>X19+NORMINV(U37,0,1)*Y19</f>
        <v>0.13652669599812911</v>
      </c>
      <c r="Y34" s="308">
        <f t="shared" ref="Y34" si="11">X19+NORMINV(0.97,0,1)*Y19</f>
        <v>0.40830944459475266</v>
      </c>
      <c r="Z34" s="279"/>
      <c r="AA34" s="118"/>
      <c r="AB34" s="275"/>
      <c r="AC34" s="279"/>
      <c r="AD34" s="118"/>
      <c r="AE34" s="118"/>
    </row>
    <row r="35" spans="1:41" ht="17.100000000000001" customHeight="1">
      <c r="A35" s="2" t="s">
        <v>309</v>
      </c>
      <c r="B35" s="156"/>
      <c r="C35" s="118"/>
      <c r="D35" s="118"/>
      <c r="E35" s="118"/>
      <c r="F35" s="166">
        <f>'Main Feed Needs &amp; Partitioning'!B26</f>
        <v>0.51042108333333336</v>
      </c>
      <c r="G35" s="157">
        <v>160</v>
      </c>
      <c r="H35" s="723">
        <f>365.2*SQRT((Goats!N50*0.04*G35)^2+2*(N6*0.04*G35*F35)^2)</f>
        <v>197.26755817167751</v>
      </c>
      <c r="I35" s="723">
        <f>0.04*G35*F35*365.2</f>
        <v>1192.9969896533335</v>
      </c>
      <c r="J35" s="180"/>
      <c r="K35" s="408"/>
      <c r="L35" s="783"/>
      <c r="M35" s="313"/>
      <c r="N35" s="305"/>
      <c r="O35" s="160"/>
      <c r="P35" s="160"/>
      <c r="Q35" s="118"/>
      <c r="R35" s="118"/>
      <c r="S35" s="215" t="s">
        <v>495</v>
      </c>
      <c r="T35" s="307">
        <f>T20+NORMINV(0.03,0,1)*U20</f>
        <v>0</v>
      </c>
      <c r="U35" s="308">
        <f>T20+NORMINV(0.97,0,1)*U20</f>
        <v>0</v>
      </c>
      <c r="V35" s="309">
        <f>V20+NORMINV(0.03,0,1)*W20</f>
        <v>0</v>
      </c>
      <c r="W35" s="310">
        <f>V20+NORMINV(0.97,0,1)*W20</f>
        <v>0</v>
      </c>
      <c r="X35" s="275">
        <f>X20+NORMINV(U37,0,1)*Y20</f>
        <v>2.4077456285521857E-2</v>
      </c>
      <c r="Y35" s="308">
        <f>X20+NORMINV(1-U37,0,1)*Y20</f>
        <v>6.1579363125755682E-2</v>
      </c>
      <c r="Z35" s="118"/>
      <c r="AA35" s="118"/>
      <c r="AB35" s="118"/>
      <c r="AC35" s="279"/>
      <c r="AD35" s="118"/>
      <c r="AE35" s="118"/>
      <c r="AF35" s="118"/>
      <c r="AG35" s="118"/>
      <c r="AH35" s="118"/>
      <c r="AI35" s="118"/>
      <c r="AJ35" s="118"/>
      <c r="AK35" s="118"/>
      <c r="AL35" s="118"/>
      <c r="AM35" s="118"/>
      <c r="AN35" s="118"/>
      <c r="AO35" s="118"/>
    </row>
    <row r="36" spans="1:41" ht="21" customHeight="1" thickBot="1">
      <c r="A36" s="2" t="s">
        <v>308</v>
      </c>
      <c r="B36" s="156"/>
      <c r="C36" s="118"/>
      <c r="D36" s="118"/>
      <c r="E36" s="118"/>
      <c r="F36" s="166">
        <f>'Main Feed Needs &amp; Partitioning'!C27</f>
        <v>0.82384999999999953</v>
      </c>
      <c r="G36" s="803">
        <f>Goats!M14</f>
        <v>62.7</v>
      </c>
      <c r="H36" s="723">
        <f>SQRT(('Main Feed Needs &amp; Partitioning'!F27*G36*Goats!M11/1000)^2+('Main Feed Needs &amp; Partitioning'!F27*Goats!M15*Goats!M10/1000)^2+('Main Feed Needs &amp; Partitioning'!F27*N6*G36*F36)^2)</f>
        <v>25.239039404503679</v>
      </c>
      <c r="I36" s="723">
        <f>'Main Feed Needs &amp; Partitioning'!F27*G36*F36</f>
        <v>189.70860389516119</v>
      </c>
      <c r="J36" s="180"/>
      <c r="K36" s="408"/>
      <c r="L36" s="783"/>
      <c r="M36" s="313"/>
      <c r="N36" s="305"/>
      <c r="O36" s="317"/>
      <c r="P36" s="317"/>
      <c r="Q36" s="118"/>
      <c r="R36" s="118"/>
      <c r="S36" s="215" t="s">
        <v>496</v>
      </c>
      <c r="T36" s="307">
        <f>T21+NORMINV(U37,0,1)*U21</f>
        <v>4.4418664295853505E-2</v>
      </c>
      <c r="U36" s="308">
        <f>T21+NORMINV(1-U37,0,1)*U21</f>
        <v>0.11492588553368635</v>
      </c>
      <c r="V36" s="309">
        <f>V21+NORMINV(U37,0,1)*W21</f>
        <v>9.3359220167353402E-2</v>
      </c>
      <c r="W36" s="310">
        <f>V21+NORMINV(1-U37,0,1)*W21</f>
        <v>0.15701574096185153</v>
      </c>
      <c r="X36" s="275">
        <f>X21+NORMINV(U37,0,1)*Y21</f>
        <v>0.19843610590930902</v>
      </c>
      <c r="Y36" s="308">
        <f>X21+NORMINV(1-U37,0,1)*Y21</f>
        <v>0.28407680038904837</v>
      </c>
      <c r="Z36" s="118"/>
      <c r="AA36" s="275"/>
      <c r="AB36" s="118"/>
      <c r="AC36" s="118"/>
      <c r="AD36" s="118"/>
      <c r="AE36" s="118"/>
      <c r="AF36" s="118"/>
      <c r="AG36" s="118"/>
      <c r="AH36" s="118"/>
      <c r="AI36" s="118"/>
      <c r="AJ36" s="118"/>
      <c r="AK36" s="118"/>
      <c r="AL36" s="118"/>
      <c r="AM36" s="118"/>
      <c r="AN36" s="118"/>
      <c r="AO36" s="118"/>
    </row>
    <row r="37" spans="1:41" ht="21" customHeight="1" thickBot="1">
      <c r="A37" s="392" t="s">
        <v>311</v>
      </c>
      <c r="B37" s="498"/>
      <c r="C37" s="253"/>
      <c r="D37" s="253"/>
      <c r="E37" s="289"/>
      <c r="F37" s="271">
        <v>7.5819999999999999</v>
      </c>
      <c r="G37" s="796"/>
      <c r="H37" s="779">
        <f>SQRT(H38^2+H39^2)</f>
        <v>1360.4919746724272</v>
      </c>
      <c r="I37" s="779">
        <f>I38+I39</f>
        <v>10283.247859499999</v>
      </c>
      <c r="J37" s="180">
        <f>0.15*I37</f>
        <v>1542.4871789249999</v>
      </c>
      <c r="K37" s="408">
        <f>0.65*I37</f>
        <v>6684.1111086749997</v>
      </c>
      <c r="L37" s="783">
        <f>0.2*I37</f>
        <v>2056.6495719</v>
      </c>
      <c r="M37" s="313"/>
      <c r="N37" s="305"/>
      <c r="O37" s="118"/>
      <c r="P37" s="317"/>
      <c r="Q37" s="118"/>
      <c r="R37" s="118"/>
      <c r="S37" s="1068" t="s">
        <v>485</v>
      </c>
      <c r="T37" s="1066"/>
      <c r="U37" s="319">
        <f>0.15</f>
        <v>0.15</v>
      </c>
      <c r="V37" s="319" t="s">
        <v>486</v>
      </c>
      <c r="W37" s="320">
        <f>1-U37*2</f>
        <v>0.7</v>
      </c>
      <c r="X37" s="1066" t="s">
        <v>487</v>
      </c>
      <c r="Y37" s="1067"/>
      <c r="Z37" s="118"/>
      <c r="AA37" s="118"/>
      <c r="AB37" s="118"/>
      <c r="AC37" s="118"/>
      <c r="AD37" s="118"/>
      <c r="AE37" s="118"/>
      <c r="AF37" s="118"/>
      <c r="AG37" s="118"/>
      <c r="AH37" s="118"/>
      <c r="AI37" s="118"/>
      <c r="AJ37" s="118"/>
      <c r="AK37" s="118"/>
      <c r="AL37" s="118"/>
      <c r="AM37" s="118"/>
      <c r="AN37" s="118"/>
      <c r="AO37" s="118"/>
    </row>
    <row r="38" spans="1:41" ht="26.1" customHeight="1">
      <c r="A38" s="155" t="s">
        <v>308</v>
      </c>
      <c r="B38" s="720"/>
      <c r="C38" s="720"/>
      <c r="D38" s="720"/>
      <c r="E38" s="720"/>
      <c r="F38" s="188">
        <f>'Main Feed Needs &amp; Partitioning'!C29</f>
        <v>2.79453</v>
      </c>
      <c r="G38" s="267">
        <f>'Main Feed Needs &amp; Partitioning'!D29</f>
        <v>138.5</v>
      </c>
      <c r="H38" s="723">
        <f>SQRT(('Main Feed Needs &amp; Partitioning'!F29*G38*SlaughterHeadCount!M143/1000)^2+('Main Feed Needs &amp; Partitioning'!F29*SlaughterWeights!E94*F38)^2+(N6*'Main Feed Needs &amp; Partitioning'!F29*G38*F38)^2)</f>
        <v>193.98062826562099</v>
      </c>
      <c r="I38" s="723">
        <f>'Main Feed Needs &amp; Partitioning'!F29*G38*F38</f>
        <v>1351.0155285000001</v>
      </c>
      <c r="J38" s="784"/>
      <c r="K38" s="118"/>
      <c r="L38" s="785"/>
      <c r="M38" s="313"/>
      <c r="N38" s="3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row>
    <row r="39" spans="1:41" ht="22.35" customHeight="1" thickBot="1">
      <c r="A39" s="721" t="s">
        <v>438</v>
      </c>
      <c r="B39" s="722"/>
      <c r="C39" s="722"/>
      <c r="D39" s="722"/>
      <c r="E39" s="722"/>
      <c r="F39" s="253">
        <f>'Main Feed Needs &amp; Partitioning'!B30</f>
        <v>4.4672999999999998</v>
      </c>
      <c r="G39" s="960">
        <v>150</v>
      </c>
      <c r="H39" s="724">
        <f>365.2*SQRT(('inventory 2'!N31/1000*0.0365*G39)^2+2*(N6*0.0365*G39*F39)^2)</f>
        <v>1346.5919682686938</v>
      </c>
      <c r="I39" s="724">
        <f>0.0365*G39*F39*365.2</f>
        <v>8932.2323309999992</v>
      </c>
      <c r="J39" s="786"/>
      <c r="K39" s="787"/>
      <c r="L39" s="788"/>
      <c r="M39" s="313"/>
      <c r="N39" s="318"/>
      <c r="O39" s="3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row>
    <row r="40" spans="1:41" ht="15" customHeight="1">
      <c r="M40" s="154"/>
      <c r="N40" s="327"/>
      <c r="O40" s="327"/>
      <c r="P40" s="328"/>
      <c r="Q40" s="118"/>
      <c r="R40" s="118"/>
      <c r="S40" s="118"/>
      <c r="T40" s="118"/>
      <c r="U40" s="118"/>
      <c r="V40" s="118"/>
      <c r="W40" s="118"/>
      <c r="X40" s="329"/>
      <c r="Y40" s="118"/>
      <c r="Z40" s="118"/>
      <c r="AA40" s="118"/>
      <c r="AB40" s="118"/>
      <c r="AC40" s="118"/>
      <c r="AD40" s="118"/>
      <c r="AE40" s="118"/>
      <c r="AF40" s="118"/>
      <c r="AG40" s="118"/>
      <c r="AH40" s="118"/>
      <c r="AI40" s="118"/>
      <c r="AJ40" s="118"/>
      <c r="AK40" s="118"/>
      <c r="AL40" s="118"/>
      <c r="AM40" s="118"/>
      <c r="AN40" s="118"/>
      <c r="AO40" s="118"/>
    </row>
    <row r="41" spans="1:41" ht="18" customHeight="1">
      <c r="M41" s="324"/>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row>
    <row r="42" spans="1:41" ht="16.350000000000001" customHeight="1">
      <c r="P42" s="331"/>
      <c r="Q42" s="283"/>
      <c r="R42" s="118"/>
      <c r="T42" s="334"/>
      <c r="AB42" s="118"/>
      <c r="AC42" s="118"/>
      <c r="AD42" s="118"/>
      <c r="AE42" s="118"/>
      <c r="AF42" s="118"/>
      <c r="AG42" s="118"/>
      <c r="AH42" s="118"/>
      <c r="AI42" s="118"/>
      <c r="AJ42" s="118"/>
      <c r="AK42" s="118"/>
      <c r="AL42" s="118"/>
      <c r="AM42" s="118"/>
      <c r="AN42" s="118"/>
      <c r="AO42" s="118"/>
    </row>
    <row r="43" spans="1:41" ht="57.75" customHeight="1">
      <c r="A43" s="409"/>
      <c r="B43" s="410"/>
      <c r="C43" s="411"/>
      <c r="D43" s="155"/>
      <c r="E43" s="939" t="s">
        <v>571</v>
      </c>
      <c r="F43" s="909"/>
      <c r="G43" s="1050" t="s">
        <v>481</v>
      </c>
      <c r="H43" s="410"/>
      <c r="I43" s="410"/>
      <c r="J43" s="409"/>
      <c r="K43" s="942" t="s">
        <v>484</v>
      </c>
      <c r="L43" s="935"/>
      <c r="P43" s="333"/>
      <c r="Q43" s="333"/>
      <c r="AB43" s="118"/>
      <c r="AC43" s="118"/>
      <c r="AD43" s="118"/>
      <c r="AE43" s="118"/>
      <c r="AF43" s="118"/>
      <c r="AG43" s="118"/>
      <c r="AH43" s="118"/>
      <c r="AI43" s="118"/>
      <c r="AJ43" s="118"/>
      <c r="AK43" s="118"/>
      <c r="AL43" s="118"/>
      <c r="AM43" s="118"/>
      <c r="AN43" s="118"/>
      <c r="AO43" s="118"/>
    </row>
    <row r="44" spans="1:41" ht="42.75" customHeight="1">
      <c r="B44" s="314"/>
      <c r="C44" s="413"/>
      <c r="D44" s="937" t="s">
        <v>477</v>
      </c>
      <c r="E44" s="412">
        <f>0.88*0.086*2.204*365.2</f>
        <v>60.914892544000004</v>
      </c>
      <c r="F44" s="909"/>
      <c r="G44" s="1051"/>
      <c r="H44" s="913" t="s">
        <v>483</v>
      </c>
      <c r="I44" s="315">
        <v>2.6</v>
      </c>
      <c r="J44" s="937" t="s">
        <v>482</v>
      </c>
      <c r="K44" s="719">
        <f>'Main Feed Needs &amp; Partitioning'!F8</f>
        <v>1.8</v>
      </c>
      <c r="L44" s="316"/>
      <c r="N44" s="327"/>
      <c r="O44" s="327"/>
      <c r="AB44" s="118"/>
      <c r="AC44" s="118"/>
      <c r="AD44" s="118"/>
      <c r="AE44" s="118"/>
      <c r="AF44" s="118"/>
      <c r="AG44" s="118"/>
      <c r="AH44" s="118"/>
      <c r="AI44" s="118"/>
      <c r="AJ44" s="118"/>
      <c r="AK44" s="118"/>
      <c r="AL44" s="118"/>
      <c r="AM44" s="118"/>
      <c r="AN44" s="118"/>
      <c r="AO44" s="118"/>
    </row>
    <row r="45" spans="1:41" ht="39" customHeight="1">
      <c r="A45" s="937" t="s">
        <v>394</v>
      </c>
      <c r="B45" s="315">
        <v>3.16</v>
      </c>
      <c r="C45" s="940"/>
      <c r="D45" s="937" t="s">
        <v>186</v>
      </c>
      <c r="E45" s="803">
        <f>STDEV(0.88*0.11*2.204*365.2,E44,E47)</f>
        <v>25.457359001541118</v>
      </c>
      <c r="F45" s="909"/>
      <c r="G45" s="1051"/>
      <c r="H45" s="932" t="s">
        <v>186</v>
      </c>
      <c r="I45" s="941">
        <f>STDEV(2.6,(2.5+3.2)/2,I47)</f>
        <v>0.38006334754635968</v>
      </c>
      <c r="J45" s="937" t="s">
        <v>186</v>
      </c>
      <c r="K45" s="941">
        <f>STDEV(1.8, 2.5, L47)</f>
        <v>0.35171010790137874</v>
      </c>
      <c r="L45" s="911"/>
      <c r="M45" s="327"/>
      <c r="N45" s="327"/>
      <c r="O45" s="327"/>
      <c r="AB45" s="118"/>
      <c r="AC45" s="118"/>
      <c r="AD45" s="118"/>
      <c r="AE45" s="118"/>
      <c r="AF45" s="118"/>
      <c r="AG45" s="118"/>
      <c r="AH45" s="118"/>
      <c r="AI45" s="118"/>
      <c r="AJ45" s="118"/>
      <c r="AK45" s="118"/>
      <c r="AL45" s="118"/>
      <c r="AM45" s="118"/>
      <c r="AN45" s="118"/>
      <c r="AO45" s="118"/>
    </row>
    <row r="46" spans="1:41" ht="34.5" customHeight="1">
      <c r="A46" s="938" t="s">
        <v>186</v>
      </c>
      <c r="B46" s="944">
        <f>STDEV(2.87,3.16,4,5.62)</f>
        <v>1.2350809690056757</v>
      </c>
      <c r="C46" s="159"/>
      <c r="D46" s="938"/>
      <c r="E46" s="414"/>
      <c r="F46" s="910"/>
      <c r="G46" s="1052"/>
      <c r="H46" s="933"/>
      <c r="I46" s="933"/>
      <c r="J46" s="721"/>
      <c r="K46" s="943"/>
      <c r="L46" s="912"/>
      <c r="N46" s="327"/>
      <c r="O46" s="327"/>
      <c r="AE46" s="118"/>
      <c r="AF46" s="118"/>
      <c r="AG46" s="118"/>
      <c r="AH46" s="118"/>
      <c r="AI46" s="118"/>
      <c r="AJ46" s="118"/>
      <c r="AK46" s="118"/>
      <c r="AL46" s="118"/>
      <c r="AM46" s="118"/>
      <c r="AN46" s="118"/>
      <c r="AO46" s="118"/>
    </row>
    <row r="47" spans="1:41" ht="38.25">
      <c r="A47" s="321"/>
      <c r="B47" s="946">
        <f>AVERAGE(581,592,574,603,581,551,562,502,513)/100</f>
        <v>5.6211111111111105</v>
      </c>
      <c r="D47" s="936" t="s">
        <v>570</v>
      </c>
      <c r="E47" s="789">
        <f>0.88*AVERAGE(129,128,129,134,131,124,124,116,120)</f>
        <v>110.97777777777777</v>
      </c>
      <c r="H47" s="936" t="s">
        <v>570</v>
      </c>
      <c r="I47" s="934">
        <f>AVERAGE(3.68,3.44,3.42,3.6,3.53,3.37,3.31,2.77,3)</f>
        <v>3.3466666666666662</v>
      </c>
      <c r="K47" s="936" t="s">
        <v>570</v>
      </c>
      <c r="L47" s="2">
        <f>AVERAGE(2.3,2.19,2.24,2.29,2.14,1.99,1.99,1.75,1.92)</f>
        <v>2.0900000000000003</v>
      </c>
      <c r="AA47" s="335"/>
    </row>
    <row r="48" spans="1:41">
      <c r="A48" s="321"/>
      <c r="B48" s="932"/>
    </row>
    <row r="49" spans="1:2">
      <c r="A49" s="323"/>
      <c r="B49" s="961"/>
    </row>
    <row r="50" spans="1:2" ht="18" customHeight="1">
      <c r="A50" s="323" t="s">
        <v>577</v>
      </c>
      <c r="B50" s="325"/>
    </row>
    <row r="51" spans="1:2">
      <c r="A51" s="326"/>
      <c r="B51" s="1"/>
    </row>
    <row r="52" spans="1:2" ht="26.25" customHeight="1">
      <c r="A52" s="323"/>
      <c r="B52" s="1"/>
    </row>
    <row r="53" spans="1:2" ht="26.25" customHeight="1">
      <c r="A53" s="323"/>
      <c r="B53" s="327"/>
    </row>
    <row r="54" spans="1:2">
      <c r="A54" s="321"/>
      <c r="B54" s="322"/>
    </row>
    <row r="55" spans="1:2">
      <c r="A55" s="330"/>
    </row>
    <row r="56" spans="1:2">
      <c r="A56" s="330"/>
      <c r="B56" s="332"/>
    </row>
    <row r="58" spans="1:2">
      <c r="A58" s="330"/>
      <c r="B58" s="332"/>
    </row>
  </sheetData>
  <mergeCells count="48">
    <mergeCell ref="N1:N5"/>
    <mergeCell ref="H30:L30"/>
    <mergeCell ref="H28:I28"/>
    <mergeCell ref="I4:I5"/>
    <mergeCell ref="K18:K19"/>
    <mergeCell ref="K7:K8"/>
    <mergeCell ref="J6:J7"/>
    <mergeCell ref="B3:F3"/>
    <mergeCell ref="G3:G5"/>
    <mergeCell ref="H2:I3"/>
    <mergeCell ref="H4:H5"/>
    <mergeCell ref="F4:F5"/>
    <mergeCell ref="G43:G46"/>
    <mergeCell ref="T23:Y23"/>
    <mergeCell ref="X31:Y31"/>
    <mergeCell ref="T27:X29"/>
    <mergeCell ref="V24:W24"/>
    <mergeCell ref="X24:Y24"/>
    <mergeCell ref="T24:U24"/>
    <mergeCell ref="T31:U31"/>
    <mergeCell ref="V31:W31"/>
    <mergeCell ref="X37:Y37"/>
    <mergeCell ref="S37:T37"/>
    <mergeCell ref="N24:P25"/>
    <mergeCell ref="N26:Q29"/>
    <mergeCell ref="N22:Q23"/>
    <mergeCell ref="B22:G22"/>
    <mergeCell ref="Q24:Q25"/>
    <mergeCell ref="P16:P17"/>
    <mergeCell ref="T9:U9"/>
    <mergeCell ref="T8:Z8"/>
    <mergeCell ref="N8:Q8"/>
    <mergeCell ref="V9:W9"/>
    <mergeCell ref="Q9:Q10"/>
    <mergeCell ref="P9:P10"/>
    <mergeCell ref="O9:O10"/>
    <mergeCell ref="R9:R10"/>
    <mergeCell ref="Z9:Z10"/>
    <mergeCell ref="X9:Y9"/>
    <mergeCell ref="N15:Q15"/>
    <mergeCell ref="AG23:AI23"/>
    <mergeCell ref="AA8:AF8"/>
    <mergeCell ref="T5:U5"/>
    <mergeCell ref="T6:U6"/>
    <mergeCell ref="T7:U7"/>
    <mergeCell ref="AA9:AB9"/>
    <mergeCell ref="AC9:AD9"/>
    <mergeCell ref="AE9:AF9"/>
  </mergeCells>
  <phoneticPr fontId="14" type="noConversion"/>
  <pageMargins left="0.7" right="0.7" top="0.75" bottom="0.75" header="0.3" footer="0.3"/>
  <pageSetup orientation="portrait" verticalDpi="0" r:id="rId1"/>
  <ignoredErrors>
    <ignoredError sqref="U21:X21 AB11:AD15 U33:U35 W33:W35 U17:X20 V16 X16" formula="1"/>
  </ignoredErrors>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00000"/>
  </sheetPr>
  <dimension ref="A4:O56"/>
  <sheetViews>
    <sheetView topLeftCell="A4" zoomScale="90" zoomScaleNormal="90" zoomScalePageLayoutView="90" workbookViewId="0">
      <pane xSplit="2" ySplit="2" topLeftCell="C6" activePane="bottomRight" state="frozen"/>
      <selection activeCell="A4" sqref="A4"/>
      <selection pane="topRight" activeCell="B4" sqref="B4"/>
      <selection pane="bottomLeft" activeCell="A6" sqref="A6"/>
      <selection pane="bottomRight" activeCell="A20" sqref="A20"/>
    </sheetView>
  </sheetViews>
  <sheetFormatPr defaultColWidth="8.6640625" defaultRowHeight="15"/>
  <cols>
    <col min="1" max="1" width="3.109375" style="79" customWidth="1"/>
    <col min="2" max="2" width="16.5546875" style="349" customWidth="1"/>
    <col min="14" max="14" width="10.33203125" bestFit="1" customWidth="1"/>
    <col min="15" max="15" width="56" customWidth="1"/>
  </cols>
  <sheetData>
    <row r="4" spans="1:15" s="725" customFormat="1" ht="15.75" thickBot="1">
      <c r="A4" s="79"/>
      <c r="B4" s="200" t="s">
        <v>124</v>
      </c>
    </row>
    <row r="5" spans="1:15" ht="15.75" thickBot="1">
      <c r="B5" s="752" t="s">
        <v>113</v>
      </c>
      <c r="C5" s="753">
        <v>2002</v>
      </c>
      <c r="D5" s="753">
        <v>2003</v>
      </c>
      <c r="E5" s="753">
        <v>2004</v>
      </c>
      <c r="F5" s="753">
        <v>2005</v>
      </c>
      <c r="G5" s="753">
        <v>2006</v>
      </c>
      <c r="H5" s="753">
        <v>2007</v>
      </c>
      <c r="I5" s="753">
        <v>2008</v>
      </c>
      <c r="J5" s="753">
        <v>2009</v>
      </c>
      <c r="K5" s="753">
        <v>2010</v>
      </c>
      <c r="L5" s="754">
        <v>2011</v>
      </c>
      <c r="M5" s="755" t="s">
        <v>304</v>
      </c>
      <c r="N5" s="755" t="s">
        <v>186</v>
      </c>
      <c r="O5" s="755" t="s">
        <v>127</v>
      </c>
    </row>
    <row r="6" spans="1:15">
      <c r="B6" s="734"/>
      <c r="C6" s="44"/>
      <c r="D6" s="44"/>
      <c r="E6" s="44"/>
      <c r="F6" s="44"/>
      <c r="G6" s="44"/>
      <c r="H6" s="44"/>
      <c r="I6" s="44"/>
      <c r="J6" s="44"/>
      <c r="K6" s="44"/>
      <c r="L6" s="125"/>
      <c r="M6" s="744"/>
      <c r="N6" s="744"/>
      <c r="O6" s="744"/>
    </row>
    <row r="7" spans="1:15" s="44" customFormat="1">
      <c r="A7" s="900" t="s">
        <v>16</v>
      </c>
      <c r="B7" s="735" t="s">
        <v>233</v>
      </c>
      <c r="C7" s="44" t="s">
        <v>130</v>
      </c>
      <c r="L7" s="125"/>
      <c r="M7" s="744"/>
      <c r="N7" s="744"/>
      <c r="O7" s="744"/>
    </row>
    <row r="8" spans="1:15" s="44" customFormat="1">
      <c r="A8" s="900"/>
      <c r="B8" s="735" t="s">
        <v>541</v>
      </c>
      <c r="C8" s="727" t="s">
        <v>507</v>
      </c>
      <c r="L8" s="125"/>
      <c r="M8" s="744"/>
      <c r="N8" s="744"/>
      <c r="O8" s="744"/>
    </row>
    <row r="9" spans="1:15" s="44" customFormat="1">
      <c r="A9" s="900" t="s">
        <v>17</v>
      </c>
      <c r="B9" s="736" t="s">
        <v>494</v>
      </c>
      <c r="L9" s="125"/>
      <c r="M9" s="744"/>
      <c r="N9" s="744"/>
      <c r="O9" s="744"/>
    </row>
    <row r="10" spans="1:15" s="44" customFormat="1">
      <c r="A10" s="900" t="s">
        <v>18</v>
      </c>
      <c r="B10" s="736" t="s">
        <v>395</v>
      </c>
      <c r="L10" s="125"/>
      <c r="M10" s="744"/>
      <c r="N10" s="744"/>
      <c r="O10" s="744"/>
    </row>
    <row r="11" spans="1:15" s="728" customFormat="1">
      <c r="A11" s="901" t="s">
        <v>19</v>
      </c>
      <c r="B11" s="737" t="s">
        <v>396</v>
      </c>
      <c r="L11" s="126"/>
      <c r="M11" s="745"/>
      <c r="N11" s="745"/>
      <c r="O11" s="745"/>
    </row>
    <row r="12" spans="1:15">
      <c r="A12" s="902" t="s">
        <v>20</v>
      </c>
      <c r="B12" s="738" t="s">
        <v>469</v>
      </c>
      <c r="C12" s="44">
        <f>(57028+61163)/2</f>
        <v>59095.5</v>
      </c>
      <c r="D12" s="44">
        <f>(57195+60341)/2</f>
        <v>58768</v>
      </c>
      <c r="E12" s="44">
        <f>(57928+60163)/2</f>
        <v>59045.5</v>
      </c>
      <c r="F12" s="44">
        <f>(58010+59972)/2</f>
        <v>58991</v>
      </c>
      <c r="G12" s="44">
        <f>(56509+59168)/2</f>
        <v>57838.5</v>
      </c>
      <c r="H12" s="44">
        <f>(58956+60617)/2</f>
        <v>59786.5</v>
      </c>
      <c r="I12" s="44">
        <f>(56315+61086)/2</f>
        <v>58700.5</v>
      </c>
      <c r="J12" s="44">
        <f>(55571+57450)/2</f>
        <v>56510.5</v>
      </c>
      <c r="K12" s="44">
        <f>(56540+58795)/2</f>
        <v>57667.5</v>
      </c>
      <c r="L12" s="125">
        <f>(53276+58863)/2</f>
        <v>56069.5</v>
      </c>
      <c r="M12" s="744">
        <f t="shared" ref="M12:M13" si="0">AVERAGE(C12:L12)</f>
        <v>58247.3</v>
      </c>
      <c r="N12" s="748">
        <f t="shared" ref="N12:N13" si="1">STDEV(C12:L12)</f>
        <v>1202.6768338446811</v>
      </c>
      <c r="O12" s="539" t="s">
        <v>131</v>
      </c>
    </row>
    <row r="13" spans="1:15" s="728" customFormat="1">
      <c r="A13" s="901" t="s">
        <v>21</v>
      </c>
      <c r="B13" s="739" t="s">
        <v>134</v>
      </c>
      <c r="C13" s="728">
        <f>(276214+283090)/2</f>
        <v>279652</v>
      </c>
      <c r="D13" s="728">
        <f>(275097+282719)/2</f>
        <v>278908</v>
      </c>
      <c r="E13" s="728">
        <f>(280133+286596)/2</f>
        <v>283364.5</v>
      </c>
      <c r="F13" s="728">
        <f>(280937+288509)/2</f>
        <v>284723</v>
      </c>
      <c r="G13" s="728">
        <f>(283888+291440)/2</f>
        <v>287664</v>
      </c>
      <c r="H13" s="728">
        <f>(282107+292908)/2</f>
        <v>287507.5</v>
      </c>
      <c r="I13" s="728">
        <f>(277191+286089)/2</f>
        <v>281640</v>
      </c>
      <c r="J13" s="728">
        <f>(281058+284687)/2</f>
        <v>282872.5</v>
      </c>
      <c r="K13" s="728">
        <f>(279977+284218)/2</f>
        <v>282097.5</v>
      </c>
      <c r="L13" s="126">
        <f>(278225+285402)/2</f>
        <v>281813.5</v>
      </c>
      <c r="M13" s="745">
        <f t="shared" si="0"/>
        <v>283024.25</v>
      </c>
      <c r="N13" s="749">
        <f t="shared" si="1"/>
        <v>2928.9337010249992</v>
      </c>
      <c r="O13" s="745" t="s">
        <v>132</v>
      </c>
    </row>
    <row r="14" spans="1:15">
      <c r="B14" s="735" t="s">
        <v>496</v>
      </c>
      <c r="C14" s="44"/>
      <c r="D14" s="44"/>
      <c r="E14" s="44"/>
      <c r="F14" s="44"/>
      <c r="G14" s="44"/>
      <c r="H14" s="44"/>
      <c r="I14" s="44"/>
      <c r="J14" s="44"/>
      <c r="K14" s="44"/>
      <c r="L14" s="125"/>
      <c r="M14" s="744"/>
      <c r="N14" s="748"/>
      <c r="O14" s="744"/>
    </row>
    <row r="15" spans="1:15">
      <c r="A15" s="79" t="s">
        <v>22</v>
      </c>
      <c r="B15" s="736" t="s">
        <v>402</v>
      </c>
      <c r="C15" s="44">
        <v>9106</v>
      </c>
      <c r="D15" s="44">
        <v>9142</v>
      </c>
      <c r="E15" s="44">
        <v>8988</v>
      </c>
      <c r="F15" s="44">
        <v>9004</v>
      </c>
      <c r="G15" s="44">
        <v>9104</v>
      </c>
      <c r="H15" s="44">
        <v>9145</v>
      </c>
      <c r="I15" s="44">
        <v>9257</v>
      </c>
      <c r="J15" s="44">
        <v>9333</v>
      </c>
      <c r="K15" s="44">
        <v>9086</v>
      </c>
      <c r="L15" s="125">
        <v>9150</v>
      </c>
      <c r="M15" s="744">
        <f>AVERAGE(C15:L15)</f>
        <v>9131.5</v>
      </c>
      <c r="N15" s="748">
        <f>STDEV(C15:L15)</f>
        <v>103.9831717154271</v>
      </c>
      <c r="O15" s="539" t="s">
        <v>475</v>
      </c>
    </row>
    <row r="16" spans="1:15">
      <c r="A16" s="79" t="s">
        <v>23</v>
      </c>
      <c r="B16" s="736" t="s">
        <v>403</v>
      </c>
      <c r="C16" s="44">
        <v>4055</v>
      </c>
      <c r="D16" s="44">
        <v>4114</v>
      </c>
      <c r="E16" s="44">
        <v>4018</v>
      </c>
      <c r="F16" s="44">
        <v>4117</v>
      </c>
      <c r="G16" s="44">
        <v>4298</v>
      </c>
      <c r="H16" s="44">
        <v>4325</v>
      </c>
      <c r="I16" s="44">
        <v>4415</v>
      </c>
      <c r="J16" s="44">
        <v>4410</v>
      </c>
      <c r="K16" s="44">
        <v>4526</v>
      </c>
      <c r="L16" s="125">
        <v>4557</v>
      </c>
      <c r="M16" s="744">
        <f>AVERAGE(C16:L16)</f>
        <v>4283.5</v>
      </c>
      <c r="N16" s="748">
        <f>STDEV(C16:L16)</f>
        <v>196.63573203034872</v>
      </c>
      <c r="O16" s="742" t="s">
        <v>84</v>
      </c>
    </row>
    <row r="17" spans="1:15" s="897" customFormat="1">
      <c r="A17" s="79"/>
      <c r="B17" s="736" t="s">
        <v>15</v>
      </c>
      <c r="C17" s="44"/>
      <c r="D17" s="44"/>
      <c r="E17" s="44"/>
      <c r="F17" s="44"/>
      <c r="G17" s="44"/>
      <c r="H17" s="44"/>
      <c r="I17" s="44"/>
      <c r="J17" s="44"/>
      <c r="K17" s="44"/>
      <c r="L17" s="125"/>
      <c r="M17" s="744">
        <f>0.012*M15</f>
        <v>109.578</v>
      </c>
      <c r="N17" s="748"/>
      <c r="O17" s="742"/>
    </row>
    <row r="18" spans="1:15">
      <c r="B18" s="740" t="s">
        <v>232</v>
      </c>
      <c r="C18" s="44"/>
      <c r="D18" s="44"/>
      <c r="E18" s="44"/>
      <c r="F18" s="44"/>
      <c r="G18" s="44"/>
      <c r="H18" s="44"/>
      <c r="I18" s="44"/>
      <c r="J18" s="44"/>
      <c r="K18" s="44"/>
      <c r="L18" s="125"/>
      <c r="M18" s="744"/>
      <c r="N18" s="748"/>
      <c r="O18" s="757" t="s">
        <v>14</v>
      </c>
    </row>
    <row r="19" spans="1:15">
      <c r="A19" s="79" t="s">
        <v>25</v>
      </c>
      <c r="B19" s="736" t="s">
        <v>540</v>
      </c>
      <c r="C19" s="44">
        <v>33134</v>
      </c>
      <c r="D19" s="44">
        <v>32983</v>
      </c>
      <c r="E19" s="44">
        <v>32531</v>
      </c>
      <c r="F19" s="44">
        <v>32674</v>
      </c>
      <c r="G19" s="44">
        <v>32703</v>
      </c>
      <c r="H19" s="44">
        <v>32644</v>
      </c>
      <c r="I19" s="44">
        <v>32435</v>
      </c>
      <c r="J19" s="44">
        <v>31712</v>
      </c>
      <c r="K19" s="44">
        <v>31371</v>
      </c>
      <c r="L19" s="125">
        <v>30865</v>
      </c>
      <c r="M19" s="744">
        <f t="shared" ref="M19:M31" si="2">AVERAGE(C19:L19)</f>
        <v>32305.200000000001</v>
      </c>
      <c r="N19" s="748">
        <f t="shared" ref="N19:N31" si="3">STDEV(C19:L19)</f>
        <v>739.51873238989401</v>
      </c>
      <c r="O19" s="744"/>
    </row>
    <row r="20" spans="1:15">
      <c r="A20" s="79" t="s">
        <v>24</v>
      </c>
      <c r="B20" s="736" t="s">
        <v>119</v>
      </c>
      <c r="C20" s="44">
        <f>C21-C19-C16-C15</f>
        <v>50428</v>
      </c>
      <c r="D20" s="44">
        <f t="shared" ref="D20:L20" si="4">D21-D19-D16-D15</f>
        <v>49861</v>
      </c>
      <c r="E20" s="44">
        <f t="shared" si="4"/>
        <v>48866</v>
      </c>
      <c r="F20" s="44">
        <f t="shared" si="4"/>
        <v>49223</v>
      </c>
      <c r="G20" s="44">
        <f t="shared" si="4"/>
        <v>50237</v>
      </c>
      <c r="H20" s="44">
        <f t="shared" si="4"/>
        <v>50459</v>
      </c>
      <c r="I20" s="44">
        <f t="shared" si="4"/>
        <v>49928</v>
      </c>
      <c r="J20" s="44">
        <f t="shared" si="4"/>
        <v>49066</v>
      </c>
      <c r="K20" s="44">
        <f t="shared" si="4"/>
        <v>48898</v>
      </c>
      <c r="L20" s="125">
        <f t="shared" si="4"/>
        <v>48010</v>
      </c>
      <c r="M20" s="744">
        <f t="shared" si="2"/>
        <v>49497.599999999999</v>
      </c>
      <c r="N20" s="748">
        <f t="shared" si="3"/>
        <v>808.77317243121047</v>
      </c>
      <c r="O20" s="744"/>
    </row>
    <row r="21" spans="1:15" s="728" customFormat="1">
      <c r="A21" s="901"/>
      <c r="B21" s="741" t="s">
        <v>116</v>
      </c>
      <c r="C21" s="728">
        <v>96723</v>
      </c>
      <c r="D21" s="728">
        <v>96100</v>
      </c>
      <c r="E21" s="728">
        <v>94403</v>
      </c>
      <c r="F21" s="728">
        <v>95018</v>
      </c>
      <c r="G21" s="728">
        <v>96342</v>
      </c>
      <c r="H21" s="728">
        <v>96573</v>
      </c>
      <c r="I21" s="728">
        <v>96035</v>
      </c>
      <c r="J21" s="728">
        <v>94521</v>
      </c>
      <c r="K21" s="728">
        <v>93881</v>
      </c>
      <c r="L21" s="126">
        <v>92582</v>
      </c>
      <c r="M21" s="745">
        <f t="shared" si="2"/>
        <v>95217.8</v>
      </c>
      <c r="N21" s="749">
        <f t="shared" si="3"/>
        <v>1363.6526765354226</v>
      </c>
      <c r="O21" s="745"/>
    </row>
    <row r="22" spans="1:15" s="759" customFormat="1" ht="15.75" thickBot="1">
      <c r="A22" s="903" t="s">
        <v>23</v>
      </c>
      <c r="B22" s="758"/>
      <c r="L22" s="760"/>
      <c r="M22" s="761"/>
      <c r="N22" s="762"/>
      <c r="O22" s="761"/>
    </row>
    <row r="23" spans="1:15">
      <c r="B23" s="735" t="s">
        <v>497</v>
      </c>
      <c r="C23" s="44"/>
      <c r="D23" s="44"/>
      <c r="E23" s="44"/>
      <c r="F23" s="44"/>
      <c r="G23" s="44"/>
      <c r="H23" s="44"/>
      <c r="I23" s="44"/>
      <c r="J23" s="44"/>
      <c r="K23" s="44"/>
      <c r="L23" s="125"/>
      <c r="M23" s="744"/>
      <c r="N23" s="748"/>
      <c r="O23" s="744"/>
    </row>
    <row r="24" spans="1:15">
      <c r="B24" s="742"/>
      <c r="C24" s="44"/>
      <c r="D24" s="44"/>
      <c r="E24" s="44"/>
      <c r="F24" s="44"/>
      <c r="G24" s="44"/>
      <c r="H24" s="44"/>
      <c r="I24" s="44"/>
      <c r="J24" s="44"/>
      <c r="K24" s="44"/>
      <c r="L24" s="125"/>
      <c r="M24" s="744"/>
      <c r="N24" s="748"/>
      <c r="O24" s="744"/>
    </row>
    <row r="25" spans="1:15" s="729" customFormat="1">
      <c r="A25" s="904"/>
      <c r="B25" s="741" t="s">
        <v>390</v>
      </c>
      <c r="C25" s="729">
        <v>3644</v>
      </c>
      <c r="H25" s="729">
        <v>4029</v>
      </c>
      <c r="L25" s="732"/>
      <c r="M25" s="746">
        <f t="shared" si="2"/>
        <v>3836.5</v>
      </c>
      <c r="N25" s="750"/>
      <c r="O25" s="746" t="s">
        <v>128</v>
      </c>
    </row>
    <row r="26" spans="1:15">
      <c r="B26" s="735" t="s">
        <v>490</v>
      </c>
      <c r="C26" s="44" t="s">
        <v>126</v>
      </c>
      <c r="D26" s="44"/>
      <c r="E26" s="727" t="s">
        <v>504</v>
      </c>
      <c r="F26" s="44"/>
      <c r="G26" s="44"/>
      <c r="H26" s="44"/>
      <c r="I26" s="44"/>
      <c r="J26" s="44"/>
      <c r="K26" s="44"/>
      <c r="L26" s="125"/>
      <c r="M26" s="744"/>
      <c r="N26" s="748"/>
      <c r="O26" s="744"/>
    </row>
    <row r="27" spans="1:15">
      <c r="B27" s="736" t="s">
        <v>440</v>
      </c>
      <c r="C27" s="44"/>
      <c r="D27" s="44"/>
      <c r="E27" s="44"/>
      <c r="F27" s="44"/>
      <c r="G27" s="44"/>
      <c r="H27" s="44"/>
      <c r="I27" s="44"/>
      <c r="J27" s="44"/>
      <c r="K27" s="44"/>
      <c r="L27" s="125"/>
      <c r="M27" s="744"/>
      <c r="N27" s="748"/>
      <c r="O27" s="744"/>
    </row>
    <row r="28" spans="1:15" s="728" customFormat="1">
      <c r="A28" s="901"/>
      <c r="B28" s="737" t="s">
        <v>439</v>
      </c>
      <c r="G28" s="730"/>
      <c r="L28" s="126"/>
      <c r="M28" s="745"/>
      <c r="N28" s="749"/>
      <c r="O28" s="745"/>
    </row>
    <row r="29" spans="1:15">
      <c r="B29" s="735" t="s">
        <v>407</v>
      </c>
      <c r="C29" s="44"/>
      <c r="D29" s="44"/>
      <c r="E29" s="44"/>
      <c r="F29" s="44"/>
      <c r="G29" s="44"/>
      <c r="H29" s="44"/>
      <c r="I29" s="44"/>
      <c r="J29" s="44"/>
      <c r="K29" s="44"/>
      <c r="L29" s="125"/>
      <c r="M29" s="744"/>
      <c r="N29" s="748"/>
      <c r="O29" s="756" t="s">
        <v>83</v>
      </c>
    </row>
    <row r="30" spans="1:15">
      <c r="B30" s="736" t="s">
        <v>36</v>
      </c>
      <c r="C30" s="44" t="s">
        <v>125</v>
      </c>
      <c r="D30" s="44"/>
      <c r="E30" s="44"/>
      <c r="F30" s="44"/>
      <c r="G30" s="44"/>
      <c r="H30" s="44"/>
      <c r="I30" s="44"/>
      <c r="J30" s="44"/>
      <c r="K30" s="44"/>
      <c r="L30" s="125"/>
      <c r="M30" s="744"/>
      <c r="N30" s="748"/>
      <c r="O30" s="744" t="s">
        <v>129</v>
      </c>
    </row>
    <row r="31" spans="1:15" s="728" customFormat="1" ht="15.75" thickBot="1">
      <c r="A31" s="900"/>
      <c r="B31" s="743" t="s">
        <v>438</v>
      </c>
      <c r="C31" s="733">
        <v>4871</v>
      </c>
      <c r="D31" s="733">
        <v>4670</v>
      </c>
      <c r="E31" s="733">
        <v>4464</v>
      </c>
      <c r="F31" s="733">
        <v>4520</v>
      </c>
      <c r="G31" s="733">
        <v>4616</v>
      </c>
      <c r="H31" s="733">
        <v>4553</v>
      </c>
      <c r="I31" s="733">
        <v>4432</v>
      </c>
      <c r="J31" s="733">
        <v>4247</v>
      </c>
      <c r="K31" s="733">
        <v>4185</v>
      </c>
      <c r="L31" s="599">
        <v>4115</v>
      </c>
      <c r="M31" s="747">
        <f t="shared" si="2"/>
        <v>4467.3</v>
      </c>
      <c r="N31" s="751">
        <f t="shared" si="3"/>
        <v>233.3076414427002</v>
      </c>
      <c r="O31" s="747"/>
    </row>
    <row r="32" spans="1:15">
      <c r="B32" s="346"/>
    </row>
    <row r="35" spans="2:2">
      <c r="B35" s="731"/>
    </row>
    <row r="36" spans="2:2">
      <c r="B36" s="603"/>
    </row>
    <row r="37" spans="2:2">
      <c r="B37" s="603"/>
    </row>
    <row r="38" spans="2:2">
      <c r="B38" s="731"/>
    </row>
    <row r="39" spans="2:2">
      <c r="B39" s="731"/>
    </row>
    <row r="40" spans="2:2">
      <c r="B40" s="731"/>
    </row>
    <row r="41" spans="2:2">
      <c r="B41" s="603"/>
    </row>
    <row r="42" spans="2:2">
      <c r="B42" s="731"/>
    </row>
    <row r="45" spans="2:2">
      <c r="B45" s="321"/>
    </row>
    <row r="46" spans="2:2">
      <c r="B46" s="321"/>
    </row>
    <row r="47" spans="2:2">
      <c r="B47" s="323"/>
    </row>
    <row r="48" spans="2:2">
      <c r="B48" s="323"/>
    </row>
    <row r="49" spans="2:2">
      <c r="B49" s="326"/>
    </row>
    <row r="50" spans="2:2">
      <c r="B50" s="323"/>
    </row>
    <row r="51" spans="2:2">
      <c r="B51" s="323"/>
    </row>
    <row r="52" spans="2:2">
      <c r="B52" s="321"/>
    </row>
    <row r="53" spans="2:2">
      <c r="B53" s="321"/>
    </row>
    <row r="54" spans="2:2">
      <c r="B54" s="321"/>
    </row>
    <row r="55" spans="2:2">
      <c r="B55" s="322"/>
    </row>
    <row r="56" spans="2:2">
      <c r="B56" s="321"/>
    </row>
  </sheetData>
  <phoneticPr fontId="14" type="noConversion"/>
  <hyperlinks>
    <hyperlink ref="E26" location="Goats!A1" display="Goats!A1"/>
    <hyperlink ref="O29" r:id="rId1"/>
    <hyperlink ref="C8" location="SlaughterHeadCount!A1" display="SlaughterHeadCount!A1"/>
    <hyperlink ref="O12" r:id="rId2"/>
    <hyperlink ref="O15" r:id="rId3"/>
  </hyperlinks>
  <pageMargins left="0.7" right="0.7" top="0.75" bottom="0.75" header="0.3" footer="0.3"/>
  <legacyDrawing r:id="rId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00000"/>
  </sheetPr>
  <dimension ref="A1:AF155"/>
  <sheetViews>
    <sheetView workbookViewId="0">
      <pane ySplit="3" topLeftCell="A129" activePane="bottomLeft" state="frozen"/>
      <selection pane="bottomLeft" activeCell="P269" sqref="P269"/>
    </sheetView>
  </sheetViews>
  <sheetFormatPr defaultColWidth="7.33203125" defaultRowHeight="12.75"/>
  <cols>
    <col min="1" max="1" width="9.5546875" style="416" customWidth="1"/>
    <col min="2" max="6" width="6.5546875" style="416" customWidth="1"/>
    <col min="7" max="7" width="5.5546875" style="416" customWidth="1"/>
    <col min="8" max="8" width="5.44140625" style="416" customWidth="1"/>
    <col min="9" max="9" width="11.33203125" style="416" customWidth="1"/>
    <col min="10" max="10" width="7.5546875" style="416" customWidth="1"/>
    <col min="11" max="11" width="6.5546875" style="416" customWidth="1"/>
    <col min="12" max="12" width="6.33203125" style="416" customWidth="1"/>
    <col min="13" max="15" width="6.5546875" style="416" customWidth="1"/>
    <col min="16" max="16" width="9" style="416" customWidth="1"/>
    <col min="17" max="18" width="7.5546875" style="416" customWidth="1"/>
    <col min="19" max="32" width="6.5546875" style="416" customWidth="1"/>
    <col min="33" max="256" width="7.33203125" style="416"/>
    <col min="257" max="257" width="9.5546875" style="416" customWidth="1"/>
    <col min="258" max="262" width="6.5546875" style="416" customWidth="1"/>
    <col min="263" max="263" width="5.5546875" style="416" customWidth="1"/>
    <col min="264" max="264" width="5.44140625" style="416" customWidth="1"/>
    <col min="265" max="265" width="7.6640625" style="416" customWidth="1"/>
    <col min="266" max="266" width="7.5546875" style="416" customWidth="1"/>
    <col min="267" max="267" width="6.5546875" style="416" customWidth="1"/>
    <col min="268" max="268" width="6.33203125" style="416" customWidth="1"/>
    <col min="269" max="271" width="6.5546875" style="416" customWidth="1"/>
    <col min="272" max="272" width="9" style="416" customWidth="1"/>
    <col min="273" max="274" width="7.5546875" style="416" customWidth="1"/>
    <col min="275" max="288" width="6.5546875" style="416" customWidth="1"/>
    <col min="289" max="512" width="7.33203125" style="416"/>
    <col min="513" max="513" width="9.5546875" style="416" customWidth="1"/>
    <col min="514" max="518" width="6.5546875" style="416" customWidth="1"/>
    <col min="519" max="519" width="5.5546875" style="416" customWidth="1"/>
    <col min="520" max="520" width="5.44140625" style="416" customWidth="1"/>
    <col min="521" max="521" width="7.6640625" style="416" customWidth="1"/>
    <col min="522" max="522" width="7.5546875" style="416" customWidth="1"/>
    <col min="523" max="523" width="6.5546875" style="416" customWidth="1"/>
    <col min="524" max="524" width="6.33203125" style="416" customWidth="1"/>
    <col min="525" max="527" width="6.5546875" style="416" customWidth="1"/>
    <col min="528" max="528" width="9" style="416" customWidth="1"/>
    <col min="529" max="530" width="7.5546875" style="416" customWidth="1"/>
    <col min="531" max="544" width="6.5546875" style="416" customWidth="1"/>
    <col min="545" max="768" width="7.33203125" style="416"/>
    <col min="769" max="769" width="9.5546875" style="416" customWidth="1"/>
    <col min="770" max="774" width="6.5546875" style="416" customWidth="1"/>
    <col min="775" max="775" width="5.5546875" style="416" customWidth="1"/>
    <col min="776" max="776" width="5.44140625" style="416" customWidth="1"/>
    <col min="777" max="777" width="7.6640625" style="416" customWidth="1"/>
    <col min="778" max="778" width="7.5546875" style="416" customWidth="1"/>
    <col min="779" max="779" width="6.5546875" style="416" customWidth="1"/>
    <col min="780" max="780" width="6.33203125" style="416" customWidth="1"/>
    <col min="781" max="783" width="6.5546875" style="416" customWidth="1"/>
    <col min="784" max="784" width="9" style="416" customWidth="1"/>
    <col min="785" max="786" width="7.5546875" style="416" customWidth="1"/>
    <col min="787" max="800" width="6.5546875" style="416" customWidth="1"/>
    <col min="801" max="1024" width="7.33203125" style="416"/>
    <col min="1025" max="1025" width="9.5546875" style="416" customWidth="1"/>
    <col min="1026" max="1030" width="6.5546875" style="416" customWidth="1"/>
    <col min="1031" max="1031" width="5.5546875" style="416" customWidth="1"/>
    <col min="1032" max="1032" width="5.44140625" style="416" customWidth="1"/>
    <col min="1033" max="1033" width="7.6640625" style="416" customWidth="1"/>
    <col min="1034" max="1034" width="7.5546875" style="416" customWidth="1"/>
    <col min="1035" max="1035" width="6.5546875" style="416" customWidth="1"/>
    <col min="1036" max="1036" width="6.33203125" style="416" customWidth="1"/>
    <col min="1037" max="1039" width="6.5546875" style="416" customWidth="1"/>
    <col min="1040" max="1040" width="9" style="416" customWidth="1"/>
    <col min="1041" max="1042" width="7.5546875" style="416" customWidth="1"/>
    <col min="1043" max="1056" width="6.5546875" style="416" customWidth="1"/>
    <col min="1057" max="1280" width="7.33203125" style="416"/>
    <col min="1281" max="1281" width="9.5546875" style="416" customWidth="1"/>
    <col min="1282" max="1286" width="6.5546875" style="416" customWidth="1"/>
    <col min="1287" max="1287" width="5.5546875" style="416" customWidth="1"/>
    <col min="1288" max="1288" width="5.44140625" style="416" customWidth="1"/>
    <col min="1289" max="1289" width="7.6640625" style="416" customWidth="1"/>
    <col min="1290" max="1290" width="7.5546875" style="416" customWidth="1"/>
    <col min="1291" max="1291" width="6.5546875" style="416" customWidth="1"/>
    <col min="1292" max="1292" width="6.33203125" style="416" customWidth="1"/>
    <col min="1293" max="1295" width="6.5546875" style="416" customWidth="1"/>
    <col min="1296" max="1296" width="9" style="416" customWidth="1"/>
    <col min="1297" max="1298" width="7.5546875" style="416" customWidth="1"/>
    <col min="1299" max="1312" width="6.5546875" style="416" customWidth="1"/>
    <col min="1313" max="1536" width="7.33203125" style="416"/>
    <col min="1537" max="1537" width="9.5546875" style="416" customWidth="1"/>
    <col min="1538" max="1542" width="6.5546875" style="416" customWidth="1"/>
    <col min="1543" max="1543" width="5.5546875" style="416" customWidth="1"/>
    <col min="1544" max="1544" width="5.44140625" style="416" customWidth="1"/>
    <col min="1545" max="1545" width="7.6640625" style="416" customWidth="1"/>
    <col min="1546" max="1546" width="7.5546875" style="416" customWidth="1"/>
    <col min="1547" max="1547" width="6.5546875" style="416" customWidth="1"/>
    <col min="1548" max="1548" width="6.33203125" style="416" customWidth="1"/>
    <col min="1549" max="1551" width="6.5546875" style="416" customWidth="1"/>
    <col min="1552" max="1552" width="9" style="416" customWidth="1"/>
    <col min="1553" max="1554" width="7.5546875" style="416" customWidth="1"/>
    <col min="1555" max="1568" width="6.5546875" style="416" customWidth="1"/>
    <col min="1569" max="1792" width="7.33203125" style="416"/>
    <col min="1793" max="1793" width="9.5546875" style="416" customWidth="1"/>
    <col min="1794" max="1798" width="6.5546875" style="416" customWidth="1"/>
    <col min="1799" max="1799" width="5.5546875" style="416" customWidth="1"/>
    <col min="1800" max="1800" width="5.44140625" style="416" customWidth="1"/>
    <col min="1801" max="1801" width="7.6640625" style="416" customWidth="1"/>
    <col min="1802" max="1802" width="7.5546875" style="416" customWidth="1"/>
    <col min="1803" max="1803" width="6.5546875" style="416" customWidth="1"/>
    <col min="1804" max="1804" width="6.33203125" style="416" customWidth="1"/>
    <col min="1805" max="1807" width="6.5546875" style="416" customWidth="1"/>
    <col min="1808" max="1808" width="9" style="416" customWidth="1"/>
    <col min="1809" max="1810" width="7.5546875" style="416" customWidth="1"/>
    <col min="1811" max="1824" width="6.5546875" style="416" customWidth="1"/>
    <col min="1825" max="2048" width="7.33203125" style="416"/>
    <col min="2049" max="2049" width="9.5546875" style="416" customWidth="1"/>
    <col min="2050" max="2054" width="6.5546875" style="416" customWidth="1"/>
    <col min="2055" max="2055" width="5.5546875" style="416" customWidth="1"/>
    <col min="2056" max="2056" width="5.44140625" style="416" customWidth="1"/>
    <col min="2057" max="2057" width="7.6640625" style="416" customWidth="1"/>
    <col min="2058" max="2058" width="7.5546875" style="416" customWidth="1"/>
    <col min="2059" max="2059" width="6.5546875" style="416" customWidth="1"/>
    <col min="2060" max="2060" width="6.33203125" style="416" customWidth="1"/>
    <col min="2061" max="2063" width="6.5546875" style="416" customWidth="1"/>
    <col min="2064" max="2064" width="9" style="416" customWidth="1"/>
    <col min="2065" max="2066" width="7.5546875" style="416" customWidth="1"/>
    <col min="2067" max="2080" width="6.5546875" style="416" customWidth="1"/>
    <col min="2081" max="2304" width="7.33203125" style="416"/>
    <col min="2305" max="2305" width="9.5546875" style="416" customWidth="1"/>
    <col min="2306" max="2310" width="6.5546875" style="416" customWidth="1"/>
    <col min="2311" max="2311" width="5.5546875" style="416" customWidth="1"/>
    <col min="2312" max="2312" width="5.44140625" style="416" customWidth="1"/>
    <col min="2313" max="2313" width="7.6640625" style="416" customWidth="1"/>
    <col min="2314" max="2314" width="7.5546875" style="416" customWidth="1"/>
    <col min="2315" max="2315" width="6.5546875" style="416" customWidth="1"/>
    <col min="2316" max="2316" width="6.33203125" style="416" customWidth="1"/>
    <col min="2317" max="2319" width="6.5546875" style="416" customWidth="1"/>
    <col min="2320" max="2320" width="9" style="416" customWidth="1"/>
    <col min="2321" max="2322" width="7.5546875" style="416" customWidth="1"/>
    <col min="2323" max="2336" width="6.5546875" style="416" customWidth="1"/>
    <col min="2337" max="2560" width="7.33203125" style="416"/>
    <col min="2561" max="2561" width="9.5546875" style="416" customWidth="1"/>
    <col min="2562" max="2566" width="6.5546875" style="416" customWidth="1"/>
    <col min="2567" max="2567" width="5.5546875" style="416" customWidth="1"/>
    <col min="2568" max="2568" width="5.44140625" style="416" customWidth="1"/>
    <col min="2569" max="2569" width="7.6640625" style="416" customWidth="1"/>
    <col min="2570" max="2570" width="7.5546875" style="416" customWidth="1"/>
    <col min="2571" max="2571" width="6.5546875" style="416" customWidth="1"/>
    <col min="2572" max="2572" width="6.33203125" style="416" customWidth="1"/>
    <col min="2573" max="2575" width="6.5546875" style="416" customWidth="1"/>
    <col min="2576" max="2576" width="9" style="416" customWidth="1"/>
    <col min="2577" max="2578" width="7.5546875" style="416" customWidth="1"/>
    <col min="2579" max="2592" width="6.5546875" style="416" customWidth="1"/>
    <col min="2593" max="2816" width="7.33203125" style="416"/>
    <col min="2817" max="2817" width="9.5546875" style="416" customWidth="1"/>
    <col min="2818" max="2822" width="6.5546875" style="416" customWidth="1"/>
    <col min="2823" max="2823" width="5.5546875" style="416" customWidth="1"/>
    <col min="2824" max="2824" width="5.44140625" style="416" customWidth="1"/>
    <col min="2825" max="2825" width="7.6640625" style="416" customWidth="1"/>
    <col min="2826" max="2826" width="7.5546875" style="416" customWidth="1"/>
    <col min="2827" max="2827" width="6.5546875" style="416" customWidth="1"/>
    <col min="2828" max="2828" width="6.33203125" style="416" customWidth="1"/>
    <col min="2829" max="2831" width="6.5546875" style="416" customWidth="1"/>
    <col min="2832" max="2832" width="9" style="416" customWidth="1"/>
    <col min="2833" max="2834" width="7.5546875" style="416" customWidth="1"/>
    <col min="2835" max="2848" width="6.5546875" style="416" customWidth="1"/>
    <col min="2849" max="3072" width="7.33203125" style="416"/>
    <col min="3073" max="3073" width="9.5546875" style="416" customWidth="1"/>
    <col min="3074" max="3078" width="6.5546875" style="416" customWidth="1"/>
    <col min="3079" max="3079" width="5.5546875" style="416" customWidth="1"/>
    <col min="3080" max="3080" width="5.44140625" style="416" customWidth="1"/>
    <col min="3081" max="3081" width="7.6640625" style="416" customWidth="1"/>
    <col min="3082" max="3082" width="7.5546875" style="416" customWidth="1"/>
    <col min="3083" max="3083" width="6.5546875" style="416" customWidth="1"/>
    <col min="3084" max="3084" width="6.33203125" style="416" customWidth="1"/>
    <col min="3085" max="3087" width="6.5546875" style="416" customWidth="1"/>
    <col min="3088" max="3088" width="9" style="416" customWidth="1"/>
    <col min="3089" max="3090" width="7.5546875" style="416" customWidth="1"/>
    <col min="3091" max="3104" width="6.5546875" style="416" customWidth="1"/>
    <col min="3105" max="3328" width="7.33203125" style="416"/>
    <col min="3329" max="3329" width="9.5546875" style="416" customWidth="1"/>
    <col min="3330" max="3334" width="6.5546875" style="416" customWidth="1"/>
    <col min="3335" max="3335" width="5.5546875" style="416" customWidth="1"/>
    <col min="3336" max="3336" width="5.44140625" style="416" customWidth="1"/>
    <col min="3337" max="3337" width="7.6640625" style="416" customWidth="1"/>
    <col min="3338" max="3338" width="7.5546875" style="416" customWidth="1"/>
    <col min="3339" max="3339" width="6.5546875" style="416" customWidth="1"/>
    <col min="3340" max="3340" width="6.33203125" style="416" customWidth="1"/>
    <col min="3341" max="3343" width="6.5546875" style="416" customWidth="1"/>
    <col min="3344" max="3344" width="9" style="416" customWidth="1"/>
    <col min="3345" max="3346" width="7.5546875" style="416" customWidth="1"/>
    <col min="3347" max="3360" width="6.5546875" style="416" customWidth="1"/>
    <col min="3361" max="3584" width="7.33203125" style="416"/>
    <col min="3585" max="3585" width="9.5546875" style="416" customWidth="1"/>
    <col min="3586" max="3590" width="6.5546875" style="416" customWidth="1"/>
    <col min="3591" max="3591" width="5.5546875" style="416" customWidth="1"/>
    <col min="3592" max="3592" width="5.44140625" style="416" customWidth="1"/>
    <col min="3593" max="3593" width="7.6640625" style="416" customWidth="1"/>
    <col min="3594" max="3594" width="7.5546875" style="416" customWidth="1"/>
    <col min="3595" max="3595" width="6.5546875" style="416" customWidth="1"/>
    <col min="3596" max="3596" width="6.33203125" style="416" customWidth="1"/>
    <col min="3597" max="3599" width="6.5546875" style="416" customWidth="1"/>
    <col min="3600" max="3600" width="9" style="416" customWidth="1"/>
    <col min="3601" max="3602" width="7.5546875" style="416" customWidth="1"/>
    <col min="3603" max="3616" width="6.5546875" style="416" customWidth="1"/>
    <col min="3617" max="3840" width="7.33203125" style="416"/>
    <col min="3841" max="3841" width="9.5546875" style="416" customWidth="1"/>
    <col min="3842" max="3846" width="6.5546875" style="416" customWidth="1"/>
    <col min="3847" max="3847" width="5.5546875" style="416" customWidth="1"/>
    <col min="3848" max="3848" width="5.44140625" style="416" customWidth="1"/>
    <col min="3849" max="3849" width="7.6640625" style="416" customWidth="1"/>
    <col min="3850" max="3850" width="7.5546875" style="416" customWidth="1"/>
    <col min="3851" max="3851" width="6.5546875" style="416" customWidth="1"/>
    <col min="3852" max="3852" width="6.33203125" style="416" customWidth="1"/>
    <col min="3853" max="3855" width="6.5546875" style="416" customWidth="1"/>
    <col min="3856" max="3856" width="9" style="416" customWidth="1"/>
    <col min="3857" max="3858" width="7.5546875" style="416" customWidth="1"/>
    <col min="3859" max="3872" width="6.5546875" style="416" customWidth="1"/>
    <col min="3873" max="4096" width="7.33203125" style="416"/>
    <col min="4097" max="4097" width="9.5546875" style="416" customWidth="1"/>
    <col min="4098" max="4102" width="6.5546875" style="416" customWidth="1"/>
    <col min="4103" max="4103" width="5.5546875" style="416" customWidth="1"/>
    <col min="4104" max="4104" width="5.44140625" style="416" customWidth="1"/>
    <col min="4105" max="4105" width="7.6640625" style="416" customWidth="1"/>
    <col min="4106" max="4106" width="7.5546875" style="416" customWidth="1"/>
    <col min="4107" max="4107" width="6.5546875" style="416" customWidth="1"/>
    <col min="4108" max="4108" width="6.33203125" style="416" customWidth="1"/>
    <col min="4109" max="4111" width="6.5546875" style="416" customWidth="1"/>
    <col min="4112" max="4112" width="9" style="416" customWidth="1"/>
    <col min="4113" max="4114" width="7.5546875" style="416" customWidth="1"/>
    <col min="4115" max="4128" width="6.5546875" style="416" customWidth="1"/>
    <col min="4129" max="4352" width="7.33203125" style="416"/>
    <col min="4353" max="4353" width="9.5546875" style="416" customWidth="1"/>
    <col min="4354" max="4358" width="6.5546875" style="416" customWidth="1"/>
    <col min="4359" max="4359" width="5.5546875" style="416" customWidth="1"/>
    <col min="4360" max="4360" width="5.44140625" style="416" customWidth="1"/>
    <col min="4361" max="4361" width="7.6640625" style="416" customWidth="1"/>
    <col min="4362" max="4362" width="7.5546875" style="416" customWidth="1"/>
    <col min="4363" max="4363" width="6.5546875" style="416" customWidth="1"/>
    <col min="4364" max="4364" width="6.33203125" style="416" customWidth="1"/>
    <col min="4365" max="4367" width="6.5546875" style="416" customWidth="1"/>
    <col min="4368" max="4368" width="9" style="416" customWidth="1"/>
    <col min="4369" max="4370" width="7.5546875" style="416" customWidth="1"/>
    <col min="4371" max="4384" width="6.5546875" style="416" customWidth="1"/>
    <col min="4385" max="4608" width="7.33203125" style="416"/>
    <col min="4609" max="4609" width="9.5546875" style="416" customWidth="1"/>
    <col min="4610" max="4614" width="6.5546875" style="416" customWidth="1"/>
    <col min="4615" max="4615" width="5.5546875" style="416" customWidth="1"/>
    <col min="4616" max="4616" width="5.44140625" style="416" customWidth="1"/>
    <col min="4617" max="4617" width="7.6640625" style="416" customWidth="1"/>
    <col min="4618" max="4618" width="7.5546875" style="416" customWidth="1"/>
    <col min="4619" max="4619" width="6.5546875" style="416" customWidth="1"/>
    <col min="4620" max="4620" width="6.33203125" style="416" customWidth="1"/>
    <col min="4621" max="4623" width="6.5546875" style="416" customWidth="1"/>
    <col min="4624" max="4624" width="9" style="416" customWidth="1"/>
    <col min="4625" max="4626" width="7.5546875" style="416" customWidth="1"/>
    <col min="4627" max="4640" width="6.5546875" style="416" customWidth="1"/>
    <col min="4641" max="4864" width="7.33203125" style="416"/>
    <col min="4865" max="4865" width="9.5546875" style="416" customWidth="1"/>
    <col min="4866" max="4870" width="6.5546875" style="416" customWidth="1"/>
    <col min="4871" max="4871" width="5.5546875" style="416" customWidth="1"/>
    <col min="4872" max="4872" width="5.44140625" style="416" customWidth="1"/>
    <col min="4873" max="4873" width="7.6640625" style="416" customWidth="1"/>
    <col min="4874" max="4874" width="7.5546875" style="416" customWidth="1"/>
    <col min="4875" max="4875" width="6.5546875" style="416" customWidth="1"/>
    <col min="4876" max="4876" width="6.33203125" style="416" customWidth="1"/>
    <col min="4877" max="4879" width="6.5546875" style="416" customWidth="1"/>
    <col min="4880" max="4880" width="9" style="416" customWidth="1"/>
    <col min="4881" max="4882" width="7.5546875" style="416" customWidth="1"/>
    <col min="4883" max="4896" width="6.5546875" style="416" customWidth="1"/>
    <col min="4897" max="5120" width="7.33203125" style="416"/>
    <col min="5121" max="5121" width="9.5546875" style="416" customWidth="1"/>
    <col min="5122" max="5126" width="6.5546875" style="416" customWidth="1"/>
    <col min="5127" max="5127" width="5.5546875" style="416" customWidth="1"/>
    <col min="5128" max="5128" width="5.44140625" style="416" customWidth="1"/>
    <col min="5129" max="5129" width="7.6640625" style="416" customWidth="1"/>
    <col min="5130" max="5130" width="7.5546875" style="416" customWidth="1"/>
    <col min="5131" max="5131" width="6.5546875" style="416" customWidth="1"/>
    <col min="5132" max="5132" width="6.33203125" style="416" customWidth="1"/>
    <col min="5133" max="5135" width="6.5546875" style="416" customWidth="1"/>
    <col min="5136" max="5136" width="9" style="416" customWidth="1"/>
    <col min="5137" max="5138" width="7.5546875" style="416" customWidth="1"/>
    <col min="5139" max="5152" width="6.5546875" style="416" customWidth="1"/>
    <col min="5153" max="5376" width="7.33203125" style="416"/>
    <col min="5377" max="5377" width="9.5546875" style="416" customWidth="1"/>
    <col min="5378" max="5382" width="6.5546875" style="416" customWidth="1"/>
    <col min="5383" max="5383" width="5.5546875" style="416" customWidth="1"/>
    <col min="5384" max="5384" width="5.44140625" style="416" customWidth="1"/>
    <col min="5385" max="5385" width="7.6640625" style="416" customWidth="1"/>
    <col min="5386" max="5386" width="7.5546875" style="416" customWidth="1"/>
    <col min="5387" max="5387" width="6.5546875" style="416" customWidth="1"/>
    <col min="5388" max="5388" width="6.33203125" style="416" customWidth="1"/>
    <col min="5389" max="5391" width="6.5546875" style="416" customWidth="1"/>
    <col min="5392" max="5392" width="9" style="416" customWidth="1"/>
    <col min="5393" max="5394" width="7.5546875" style="416" customWidth="1"/>
    <col min="5395" max="5408" width="6.5546875" style="416" customWidth="1"/>
    <col min="5409" max="5632" width="7.33203125" style="416"/>
    <col min="5633" max="5633" width="9.5546875" style="416" customWidth="1"/>
    <col min="5634" max="5638" width="6.5546875" style="416" customWidth="1"/>
    <col min="5639" max="5639" width="5.5546875" style="416" customWidth="1"/>
    <col min="5640" max="5640" width="5.44140625" style="416" customWidth="1"/>
    <col min="5641" max="5641" width="7.6640625" style="416" customWidth="1"/>
    <col min="5642" max="5642" width="7.5546875" style="416" customWidth="1"/>
    <col min="5643" max="5643" width="6.5546875" style="416" customWidth="1"/>
    <col min="5644" max="5644" width="6.33203125" style="416" customWidth="1"/>
    <col min="5645" max="5647" width="6.5546875" style="416" customWidth="1"/>
    <col min="5648" max="5648" width="9" style="416" customWidth="1"/>
    <col min="5649" max="5650" width="7.5546875" style="416" customWidth="1"/>
    <col min="5651" max="5664" width="6.5546875" style="416" customWidth="1"/>
    <col min="5665" max="5888" width="7.33203125" style="416"/>
    <col min="5889" max="5889" width="9.5546875" style="416" customWidth="1"/>
    <col min="5890" max="5894" width="6.5546875" style="416" customWidth="1"/>
    <col min="5895" max="5895" width="5.5546875" style="416" customWidth="1"/>
    <col min="5896" max="5896" width="5.44140625" style="416" customWidth="1"/>
    <col min="5897" max="5897" width="7.6640625" style="416" customWidth="1"/>
    <col min="5898" max="5898" width="7.5546875" style="416" customWidth="1"/>
    <col min="5899" max="5899" width="6.5546875" style="416" customWidth="1"/>
    <col min="5900" max="5900" width="6.33203125" style="416" customWidth="1"/>
    <col min="5901" max="5903" width="6.5546875" style="416" customWidth="1"/>
    <col min="5904" max="5904" width="9" style="416" customWidth="1"/>
    <col min="5905" max="5906" width="7.5546875" style="416" customWidth="1"/>
    <col min="5907" max="5920" width="6.5546875" style="416" customWidth="1"/>
    <col min="5921" max="6144" width="7.33203125" style="416"/>
    <col min="6145" max="6145" width="9.5546875" style="416" customWidth="1"/>
    <col min="6146" max="6150" width="6.5546875" style="416" customWidth="1"/>
    <col min="6151" max="6151" width="5.5546875" style="416" customWidth="1"/>
    <col min="6152" max="6152" width="5.44140625" style="416" customWidth="1"/>
    <col min="6153" max="6153" width="7.6640625" style="416" customWidth="1"/>
    <col min="6154" max="6154" width="7.5546875" style="416" customWidth="1"/>
    <col min="6155" max="6155" width="6.5546875" style="416" customWidth="1"/>
    <col min="6156" max="6156" width="6.33203125" style="416" customWidth="1"/>
    <col min="6157" max="6159" width="6.5546875" style="416" customWidth="1"/>
    <col min="6160" max="6160" width="9" style="416" customWidth="1"/>
    <col min="6161" max="6162" width="7.5546875" style="416" customWidth="1"/>
    <col min="6163" max="6176" width="6.5546875" style="416" customWidth="1"/>
    <col min="6177" max="6400" width="7.33203125" style="416"/>
    <col min="6401" max="6401" width="9.5546875" style="416" customWidth="1"/>
    <col min="6402" max="6406" width="6.5546875" style="416" customWidth="1"/>
    <col min="6407" max="6407" width="5.5546875" style="416" customWidth="1"/>
    <col min="6408" max="6408" width="5.44140625" style="416" customWidth="1"/>
    <col min="6409" max="6409" width="7.6640625" style="416" customWidth="1"/>
    <col min="6410" max="6410" width="7.5546875" style="416" customWidth="1"/>
    <col min="6411" max="6411" width="6.5546875" style="416" customWidth="1"/>
    <col min="6412" max="6412" width="6.33203125" style="416" customWidth="1"/>
    <col min="6413" max="6415" width="6.5546875" style="416" customWidth="1"/>
    <col min="6416" max="6416" width="9" style="416" customWidth="1"/>
    <col min="6417" max="6418" width="7.5546875" style="416" customWidth="1"/>
    <col min="6419" max="6432" width="6.5546875" style="416" customWidth="1"/>
    <col min="6433" max="6656" width="7.33203125" style="416"/>
    <col min="6657" max="6657" width="9.5546875" style="416" customWidth="1"/>
    <col min="6658" max="6662" width="6.5546875" style="416" customWidth="1"/>
    <col min="6663" max="6663" width="5.5546875" style="416" customWidth="1"/>
    <col min="6664" max="6664" width="5.44140625" style="416" customWidth="1"/>
    <col min="6665" max="6665" width="7.6640625" style="416" customWidth="1"/>
    <col min="6666" max="6666" width="7.5546875" style="416" customWidth="1"/>
    <col min="6667" max="6667" width="6.5546875" style="416" customWidth="1"/>
    <col min="6668" max="6668" width="6.33203125" style="416" customWidth="1"/>
    <col min="6669" max="6671" width="6.5546875" style="416" customWidth="1"/>
    <col min="6672" max="6672" width="9" style="416" customWidth="1"/>
    <col min="6673" max="6674" width="7.5546875" style="416" customWidth="1"/>
    <col min="6675" max="6688" width="6.5546875" style="416" customWidth="1"/>
    <col min="6689" max="6912" width="7.33203125" style="416"/>
    <col min="6913" max="6913" width="9.5546875" style="416" customWidth="1"/>
    <col min="6914" max="6918" width="6.5546875" style="416" customWidth="1"/>
    <col min="6919" max="6919" width="5.5546875" style="416" customWidth="1"/>
    <col min="6920" max="6920" width="5.44140625" style="416" customWidth="1"/>
    <col min="6921" max="6921" width="7.6640625" style="416" customWidth="1"/>
    <col min="6922" max="6922" width="7.5546875" style="416" customWidth="1"/>
    <col min="6923" max="6923" width="6.5546875" style="416" customWidth="1"/>
    <col min="6924" max="6924" width="6.33203125" style="416" customWidth="1"/>
    <col min="6925" max="6927" width="6.5546875" style="416" customWidth="1"/>
    <col min="6928" max="6928" width="9" style="416" customWidth="1"/>
    <col min="6929" max="6930" width="7.5546875" style="416" customWidth="1"/>
    <col min="6931" max="6944" width="6.5546875" style="416" customWidth="1"/>
    <col min="6945" max="7168" width="7.33203125" style="416"/>
    <col min="7169" max="7169" width="9.5546875" style="416" customWidth="1"/>
    <col min="7170" max="7174" width="6.5546875" style="416" customWidth="1"/>
    <col min="7175" max="7175" width="5.5546875" style="416" customWidth="1"/>
    <col min="7176" max="7176" width="5.44140625" style="416" customWidth="1"/>
    <col min="7177" max="7177" width="7.6640625" style="416" customWidth="1"/>
    <col min="7178" max="7178" width="7.5546875" style="416" customWidth="1"/>
    <col min="7179" max="7179" width="6.5546875" style="416" customWidth="1"/>
    <col min="7180" max="7180" width="6.33203125" style="416" customWidth="1"/>
    <col min="7181" max="7183" width="6.5546875" style="416" customWidth="1"/>
    <col min="7184" max="7184" width="9" style="416" customWidth="1"/>
    <col min="7185" max="7186" width="7.5546875" style="416" customWidth="1"/>
    <col min="7187" max="7200" width="6.5546875" style="416" customWidth="1"/>
    <col min="7201" max="7424" width="7.33203125" style="416"/>
    <col min="7425" max="7425" width="9.5546875" style="416" customWidth="1"/>
    <col min="7426" max="7430" width="6.5546875" style="416" customWidth="1"/>
    <col min="7431" max="7431" width="5.5546875" style="416" customWidth="1"/>
    <col min="7432" max="7432" width="5.44140625" style="416" customWidth="1"/>
    <col min="7433" max="7433" width="7.6640625" style="416" customWidth="1"/>
    <col min="7434" max="7434" width="7.5546875" style="416" customWidth="1"/>
    <col min="7435" max="7435" width="6.5546875" style="416" customWidth="1"/>
    <col min="7436" max="7436" width="6.33203125" style="416" customWidth="1"/>
    <col min="7437" max="7439" width="6.5546875" style="416" customWidth="1"/>
    <col min="7440" max="7440" width="9" style="416" customWidth="1"/>
    <col min="7441" max="7442" width="7.5546875" style="416" customWidth="1"/>
    <col min="7443" max="7456" width="6.5546875" style="416" customWidth="1"/>
    <col min="7457" max="7680" width="7.33203125" style="416"/>
    <col min="7681" max="7681" width="9.5546875" style="416" customWidth="1"/>
    <col min="7682" max="7686" width="6.5546875" style="416" customWidth="1"/>
    <col min="7687" max="7687" width="5.5546875" style="416" customWidth="1"/>
    <col min="7688" max="7688" width="5.44140625" style="416" customWidth="1"/>
    <col min="7689" max="7689" width="7.6640625" style="416" customWidth="1"/>
    <col min="7690" max="7690" width="7.5546875" style="416" customWidth="1"/>
    <col min="7691" max="7691" width="6.5546875" style="416" customWidth="1"/>
    <col min="7692" max="7692" width="6.33203125" style="416" customWidth="1"/>
    <col min="7693" max="7695" width="6.5546875" style="416" customWidth="1"/>
    <col min="7696" max="7696" width="9" style="416" customWidth="1"/>
    <col min="7697" max="7698" width="7.5546875" style="416" customWidth="1"/>
    <col min="7699" max="7712" width="6.5546875" style="416" customWidth="1"/>
    <col min="7713" max="7936" width="7.33203125" style="416"/>
    <col min="7937" max="7937" width="9.5546875" style="416" customWidth="1"/>
    <col min="7938" max="7942" width="6.5546875" style="416" customWidth="1"/>
    <col min="7943" max="7943" width="5.5546875" style="416" customWidth="1"/>
    <col min="7944" max="7944" width="5.44140625" style="416" customWidth="1"/>
    <col min="7945" max="7945" width="7.6640625" style="416" customWidth="1"/>
    <col min="7946" max="7946" width="7.5546875" style="416" customWidth="1"/>
    <col min="7947" max="7947" width="6.5546875" style="416" customWidth="1"/>
    <col min="7948" max="7948" width="6.33203125" style="416" customWidth="1"/>
    <col min="7949" max="7951" width="6.5546875" style="416" customWidth="1"/>
    <col min="7952" max="7952" width="9" style="416" customWidth="1"/>
    <col min="7953" max="7954" width="7.5546875" style="416" customWidth="1"/>
    <col min="7955" max="7968" width="6.5546875" style="416" customWidth="1"/>
    <col min="7969" max="8192" width="7.33203125" style="416"/>
    <col min="8193" max="8193" width="9.5546875" style="416" customWidth="1"/>
    <col min="8194" max="8198" width="6.5546875" style="416" customWidth="1"/>
    <col min="8199" max="8199" width="5.5546875" style="416" customWidth="1"/>
    <col min="8200" max="8200" width="5.44140625" style="416" customWidth="1"/>
    <col min="8201" max="8201" width="7.6640625" style="416" customWidth="1"/>
    <col min="8202" max="8202" width="7.5546875" style="416" customWidth="1"/>
    <col min="8203" max="8203" width="6.5546875" style="416" customWidth="1"/>
    <col min="8204" max="8204" width="6.33203125" style="416" customWidth="1"/>
    <col min="8205" max="8207" width="6.5546875" style="416" customWidth="1"/>
    <col min="8208" max="8208" width="9" style="416" customWidth="1"/>
    <col min="8209" max="8210" width="7.5546875" style="416" customWidth="1"/>
    <col min="8211" max="8224" width="6.5546875" style="416" customWidth="1"/>
    <col min="8225" max="8448" width="7.33203125" style="416"/>
    <col min="8449" max="8449" width="9.5546875" style="416" customWidth="1"/>
    <col min="8450" max="8454" width="6.5546875" style="416" customWidth="1"/>
    <col min="8455" max="8455" width="5.5546875" style="416" customWidth="1"/>
    <col min="8456" max="8456" width="5.44140625" style="416" customWidth="1"/>
    <col min="8457" max="8457" width="7.6640625" style="416" customWidth="1"/>
    <col min="8458" max="8458" width="7.5546875" style="416" customWidth="1"/>
    <col min="8459" max="8459" width="6.5546875" style="416" customWidth="1"/>
    <col min="8460" max="8460" width="6.33203125" style="416" customWidth="1"/>
    <col min="8461" max="8463" width="6.5546875" style="416" customWidth="1"/>
    <col min="8464" max="8464" width="9" style="416" customWidth="1"/>
    <col min="8465" max="8466" width="7.5546875" style="416" customWidth="1"/>
    <col min="8467" max="8480" width="6.5546875" style="416" customWidth="1"/>
    <col min="8481" max="8704" width="7.33203125" style="416"/>
    <col min="8705" max="8705" width="9.5546875" style="416" customWidth="1"/>
    <col min="8706" max="8710" width="6.5546875" style="416" customWidth="1"/>
    <col min="8711" max="8711" width="5.5546875" style="416" customWidth="1"/>
    <col min="8712" max="8712" width="5.44140625" style="416" customWidth="1"/>
    <col min="8713" max="8713" width="7.6640625" style="416" customWidth="1"/>
    <col min="8714" max="8714" width="7.5546875" style="416" customWidth="1"/>
    <col min="8715" max="8715" width="6.5546875" style="416" customWidth="1"/>
    <col min="8716" max="8716" width="6.33203125" style="416" customWidth="1"/>
    <col min="8717" max="8719" width="6.5546875" style="416" customWidth="1"/>
    <col min="8720" max="8720" width="9" style="416" customWidth="1"/>
    <col min="8721" max="8722" width="7.5546875" style="416" customWidth="1"/>
    <col min="8723" max="8736" width="6.5546875" style="416" customWidth="1"/>
    <col min="8737" max="8960" width="7.33203125" style="416"/>
    <col min="8961" max="8961" width="9.5546875" style="416" customWidth="1"/>
    <col min="8962" max="8966" width="6.5546875" style="416" customWidth="1"/>
    <col min="8967" max="8967" width="5.5546875" style="416" customWidth="1"/>
    <col min="8968" max="8968" width="5.44140625" style="416" customWidth="1"/>
    <col min="8969" max="8969" width="7.6640625" style="416" customWidth="1"/>
    <col min="8970" max="8970" width="7.5546875" style="416" customWidth="1"/>
    <col min="8971" max="8971" width="6.5546875" style="416" customWidth="1"/>
    <col min="8972" max="8972" width="6.33203125" style="416" customWidth="1"/>
    <col min="8973" max="8975" width="6.5546875" style="416" customWidth="1"/>
    <col min="8976" max="8976" width="9" style="416" customWidth="1"/>
    <col min="8977" max="8978" width="7.5546875" style="416" customWidth="1"/>
    <col min="8979" max="8992" width="6.5546875" style="416" customWidth="1"/>
    <col min="8993" max="9216" width="7.33203125" style="416"/>
    <col min="9217" max="9217" width="9.5546875" style="416" customWidth="1"/>
    <col min="9218" max="9222" width="6.5546875" style="416" customWidth="1"/>
    <col min="9223" max="9223" width="5.5546875" style="416" customWidth="1"/>
    <col min="9224" max="9224" width="5.44140625" style="416" customWidth="1"/>
    <col min="9225" max="9225" width="7.6640625" style="416" customWidth="1"/>
    <col min="9226" max="9226" width="7.5546875" style="416" customWidth="1"/>
    <col min="9227" max="9227" width="6.5546875" style="416" customWidth="1"/>
    <col min="9228" max="9228" width="6.33203125" style="416" customWidth="1"/>
    <col min="9229" max="9231" width="6.5546875" style="416" customWidth="1"/>
    <col min="9232" max="9232" width="9" style="416" customWidth="1"/>
    <col min="9233" max="9234" width="7.5546875" style="416" customWidth="1"/>
    <col min="9235" max="9248" width="6.5546875" style="416" customWidth="1"/>
    <col min="9249" max="9472" width="7.33203125" style="416"/>
    <col min="9473" max="9473" width="9.5546875" style="416" customWidth="1"/>
    <col min="9474" max="9478" width="6.5546875" style="416" customWidth="1"/>
    <col min="9479" max="9479" width="5.5546875" style="416" customWidth="1"/>
    <col min="9480" max="9480" width="5.44140625" style="416" customWidth="1"/>
    <col min="9481" max="9481" width="7.6640625" style="416" customWidth="1"/>
    <col min="9482" max="9482" width="7.5546875" style="416" customWidth="1"/>
    <col min="9483" max="9483" width="6.5546875" style="416" customWidth="1"/>
    <col min="9484" max="9484" width="6.33203125" style="416" customWidth="1"/>
    <col min="9485" max="9487" width="6.5546875" style="416" customWidth="1"/>
    <col min="9488" max="9488" width="9" style="416" customWidth="1"/>
    <col min="9489" max="9490" width="7.5546875" style="416" customWidth="1"/>
    <col min="9491" max="9504" width="6.5546875" style="416" customWidth="1"/>
    <col min="9505" max="9728" width="7.33203125" style="416"/>
    <col min="9729" max="9729" width="9.5546875" style="416" customWidth="1"/>
    <col min="9730" max="9734" width="6.5546875" style="416" customWidth="1"/>
    <col min="9735" max="9735" width="5.5546875" style="416" customWidth="1"/>
    <col min="9736" max="9736" width="5.44140625" style="416" customWidth="1"/>
    <col min="9737" max="9737" width="7.6640625" style="416" customWidth="1"/>
    <col min="9738" max="9738" width="7.5546875" style="416" customWidth="1"/>
    <col min="9739" max="9739" width="6.5546875" style="416" customWidth="1"/>
    <col min="9740" max="9740" width="6.33203125" style="416" customWidth="1"/>
    <col min="9741" max="9743" width="6.5546875" style="416" customWidth="1"/>
    <col min="9744" max="9744" width="9" style="416" customWidth="1"/>
    <col min="9745" max="9746" width="7.5546875" style="416" customWidth="1"/>
    <col min="9747" max="9760" width="6.5546875" style="416" customWidth="1"/>
    <col min="9761" max="9984" width="7.33203125" style="416"/>
    <col min="9985" max="9985" width="9.5546875" style="416" customWidth="1"/>
    <col min="9986" max="9990" width="6.5546875" style="416" customWidth="1"/>
    <col min="9991" max="9991" width="5.5546875" style="416" customWidth="1"/>
    <col min="9992" max="9992" width="5.44140625" style="416" customWidth="1"/>
    <col min="9993" max="9993" width="7.6640625" style="416" customWidth="1"/>
    <col min="9994" max="9994" width="7.5546875" style="416" customWidth="1"/>
    <col min="9995" max="9995" width="6.5546875" style="416" customWidth="1"/>
    <col min="9996" max="9996" width="6.33203125" style="416" customWidth="1"/>
    <col min="9997" max="9999" width="6.5546875" style="416" customWidth="1"/>
    <col min="10000" max="10000" width="9" style="416" customWidth="1"/>
    <col min="10001" max="10002" width="7.5546875" style="416" customWidth="1"/>
    <col min="10003" max="10016" width="6.5546875" style="416" customWidth="1"/>
    <col min="10017" max="10240" width="7.33203125" style="416"/>
    <col min="10241" max="10241" width="9.5546875" style="416" customWidth="1"/>
    <col min="10242" max="10246" width="6.5546875" style="416" customWidth="1"/>
    <col min="10247" max="10247" width="5.5546875" style="416" customWidth="1"/>
    <col min="10248" max="10248" width="5.44140625" style="416" customWidth="1"/>
    <col min="10249" max="10249" width="7.6640625" style="416" customWidth="1"/>
    <col min="10250" max="10250" width="7.5546875" style="416" customWidth="1"/>
    <col min="10251" max="10251" width="6.5546875" style="416" customWidth="1"/>
    <col min="10252" max="10252" width="6.33203125" style="416" customWidth="1"/>
    <col min="10253" max="10255" width="6.5546875" style="416" customWidth="1"/>
    <col min="10256" max="10256" width="9" style="416" customWidth="1"/>
    <col min="10257" max="10258" width="7.5546875" style="416" customWidth="1"/>
    <col min="10259" max="10272" width="6.5546875" style="416" customWidth="1"/>
    <col min="10273" max="10496" width="7.33203125" style="416"/>
    <col min="10497" max="10497" width="9.5546875" style="416" customWidth="1"/>
    <col min="10498" max="10502" width="6.5546875" style="416" customWidth="1"/>
    <col min="10503" max="10503" width="5.5546875" style="416" customWidth="1"/>
    <col min="10504" max="10504" width="5.44140625" style="416" customWidth="1"/>
    <col min="10505" max="10505" width="7.6640625" style="416" customWidth="1"/>
    <col min="10506" max="10506" width="7.5546875" style="416" customWidth="1"/>
    <col min="10507" max="10507" width="6.5546875" style="416" customWidth="1"/>
    <col min="10508" max="10508" width="6.33203125" style="416" customWidth="1"/>
    <col min="10509" max="10511" width="6.5546875" style="416" customWidth="1"/>
    <col min="10512" max="10512" width="9" style="416" customWidth="1"/>
    <col min="10513" max="10514" width="7.5546875" style="416" customWidth="1"/>
    <col min="10515" max="10528" width="6.5546875" style="416" customWidth="1"/>
    <col min="10529" max="10752" width="7.33203125" style="416"/>
    <col min="10753" max="10753" width="9.5546875" style="416" customWidth="1"/>
    <col min="10754" max="10758" width="6.5546875" style="416" customWidth="1"/>
    <col min="10759" max="10759" width="5.5546875" style="416" customWidth="1"/>
    <col min="10760" max="10760" width="5.44140625" style="416" customWidth="1"/>
    <col min="10761" max="10761" width="7.6640625" style="416" customWidth="1"/>
    <col min="10762" max="10762" width="7.5546875" style="416" customWidth="1"/>
    <col min="10763" max="10763" width="6.5546875" style="416" customWidth="1"/>
    <col min="10764" max="10764" width="6.33203125" style="416" customWidth="1"/>
    <col min="10765" max="10767" width="6.5546875" style="416" customWidth="1"/>
    <col min="10768" max="10768" width="9" style="416" customWidth="1"/>
    <col min="10769" max="10770" width="7.5546875" style="416" customWidth="1"/>
    <col min="10771" max="10784" width="6.5546875" style="416" customWidth="1"/>
    <col min="10785" max="11008" width="7.33203125" style="416"/>
    <col min="11009" max="11009" width="9.5546875" style="416" customWidth="1"/>
    <col min="11010" max="11014" width="6.5546875" style="416" customWidth="1"/>
    <col min="11015" max="11015" width="5.5546875" style="416" customWidth="1"/>
    <col min="11016" max="11016" width="5.44140625" style="416" customWidth="1"/>
    <col min="11017" max="11017" width="7.6640625" style="416" customWidth="1"/>
    <col min="11018" max="11018" width="7.5546875" style="416" customWidth="1"/>
    <col min="11019" max="11019" width="6.5546875" style="416" customWidth="1"/>
    <col min="11020" max="11020" width="6.33203125" style="416" customWidth="1"/>
    <col min="11021" max="11023" width="6.5546875" style="416" customWidth="1"/>
    <col min="11024" max="11024" width="9" style="416" customWidth="1"/>
    <col min="11025" max="11026" width="7.5546875" style="416" customWidth="1"/>
    <col min="11027" max="11040" width="6.5546875" style="416" customWidth="1"/>
    <col min="11041" max="11264" width="7.33203125" style="416"/>
    <col min="11265" max="11265" width="9.5546875" style="416" customWidth="1"/>
    <col min="11266" max="11270" width="6.5546875" style="416" customWidth="1"/>
    <col min="11271" max="11271" width="5.5546875" style="416" customWidth="1"/>
    <col min="11272" max="11272" width="5.44140625" style="416" customWidth="1"/>
    <col min="11273" max="11273" width="7.6640625" style="416" customWidth="1"/>
    <col min="11274" max="11274" width="7.5546875" style="416" customWidth="1"/>
    <col min="11275" max="11275" width="6.5546875" style="416" customWidth="1"/>
    <col min="11276" max="11276" width="6.33203125" style="416" customWidth="1"/>
    <col min="11277" max="11279" width="6.5546875" style="416" customWidth="1"/>
    <col min="11280" max="11280" width="9" style="416" customWidth="1"/>
    <col min="11281" max="11282" width="7.5546875" style="416" customWidth="1"/>
    <col min="11283" max="11296" width="6.5546875" style="416" customWidth="1"/>
    <col min="11297" max="11520" width="7.33203125" style="416"/>
    <col min="11521" max="11521" width="9.5546875" style="416" customWidth="1"/>
    <col min="11522" max="11526" width="6.5546875" style="416" customWidth="1"/>
    <col min="11527" max="11527" width="5.5546875" style="416" customWidth="1"/>
    <col min="11528" max="11528" width="5.44140625" style="416" customWidth="1"/>
    <col min="11529" max="11529" width="7.6640625" style="416" customWidth="1"/>
    <col min="11530" max="11530" width="7.5546875" style="416" customWidth="1"/>
    <col min="11531" max="11531" width="6.5546875" style="416" customWidth="1"/>
    <col min="11532" max="11532" width="6.33203125" style="416" customWidth="1"/>
    <col min="11533" max="11535" width="6.5546875" style="416" customWidth="1"/>
    <col min="11536" max="11536" width="9" style="416" customWidth="1"/>
    <col min="11537" max="11538" width="7.5546875" style="416" customWidth="1"/>
    <col min="11539" max="11552" width="6.5546875" style="416" customWidth="1"/>
    <col min="11553" max="11776" width="7.33203125" style="416"/>
    <col min="11777" max="11777" width="9.5546875" style="416" customWidth="1"/>
    <col min="11778" max="11782" width="6.5546875" style="416" customWidth="1"/>
    <col min="11783" max="11783" width="5.5546875" style="416" customWidth="1"/>
    <col min="11784" max="11784" width="5.44140625" style="416" customWidth="1"/>
    <col min="11785" max="11785" width="7.6640625" style="416" customWidth="1"/>
    <col min="11786" max="11786" width="7.5546875" style="416" customWidth="1"/>
    <col min="11787" max="11787" width="6.5546875" style="416" customWidth="1"/>
    <col min="11788" max="11788" width="6.33203125" style="416" customWidth="1"/>
    <col min="11789" max="11791" width="6.5546875" style="416" customWidth="1"/>
    <col min="11792" max="11792" width="9" style="416" customWidth="1"/>
    <col min="11793" max="11794" width="7.5546875" style="416" customWidth="1"/>
    <col min="11795" max="11808" width="6.5546875" style="416" customWidth="1"/>
    <col min="11809" max="12032" width="7.33203125" style="416"/>
    <col min="12033" max="12033" width="9.5546875" style="416" customWidth="1"/>
    <col min="12034" max="12038" width="6.5546875" style="416" customWidth="1"/>
    <col min="12039" max="12039" width="5.5546875" style="416" customWidth="1"/>
    <col min="12040" max="12040" width="5.44140625" style="416" customWidth="1"/>
    <col min="12041" max="12041" width="7.6640625" style="416" customWidth="1"/>
    <col min="12042" max="12042" width="7.5546875" style="416" customWidth="1"/>
    <col min="12043" max="12043" width="6.5546875" style="416" customWidth="1"/>
    <col min="12044" max="12044" width="6.33203125" style="416" customWidth="1"/>
    <col min="12045" max="12047" width="6.5546875" style="416" customWidth="1"/>
    <col min="12048" max="12048" width="9" style="416" customWidth="1"/>
    <col min="12049" max="12050" width="7.5546875" style="416" customWidth="1"/>
    <col min="12051" max="12064" width="6.5546875" style="416" customWidth="1"/>
    <col min="12065" max="12288" width="7.33203125" style="416"/>
    <col min="12289" max="12289" width="9.5546875" style="416" customWidth="1"/>
    <col min="12290" max="12294" width="6.5546875" style="416" customWidth="1"/>
    <col min="12295" max="12295" width="5.5546875" style="416" customWidth="1"/>
    <col min="12296" max="12296" width="5.44140625" style="416" customWidth="1"/>
    <col min="12297" max="12297" width="7.6640625" style="416" customWidth="1"/>
    <col min="12298" max="12298" width="7.5546875" style="416" customWidth="1"/>
    <col min="12299" max="12299" width="6.5546875" style="416" customWidth="1"/>
    <col min="12300" max="12300" width="6.33203125" style="416" customWidth="1"/>
    <col min="12301" max="12303" width="6.5546875" style="416" customWidth="1"/>
    <col min="12304" max="12304" width="9" style="416" customWidth="1"/>
    <col min="12305" max="12306" width="7.5546875" style="416" customWidth="1"/>
    <col min="12307" max="12320" width="6.5546875" style="416" customWidth="1"/>
    <col min="12321" max="12544" width="7.33203125" style="416"/>
    <col min="12545" max="12545" width="9.5546875" style="416" customWidth="1"/>
    <col min="12546" max="12550" width="6.5546875" style="416" customWidth="1"/>
    <col min="12551" max="12551" width="5.5546875" style="416" customWidth="1"/>
    <col min="12552" max="12552" width="5.44140625" style="416" customWidth="1"/>
    <col min="12553" max="12553" width="7.6640625" style="416" customWidth="1"/>
    <col min="12554" max="12554" width="7.5546875" style="416" customWidth="1"/>
    <col min="12555" max="12555" width="6.5546875" style="416" customWidth="1"/>
    <col min="12556" max="12556" width="6.33203125" style="416" customWidth="1"/>
    <col min="12557" max="12559" width="6.5546875" style="416" customWidth="1"/>
    <col min="12560" max="12560" width="9" style="416" customWidth="1"/>
    <col min="12561" max="12562" width="7.5546875" style="416" customWidth="1"/>
    <col min="12563" max="12576" width="6.5546875" style="416" customWidth="1"/>
    <col min="12577" max="12800" width="7.33203125" style="416"/>
    <col min="12801" max="12801" width="9.5546875" style="416" customWidth="1"/>
    <col min="12802" max="12806" width="6.5546875" style="416" customWidth="1"/>
    <col min="12807" max="12807" width="5.5546875" style="416" customWidth="1"/>
    <col min="12808" max="12808" width="5.44140625" style="416" customWidth="1"/>
    <col min="12809" max="12809" width="7.6640625" style="416" customWidth="1"/>
    <col min="12810" max="12810" width="7.5546875" style="416" customWidth="1"/>
    <col min="12811" max="12811" width="6.5546875" style="416" customWidth="1"/>
    <col min="12812" max="12812" width="6.33203125" style="416" customWidth="1"/>
    <col min="12813" max="12815" width="6.5546875" style="416" customWidth="1"/>
    <col min="12816" max="12816" width="9" style="416" customWidth="1"/>
    <col min="12817" max="12818" width="7.5546875" style="416" customWidth="1"/>
    <col min="12819" max="12832" width="6.5546875" style="416" customWidth="1"/>
    <col min="12833" max="13056" width="7.33203125" style="416"/>
    <col min="13057" max="13057" width="9.5546875" style="416" customWidth="1"/>
    <col min="13058" max="13062" width="6.5546875" style="416" customWidth="1"/>
    <col min="13063" max="13063" width="5.5546875" style="416" customWidth="1"/>
    <col min="13064" max="13064" width="5.44140625" style="416" customWidth="1"/>
    <col min="13065" max="13065" width="7.6640625" style="416" customWidth="1"/>
    <col min="13066" max="13066" width="7.5546875" style="416" customWidth="1"/>
    <col min="13067" max="13067" width="6.5546875" style="416" customWidth="1"/>
    <col min="13068" max="13068" width="6.33203125" style="416" customWidth="1"/>
    <col min="13069" max="13071" width="6.5546875" style="416" customWidth="1"/>
    <col min="13072" max="13072" width="9" style="416" customWidth="1"/>
    <col min="13073" max="13074" width="7.5546875" style="416" customWidth="1"/>
    <col min="13075" max="13088" width="6.5546875" style="416" customWidth="1"/>
    <col min="13089" max="13312" width="7.33203125" style="416"/>
    <col min="13313" max="13313" width="9.5546875" style="416" customWidth="1"/>
    <col min="13314" max="13318" width="6.5546875" style="416" customWidth="1"/>
    <col min="13319" max="13319" width="5.5546875" style="416" customWidth="1"/>
    <col min="13320" max="13320" width="5.44140625" style="416" customWidth="1"/>
    <col min="13321" max="13321" width="7.6640625" style="416" customWidth="1"/>
    <col min="13322" max="13322" width="7.5546875" style="416" customWidth="1"/>
    <col min="13323" max="13323" width="6.5546875" style="416" customWidth="1"/>
    <col min="13324" max="13324" width="6.33203125" style="416" customWidth="1"/>
    <col min="13325" max="13327" width="6.5546875" style="416" customWidth="1"/>
    <col min="13328" max="13328" width="9" style="416" customWidth="1"/>
    <col min="13329" max="13330" width="7.5546875" style="416" customWidth="1"/>
    <col min="13331" max="13344" width="6.5546875" style="416" customWidth="1"/>
    <col min="13345" max="13568" width="7.33203125" style="416"/>
    <col min="13569" max="13569" width="9.5546875" style="416" customWidth="1"/>
    <col min="13570" max="13574" width="6.5546875" style="416" customWidth="1"/>
    <col min="13575" max="13575" width="5.5546875" style="416" customWidth="1"/>
    <col min="13576" max="13576" width="5.44140625" style="416" customWidth="1"/>
    <col min="13577" max="13577" width="7.6640625" style="416" customWidth="1"/>
    <col min="13578" max="13578" width="7.5546875" style="416" customWidth="1"/>
    <col min="13579" max="13579" width="6.5546875" style="416" customWidth="1"/>
    <col min="13580" max="13580" width="6.33203125" style="416" customWidth="1"/>
    <col min="13581" max="13583" width="6.5546875" style="416" customWidth="1"/>
    <col min="13584" max="13584" width="9" style="416" customWidth="1"/>
    <col min="13585" max="13586" width="7.5546875" style="416" customWidth="1"/>
    <col min="13587" max="13600" width="6.5546875" style="416" customWidth="1"/>
    <col min="13601" max="13824" width="7.33203125" style="416"/>
    <col min="13825" max="13825" width="9.5546875" style="416" customWidth="1"/>
    <col min="13826" max="13830" width="6.5546875" style="416" customWidth="1"/>
    <col min="13831" max="13831" width="5.5546875" style="416" customWidth="1"/>
    <col min="13832" max="13832" width="5.44140625" style="416" customWidth="1"/>
    <col min="13833" max="13833" width="7.6640625" style="416" customWidth="1"/>
    <col min="13834" max="13834" width="7.5546875" style="416" customWidth="1"/>
    <col min="13835" max="13835" width="6.5546875" style="416" customWidth="1"/>
    <col min="13836" max="13836" width="6.33203125" style="416" customWidth="1"/>
    <col min="13837" max="13839" width="6.5546875" style="416" customWidth="1"/>
    <col min="13840" max="13840" width="9" style="416" customWidth="1"/>
    <col min="13841" max="13842" width="7.5546875" style="416" customWidth="1"/>
    <col min="13843" max="13856" width="6.5546875" style="416" customWidth="1"/>
    <col min="13857" max="14080" width="7.33203125" style="416"/>
    <col min="14081" max="14081" width="9.5546875" style="416" customWidth="1"/>
    <col min="14082" max="14086" width="6.5546875" style="416" customWidth="1"/>
    <col min="14087" max="14087" width="5.5546875" style="416" customWidth="1"/>
    <col min="14088" max="14088" width="5.44140625" style="416" customWidth="1"/>
    <col min="14089" max="14089" width="7.6640625" style="416" customWidth="1"/>
    <col min="14090" max="14090" width="7.5546875" style="416" customWidth="1"/>
    <col min="14091" max="14091" width="6.5546875" style="416" customWidth="1"/>
    <col min="14092" max="14092" width="6.33203125" style="416" customWidth="1"/>
    <col min="14093" max="14095" width="6.5546875" style="416" customWidth="1"/>
    <col min="14096" max="14096" width="9" style="416" customWidth="1"/>
    <col min="14097" max="14098" width="7.5546875" style="416" customWidth="1"/>
    <col min="14099" max="14112" width="6.5546875" style="416" customWidth="1"/>
    <col min="14113" max="14336" width="7.33203125" style="416"/>
    <col min="14337" max="14337" width="9.5546875" style="416" customWidth="1"/>
    <col min="14338" max="14342" width="6.5546875" style="416" customWidth="1"/>
    <col min="14343" max="14343" width="5.5546875" style="416" customWidth="1"/>
    <col min="14344" max="14344" width="5.44140625" style="416" customWidth="1"/>
    <col min="14345" max="14345" width="7.6640625" style="416" customWidth="1"/>
    <col min="14346" max="14346" width="7.5546875" style="416" customWidth="1"/>
    <col min="14347" max="14347" width="6.5546875" style="416" customWidth="1"/>
    <col min="14348" max="14348" width="6.33203125" style="416" customWidth="1"/>
    <col min="14349" max="14351" width="6.5546875" style="416" customWidth="1"/>
    <col min="14352" max="14352" width="9" style="416" customWidth="1"/>
    <col min="14353" max="14354" width="7.5546875" style="416" customWidth="1"/>
    <col min="14355" max="14368" width="6.5546875" style="416" customWidth="1"/>
    <col min="14369" max="14592" width="7.33203125" style="416"/>
    <col min="14593" max="14593" width="9.5546875" style="416" customWidth="1"/>
    <col min="14594" max="14598" width="6.5546875" style="416" customWidth="1"/>
    <col min="14599" max="14599" width="5.5546875" style="416" customWidth="1"/>
    <col min="14600" max="14600" width="5.44140625" style="416" customWidth="1"/>
    <col min="14601" max="14601" width="7.6640625" style="416" customWidth="1"/>
    <col min="14602" max="14602" width="7.5546875" style="416" customWidth="1"/>
    <col min="14603" max="14603" width="6.5546875" style="416" customWidth="1"/>
    <col min="14604" max="14604" width="6.33203125" style="416" customWidth="1"/>
    <col min="14605" max="14607" width="6.5546875" style="416" customWidth="1"/>
    <col min="14608" max="14608" width="9" style="416" customWidth="1"/>
    <col min="14609" max="14610" width="7.5546875" style="416" customWidth="1"/>
    <col min="14611" max="14624" width="6.5546875" style="416" customWidth="1"/>
    <col min="14625" max="14848" width="7.33203125" style="416"/>
    <col min="14849" max="14849" width="9.5546875" style="416" customWidth="1"/>
    <col min="14850" max="14854" width="6.5546875" style="416" customWidth="1"/>
    <col min="14855" max="14855" width="5.5546875" style="416" customWidth="1"/>
    <col min="14856" max="14856" width="5.44140625" style="416" customWidth="1"/>
    <col min="14857" max="14857" width="7.6640625" style="416" customWidth="1"/>
    <col min="14858" max="14858" width="7.5546875" style="416" customWidth="1"/>
    <col min="14859" max="14859" width="6.5546875" style="416" customWidth="1"/>
    <col min="14860" max="14860" width="6.33203125" style="416" customWidth="1"/>
    <col min="14861" max="14863" width="6.5546875" style="416" customWidth="1"/>
    <col min="14864" max="14864" width="9" style="416" customWidth="1"/>
    <col min="14865" max="14866" width="7.5546875" style="416" customWidth="1"/>
    <col min="14867" max="14880" width="6.5546875" style="416" customWidth="1"/>
    <col min="14881" max="15104" width="7.33203125" style="416"/>
    <col min="15105" max="15105" width="9.5546875" style="416" customWidth="1"/>
    <col min="15106" max="15110" width="6.5546875" style="416" customWidth="1"/>
    <col min="15111" max="15111" width="5.5546875" style="416" customWidth="1"/>
    <col min="15112" max="15112" width="5.44140625" style="416" customWidth="1"/>
    <col min="15113" max="15113" width="7.6640625" style="416" customWidth="1"/>
    <col min="15114" max="15114" width="7.5546875" style="416" customWidth="1"/>
    <col min="15115" max="15115" width="6.5546875" style="416" customWidth="1"/>
    <col min="15116" max="15116" width="6.33203125" style="416" customWidth="1"/>
    <col min="15117" max="15119" width="6.5546875" style="416" customWidth="1"/>
    <col min="15120" max="15120" width="9" style="416" customWidth="1"/>
    <col min="15121" max="15122" width="7.5546875" style="416" customWidth="1"/>
    <col min="15123" max="15136" width="6.5546875" style="416" customWidth="1"/>
    <col min="15137" max="15360" width="7.33203125" style="416"/>
    <col min="15361" max="15361" width="9.5546875" style="416" customWidth="1"/>
    <col min="15362" max="15366" width="6.5546875" style="416" customWidth="1"/>
    <col min="15367" max="15367" width="5.5546875" style="416" customWidth="1"/>
    <col min="15368" max="15368" width="5.44140625" style="416" customWidth="1"/>
    <col min="15369" max="15369" width="7.6640625" style="416" customWidth="1"/>
    <col min="15370" max="15370" width="7.5546875" style="416" customWidth="1"/>
    <col min="15371" max="15371" width="6.5546875" style="416" customWidth="1"/>
    <col min="15372" max="15372" width="6.33203125" style="416" customWidth="1"/>
    <col min="15373" max="15375" width="6.5546875" style="416" customWidth="1"/>
    <col min="15376" max="15376" width="9" style="416" customWidth="1"/>
    <col min="15377" max="15378" width="7.5546875" style="416" customWidth="1"/>
    <col min="15379" max="15392" width="6.5546875" style="416" customWidth="1"/>
    <col min="15393" max="15616" width="7.33203125" style="416"/>
    <col min="15617" max="15617" width="9.5546875" style="416" customWidth="1"/>
    <col min="15618" max="15622" width="6.5546875" style="416" customWidth="1"/>
    <col min="15623" max="15623" width="5.5546875" style="416" customWidth="1"/>
    <col min="15624" max="15624" width="5.44140625" style="416" customWidth="1"/>
    <col min="15625" max="15625" width="7.6640625" style="416" customWidth="1"/>
    <col min="15626" max="15626" width="7.5546875" style="416" customWidth="1"/>
    <col min="15627" max="15627" width="6.5546875" style="416" customWidth="1"/>
    <col min="15628" max="15628" width="6.33203125" style="416" customWidth="1"/>
    <col min="15629" max="15631" width="6.5546875" style="416" customWidth="1"/>
    <col min="15632" max="15632" width="9" style="416" customWidth="1"/>
    <col min="15633" max="15634" width="7.5546875" style="416" customWidth="1"/>
    <col min="15635" max="15648" width="6.5546875" style="416" customWidth="1"/>
    <col min="15649" max="15872" width="7.33203125" style="416"/>
    <col min="15873" max="15873" width="9.5546875" style="416" customWidth="1"/>
    <col min="15874" max="15878" width="6.5546875" style="416" customWidth="1"/>
    <col min="15879" max="15879" width="5.5546875" style="416" customWidth="1"/>
    <col min="15880" max="15880" width="5.44140625" style="416" customWidth="1"/>
    <col min="15881" max="15881" width="7.6640625" style="416" customWidth="1"/>
    <col min="15882" max="15882" width="7.5546875" style="416" customWidth="1"/>
    <col min="15883" max="15883" width="6.5546875" style="416" customWidth="1"/>
    <col min="15884" max="15884" width="6.33203125" style="416" customWidth="1"/>
    <col min="15885" max="15887" width="6.5546875" style="416" customWidth="1"/>
    <col min="15888" max="15888" width="9" style="416" customWidth="1"/>
    <col min="15889" max="15890" width="7.5546875" style="416" customWidth="1"/>
    <col min="15891" max="15904" width="6.5546875" style="416" customWidth="1"/>
    <col min="15905" max="16128" width="7.33203125" style="416"/>
    <col min="16129" max="16129" width="9.5546875" style="416" customWidth="1"/>
    <col min="16130" max="16134" width="6.5546875" style="416" customWidth="1"/>
    <col min="16135" max="16135" width="5.5546875" style="416" customWidth="1"/>
    <col min="16136" max="16136" width="5.44140625" style="416" customWidth="1"/>
    <col min="16137" max="16137" width="7.6640625" style="416" customWidth="1"/>
    <col min="16138" max="16138" width="7.5546875" style="416" customWidth="1"/>
    <col min="16139" max="16139" width="6.5546875" style="416" customWidth="1"/>
    <col min="16140" max="16140" width="6.33203125" style="416" customWidth="1"/>
    <col min="16141" max="16143" width="6.5546875" style="416" customWidth="1"/>
    <col min="16144" max="16144" width="9" style="416" customWidth="1"/>
    <col min="16145" max="16146" width="7.5546875" style="416" customWidth="1"/>
    <col min="16147" max="16160" width="6.5546875" style="416" customWidth="1"/>
    <col min="16161" max="16384" width="7.33203125" style="416"/>
  </cols>
  <sheetData>
    <row r="1" spans="1:32" ht="21" customHeight="1" thickBot="1">
      <c r="A1" s="1126" t="s">
        <v>345</v>
      </c>
      <c r="B1" s="1127"/>
      <c r="C1" s="1127"/>
      <c r="D1" s="1127"/>
      <c r="E1" s="1127"/>
      <c r="F1" s="1127"/>
      <c r="G1" s="1127"/>
      <c r="H1" s="1127"/>
      <c r="I1" s="1127"/>
      <c r="J1" s="1127"/>
      <c r="K1" s="1127"/>
      <c r="L1" s="1127"/>
      <c r="M1" s="1127"/>
      <c r="N1" s="1127"/>
      <c r="O1" s="1127"/>
      <c r="P1" s="1127"/>
      <c r="Q1" s="1127"/>
      <c r="R1" s="1127"/>
      <c r="S1" s="1127"/>
      <c r="T1" s="1127"/>
      <c r="U1" s="1127"/>
      <c r="V1" s="1127"/>
      <c r="W1" s="1127"/>
      <c r="X1" s="1127"/>
      <c r="Y1" s="1127"/>
      <c r="Z1" s="1127"/>
      <c r="AA1" s="1127"/>
      <c r="AB1" s="1127"/>
      <c r="AC1" s="1127"/>
      <c r="AD1" s="1127"/>
      <c r="AE1" s="1127"/>
      <c r="AF1" s="1127"/>
    </row>
    <row r="2" spans="1:32" ht="42.6" customHeight="1" thickBot="1">
      <c r="A2" s="417" t="s">
        <v>346</v>
      </c>
      <c r="B2" s="418" t="s">
        <v>347</v>
      </c>
      <c r="C2" s="419" t="s">
        <v>348</v>
      </c>
      <c r="D2" s="419" t="s">
        <v>349</v>
      </c>
      <c r="E2" s="419" t="s">
        <v>350</v>
      </c>
      <c r="F2" s="419" t="s">
        <v>351</v>
      </c>
      <c r="G2" s="419" t="s">
        <v>352</v>
      </c>
      <c r="H2" s="418" t="s">
        <v>353</v>
      </c>
      <c r="I2" s="418" t="s">
        <v>354</v>
      </c>
      <c r="J2" s="419" t="s">
        <v>355</v>
      </c>
      <c r="K2" s="419" t="s">
        <v>356</v>
      </c>
      <c r="L2" s="419" t="s">
        <v>357</v>
      </c>
      <c r="M2" s="418" t="s">
        <v>358</v>
      </c>
      <c r="N2" s="419" t="s">
        <v>359</v>
      </c>
      <c r="O2" s="419" t="s">
        <v>360</v>
      </c>
      <c r="P2" s="420" t="s">
        <v>361</v>
      </c>
      <c r="Q2" s="420" t="s">
        <v>362</v>
      </c>
      <c r="R2" s="420" t="s">
        <v>363</v>
      </c>
      <c r="S2" s="421"/>
      <c r="T2" s="421"/>
      <c r="U2" s="421"/>
      <c r="V2" s="421"/>
      <c r="W2" s="421"/>
      <c r="X2" s="421"/>
      <c r="Y2" s="421"/>
      <c r="Z2" s="421"/>
      <c r="AA2" s="421"/>
      <c r="AB2" s="421"/>
      <c r="AC2" s="421"/>
      <c r="AD2" s="421"/>
      <c r="AE2" s="421"/>
      <c r="AF2" s="421"/>
    </row>
    <row r="3" spans="1:32" ht="21" customHeight="1">
      <c r="A3" s="422" t="s">
        <v>364</v>
      </c>
      <c r="B3" s="423">
        <v>2876.2</v>
      </c>
      <c r="C3" s="423">
        <v>1385.6576254416959</v>
      </c>
      <c r="D3" s="423">
        <v>816.82047349823324</v>
      </c>
      <c r="E3" s="423">
        <v>369.33253710247345</v>
      </c>
      <c r="F3" s="423">
        <v>250.82903180212014</v>
      </c>
      <c r="G3" s="423">
        <v>53.560332155477028</v>
      </c>
      <c r="H3" s="423">
        <v>73.8</v>
      </c>
      <c r="I3" s="423">
        <v>9688</v>
      </c>
      <c r="J3" s="423">
        <v>9390.9087311917538</v>
      </c>
      <c r="K3" s="423">
        <v>268.34050085906182</v>
      </c>
      <c r="L3" s="423">
        <v>28.750767949185192</v>
      </c>
      <c r="M3" s="423">
        <v>177</v>
      </c>
      <c r="N3" s="423">
        <v>163.84459459459458</v>
      </c>
      <c r="O3" s="423">
        <v>13.155405405405403</v>
      </c>
      <c r="P3" s="423">
        <v>723097</v>
      </c>
      <c r="Q3" s="423">
        <v>12770</v>
      </c>
      <c r="R3" s="423">
        <v>20437</v>
      </c>
      <c r="S3" s="421"/>
      <c r="T3" s="421"/>
      <c r="U3" s="421"/>
      <c r="V3" s="421"/>
      <c r="W3" s="421"/>
      <c r="X3" s="421"/>
      <c r="Y3" s="421"/>
      <c r="Z3" s="421"/>
      <c r="AA3" s="421"/>
      <c r="AB3" s="421"/>
      <c r="AC3" s="421"/>
      <c r="AD3" s="421"/>
      <c r="AE3" s="421"/>
      <c r="AF3" s="421"/>
    </row>
    <row r="4" spans="1:32" ht="21" customHeight="1">
      <c r="A4" s="422" t="s">
        <v>365</v>
      </c>
      <c r="B4" s="423">
        <v>3096.7</v>
      </c>
      <c r="C4" s="423">
        <v>1583.2919655432183</v>
      </c>
      <c r="D4" s="423">
        <v>852.8071009793324</v>
      </c>
      <c r="E4" s="423">
        <v>360.27245750221084</v>
      </c>
      <c r="F4" s="423">
        <v>248.09302675968686</v>
      </c>
      <c r="G4" s="423">
        <v>52.235449215551405</v>
      </c>
      <c r="H4" s="423">
        <v>79.900000000000006</v>
      </c>
      <c r="I4" s="423">
        <v>9527</v>
      </c>
      <c r="J4" s="423">
        <v>9226.0517584745758</v>
      </c>
      <c r="K4" s="423">
        <v>272.69019067796609</v>
      </c>
      <c r="L4" s="423">
        <v>28.258050847457628</v>
      </c>
      <c r="M4" s="423">
        <v>198.2</v>
      </c>
      <c r="N4" s="423">
        <v>185.6089813800657</v>
      </c>
      <c r="O4" s="423">
        <v>12.591018619934282</v>
      </c>
      <c r="P4" s="423">
        <v>768203</v>
      </c>
      <c r="Q4" s="423">
        <v>13611</v>
      </c>
      <c r="R4" s="423">
        <v>22091</v>
      </c>
      <c r="S4" s="421"/>
      <c r="T4" s="421"/>
      <c r="U4" s="421"/>
      <c r="V4" s="421"/>
      <c r="W4" s="421"/>
      <c r="X4" s="421"/>
      <c r="Y4" s="421"/>
      <c r="Z4" s="421"/>
      <c r="AA4" s="421"/>
      <c r="AB4" s="421"/>
      <c r="AC4" s="421"/>
      <c r="AD4" s="421"/>
      <c r="AE4" s="421"/>
      <c r="AF4" s="421"/>
    </row>
    <row r="5" spans="1:32" ht="21" customHeight="1">
      <c r="A5" s="422" t="s">
        <v>366</v>
      </c>
      <c r="B5" s="423">
        <v>2765.8</v>
      </c>
      <c r="C5" s="423">
        <v>1424.3114760107028</v>
      </c>
      <c r="D5" s="423">
        <v>771.35843565590289</v>
      </c>
      <c r="E5" s="423">
        <v>316.38975919070486</v>
      </c>
      <c r="F5" s="423">
        <v>209.94655279844591</v>
      </c>
      <c r="G5" s="423">
        <v>43.793776344243675</v>
      </c>
      <c r="H5" s="423">
        <v>73.400000000000006</v>
      </c>
      <c r="I5" s="423">
        <v>8158.5</v>
      </c>
      <c r="J5" s="423">
        <v>7901.8070109286909</v>
      </c>
      <c r="K5" s="423">
        <v>230.973259321531</v>
      </c>
      <c r="L5" s="423">
        <v>25.719729749777468</v>
      </c>
      <c r="M5" s="423">
        <v>164.9</v>
      </c>
      <c r="N5" s="423">
        <v>152.77500000000001</v>
      </c>
      <c r="O5" s="423">
        <v>12.125</v>
      </c>
      <c r="P5" s="423">
        <v>696188</v>
      </c>
      <c r="Q5" s="423">
        <v>12162</v>
      </c>
      <c r="R5" s="423">
        <v>19369</v>
      </c>
      <c r="S5" s="421"/>
      <c r="T5" s="421"/>
      <c r="U5" s="421"/>
      <c r="V5" s="421"/>
      <c r="W5" s="421"/>
      <c r="X5" s="421"/>
      <c r="Y5" s="421"/>
      <c r="Z5" s="421"/>
      <c r="AA5" s="421"/>
      <c r="AB5" s="421"/>
      <c r="AC5" s="421"/>
      <c r="AD5" s="421"/>
      <c r="AE5" s="421"/>
      <c r="AF5" s="421"/>
    </row>
    <row r="6" spans="1:32">
      <c r="A6" s="422" t="s">
        <v>367</v>
      </c>
      <c r="B6" s="423">
        <v>3101.2</v>
      </c>
      <c r="C6" s="423">
        <v>1618.1320167407791</v>
      </c>
      <c r="D6" s="423">
        <v>889.88134972534658</v>
      </c>
      <c r="E6" s="423">
        <v>323.05856657075594</v>
      </c>
      <c r="F6" s="423">
        <v>222.16613915772953</v>
      </c>
      <c r="G6" s="423">
        <v>47.961927805388434</v>
      </c>
      <c r="H6" s="423">
        <v>72.5</v>
      </c>
      <c r="I6" s="423">
        <v>8940</v>
      </c>
      <c r="J6" s="423">
        <v>8641.5159718462364</v>
      </c>
      <c r="K6" s="423">
        <v>269.84569572279378</v>
      </c>
      <c r="L6" s="423">
        <v>28.63833243096914</v>
      </c>
      <c r="M6" s="423">
        <v>183.4</v>
      </c>
      <c r="N6" s="423">
        <v>166.17217598097503</v>
      </c>
      <c r="O6" s="423">
        <v>17.227824019024975</v>
      </c>
      <c r="P6" s="423">
        <v>752135</v>
      </c>
      <c r="Q6" s="423">
        <v>13109</v>
      </c>
      <c r="R6" s="423">
        <v>22203</v>
      </c>
      <c r="S6" s="421"/>
      <c r="T6" s="421"/>
      <c r="U6" s="421"/>
      <c r="V6" s="421"/>
      <c r="W6" s="421"/>
      <c r="X6" s="421"/>
      <c r="Y6" s="421"/>
      <c r="Z6" s="421"/>
      <c r="AA6" s="421"/>
      <c r="AB6" s="421"/>
      <c r="AC6" s="421"/>
      <c r="AD6" s="421"/>
      <c r="AE6" s="421"/>
      <c r="AF6" s="421"/>
    </row>
    <row r="7" spans="1:32">
      <c r="A7" s="422" t="s">
        <v>368</v>
      </c>
      <c r="B7" s="423">
        <v>2818</v>
      </c>
      <c r="C7" s="423">
        <v>1452.0720843985166</v>
      </c>
      <c r="D7" s="423">
        <v>793.86569689986663</v>
      </c>
      <c r="E7" s="423">
        <v>299.93187628272062</v>
      </c>
      <c r="F7" s="423">
        <v>223.22399452705864</v>
      </c>
      <c r="G7" s="423">
        <v>48.906347891837392</v>
      </c>
      <c r="H7" s="423">
        <v>61.1</v>
      </c>
      <c r="I7" s="423">
        <v>8541.7999999999993</v>
      </c>
      <c r="J7" s="423">
        <v>8271.3392472610485</v>
      </c>
      <c r="K7" s="423">
        <v>243.03147431054023</v>
      </c>
      <c r="L7" s="423">
        <v>27.429278428409521</v>
      </c>
      <c r="M7" s="423">
        <v>179.4</v>
      </c>
      <c r="N7" s="423">
        <v>163.06139927623644</v>
      </c>
      <c r="O7" s="423">
        <v>16.33860072376357</v>
      </c>
      <c r="P7" s="423">
        <v>744281</v>
      </c>
      <c r="Q7" s="423">
        <v>12581</v>
      </c>
      <c r="R7" s="423">
        <v>20555</v>
      </c>
      <c r="S7" s="421"/>
      <c r="T7" s="421"/>
      <c r="U7" s="421"/>
      <c r="V7" s="421"/>
      <c r="W7" s="421"/>
      <c r="X7" s="421"/>
      <c r="Y7" s="421"/>
      <c r="Z7" s="421"/>
      <c r="AA7" s="421"/>
      <c r="AB7" s="421"/>
      <c r="AC7" s="421"/>
      <c r="AD7" s="421"/>
      <c r="AE7" s="421"/>
      <c r="AF7" s="421"/>
    </row>
    <row r="8" spans="1:32">
      <c r="A8" s="422" t="s">
        <v>369</v>
      </c>
      <c r="B8" s="423">
        <v>2719.8</v>
      </c>
      <c r="C8" s="423">
        <v>1327.3460955297458</v>
      </c>
      <c r="D8" s="423">
        <v>813.08581992008067</v>
      </c>
      <c r="E8" s="423">
        <v>285.31643574709636</v>
      </c>
      <c r="F8" s="423">
        <v>241.53879822235501</v>
      </c>
      <c r="G8" s="423">
        <v>52.512850580722265</v>
      </c>
      <c r="H8" s="423">
        <v>58.9</v>
      </c>
      <c r="I8" s="423">
        <v>8630.7000000000007</v>
      </c>
      <c r="J8" s="423">
        <v>8364.097541883777</v>
      </c>
      <c r="K8" s="423">
        <v>238.7725494777672</v>
      </c>
      <c r="L8" s="423">
        <v>27.829908638455976</v>
      </c>
      <c r="M8" s="423">
        <v>206.7</v>
      </c>
      <c r="N8" s="423">
        <v>194.62992700729927</v>
      </c>
      <c r="O8" s="423">
        <v>12.070072992700728</v>
      </c>
      <c r="P8" s="423">
        <v>686642</v>
      </c>
      <c r="Q8" s="423">
        <v>11776</v>
      </c>
      <c r="R8" s="423">
        <v>19061</v>
      </c>
      <c r="S8" s="421"/>
      <c r="T8" s="421"/>
      <c r="U8" s="421"/>
      <c r="V8" s="421"/>
      <c r="W8" s="421"/>
      <c r="X8" s="421"/>
      <c r="Y8" s="421"/>
      <c r="Z8" s="421"/>
      <c r="AA8" s="421"/>
      <c r="AB8" s="421"/>
      <c r="AC8" s="421"/>
      <c r="AD8" s="421"/>
      <c r="AE8" s="421"/>
      <c r="AF8" s="421"/>
    </row>
    <row r="9" spans="1:32">
      <c r="A9" s="422" t="s">
        <v>370</v>
      </c>
      <c r="B9" s="423">
        <v>2959.2</v>
      </c>
      <c r="C9" s="423">
        <v>1432.1593408856847</v>
      </c>
      <c r="D9" s="423">
        <v>918.03262615859933</v>
      </c>
      <c r="E9" s="423">
        <v>281.59637487126673</v>
      </c>
      <c r="F9" s="423">
        <v>272.35204943357365</v>
      </c>
      <c r="G9" s="423">
        <v>55.059608650875383</v>
      </c>
      <c r="H9" s="423">
        <v>72.900000000000006</v>
      </c>
      <c r="I9" s="423">
        <v>9873</v>
      </c>
      <c r="J9" s="423">
        <v>9576.6467032854835</v>
      </c>
      <c r="K9" s="423">
        <v>266.8187674841239</v>
      </c>
      <c r="L9" s="423">
        <v>29.534529230392256</v>
      </c>
      <c r="M9" s="423">
        <v>193.9</v>
      </c>
      <c r="N9" s="423">
        <v>182.48790190735696</v>
      </c>
      <c r="O9" s="423">
        <v>11.412098092643053</v>
      </c>
      <c r="P9" s="423">
        <v>764174</v>
      </c>
      <c r="Q9" s="423">
        <v>12961</v>
      </c>
      <c r="R9" s="423">
        <v>21166</v>
      </c>
    </row>
    <row r="10" spans="1:32">
      <c r="A10" s="422" t="s">
        <v>371</v>
      </c>
      <c r="B10" s="423">
        <v>2622.3</v>
      </c>
      <c r="C10" s="423">
        <v>1243.104968799659</v>
      </c>
      <c r="D10" s="423">
        <v>831.3791713499478</v>
      </c>
      <c r="E10" s="423">
        <v>252.05627688849273</v>
      </c>
      <c r="F10" s="423">
        <v>253.07263284368827</v>
      </c>
      <c r="G10" s="423">
        <v>42.686950118212479</v>
      </c>
      <c r="H10" s="423">
        <v>68.8</v>
      </c>
      <c r="I10" s="423">
        <v>8508.6</v>
      </c>
      <c r="J10" s="423">
        <v>8260.5975829097497</v>
      </c>
      <c r="K10" s="423">
        <v>221.79077951160559</v>
      </c>
      <c r="L10" s="423">
        <v>26.211637578644297</v>
      </c>
      <c r="M10" s="423">
        <v>155.1</v>
      </c>
      <c r="N10" s="423">
        <v>146.5721649484536</v>
      </c>
      <c r="O10" s="423">
        <v>8.5278350515463917</v>
      </c>
      <c r="P10" s="423">
        <v>659576</v>
      </c>
      <c r="Q10" s="423">
        <v>10999</v>
      </c>
      <c r="R10" s="423">
        <v>17978</v>
      </c>
    </row>
    <row r="11" spans="1:32">
      <c r="A11" s="422" t="s">
        <v>372</v>
      </c>
      <c r="B11" s="423">
        <v>2735.2</v>
      </c>
      <c r="C11" s="423">
        <v>1304.5943137838642</v>
      </c>
      <c r="D11" s="423">
        <v>822.94179815421251</v>
      </c>
      <c r="E11" s="423">
        <v>295.28189937481392</v>
      </c>
      <c r="F11" s="423">
        <v>268.61390294730569</v>
      </c>
      <c r="G11" s="423">
        <v>43.76808573980351</v>
      </c>
      <c r="H11" s="423">
        <v>71.8</v>
      </c>
      <c r="I11" s="423">
        <v>9104.6</v>
      </c>
      <c r="J11" s="423">
        <v>8838.6994521972993</v>
      </c>
      <c r="K11" s="423">
        <v>240.00572370823699</v>
      </c>
      <c r="L11" s="423">
        <v>25.894824094465534</v>
      </c>
      <c r="M11" s="423">
        <v>161.1</v>
      </c>
      <c r="N11" s="423">
        <v>150.93089700996677</v>
      </c>
      <c r="O11" s="423">
        <v>10.169102990033222</v>
      </c>
      <c r="P11" s="423">
        <v>713638</v>
      </c>
      <c r="Q11" s="423">
        <v>11596</v>
      </c>
      <c r="R11" s="423">
        <v>18846</v>
      </c>
    </row>
    <row r="12" spans="1:32" ht="47.25" customHeight="1">
      <c r="A12" s="422" t="s">
        <v>373</v>
      </c>
      <c r="B12" s="423">
        <v>2915.9</v>
      </c>
      <c r="C12" s="423">
        <v>1405.0251490741707</v>
      </c>
      <c r="D12" s="423">
        <v>864.18502981483425</v>
      </c>
      <c r="E12" s="423">
        <v>329.24239634550338</v>
      </c>
      <c r="F12" s="423">
        <v>269.25073055061551</v>
      </c>
      <c r="G12" s="423">
        <v>48.196694214876032</v>
      </c>
      <c r="H12" s="423">
        <v>77.7</v>
      </c>
      <c r="I12" s="423">
        <v>9921.7999999999993</v>
      </c>
      <c r="J12" s="423">
        <v>9637.8964138323608</v>
      </c>
      <c r="K12" s="423">
        <v>254.75682368009106</v>
      </c>
      <c r="L12" s="423">
        <v>29.146762487548028</v>
      </c>
      <c r="M12" s="423">
        <v>216</v>
      </c>
      <c r="N12" s="423">
        <v>204.44399999999999</v>
      </c>
      <c r="O12" s="423">
        <v>11.555999999999999</v>
      </c>
      <c r="P12" s="423">
        <v>724478</v>
      </c>
      <c r="Q12" s="423">
        <v>12050</v>
      </c>
      <c r="R12" s="423">
        <v>19261</v>
      </c>
    </row>
    <row r="13" spans="1:32" ht="54" customHeight="1">
      <c r="A13" s="422" t="s">
        <v>374</v>
      </c>
      <c r="B13" s="423">
        <v>2876.3</v>
      </c>
      <c r="C13" s="423">
        <v>1359.189955483324</v>
      </c>
      <c r="D13" s="423">
        <v>862.36156726964396</v>
      </c>
      <c r="E13" s="423">
        <v>356.59047131147543</v>
      </c>
      <c r="F13" s="423">
        <v>245.11148954211419</v>
      </c>
      <c r="G13" s="423">
        <v>53.04651639344263</v>
      </c>
      <c r="H13" s="423">
        <v>73</v>
      </c>
      <c r="I13" s="423">
        <v>9971.5</v>
      </c>
      <c r="J13" s="423">
        <v>9685.3014532739089</v>
      </c>
      <c r="K13" s="423">
        <v>260.19881959393223</v>
      </c>
      <c r="L13" s="423">
        <v>25.999727132158995</v>
      </c>
      <c r="M13" s="423">
        <v>218.8</v>
      </c>
      <c r="N13" s="423">
        <v>202.15335653903531</v>
      </c>
      <c r="O13" s="423">
        <v>16.646643460964697</v>
      </c>
      <c r="P13" s="423">
        <v>709715</v>
      </c>
      <c r="Q13" s="423">
        <v>10248</v>
      </c>
      <c r="R13" s="423">
        <v>23075</v>
      </c>
    </row>
    <row r="14" spans="1:32">
      <c r="A14" s="422" t="s">
        <v>199</v>
      </c>
      <c r="B14" s="423">
        <v>2862.1</v>
      </c>
      <c r="C14" s="423">
        <v>1368.2900113911433</v>
      </c>
      <c r="D14" s="423">
        <v>869.97977716075752</v>
      </c>
      <c r="E14" s="423">
        <v>332.34266695144527</v>
      </c>
      <c r="F14" s="423">
        <v>235.85937277516732</v>
      </c>
      <c r="G14" s="423">
        <v>55.628171721486552</v>
      </c>
      <c r="H14" s="423">
        <v>71.5</v>
      </c>
      <c r="I14" s="423">
        <v>9732.2000000000007</v>
      </c>
      <c r="J14" s="423">
        <v>9444.3008900539844</v>
      </c>
      <c r="K14" s="423">
        <v>260.67222389157712</v>
      </c>
      <c r="L14" s="423">
        <v>27.22688605443939</v>
      </c>
      <c r="M14" s="423">
        <v>202.1</v>
      </c>
      <c r="N14" s="423">
        <v>186.11592632719393</v>
      </c>
      <c r="O14" s="423">
        <v>15.984073672806067</v>
      </c>
      <c r="P14" s="423">
        <v>723588</v>
      </c>
      <c r="Q14" s="423">
        <v>10928</v>
      </c>
      <c r="R14" s="423">
        <v>23139</v>
      </c>
    </row>
    <row r="15" spans="1:32">
      <c r="A15" s="422" t="s">
        <v>200</v>
      </c>
      <c r="B15" s="423">
        <v>2897.4</v>
      </c>
      <c r="C15" s="423">
        <v>1415.1605724708854</v>
      </c>
      <c r="D15" s="423">
        <v>868.06136523081238</v>
      </c>
      <c r="E15" s="423">
        <v>306.53004069033256</v>
      </c>
      <c r="F15" s="423">
        <v>247.37868668443946</v>
      </c>
      <c r="G15" s="423">
        <v>60.269334923530231</v>
      </c>
      <c r="H15" s="423">
        <v>71.2</v>
      </c>
      <c r="I15" s="423">
        <v>9346.6</v>
      </c>
      <c r="J15" s="423">
        <v>9063.9816435662833</v>
      </c>
      <c r="K15" s="423">
        <v>253.13476941026499</v>
      </c>
      <c r="L15" s="423">
        <v>29.483587023453282</v>
      </c>
      <c r="M15" s="423">
        <v>204.7</v>
      </c>
      <c r="N15" s="423">
        <v>191.05333333333331</v>
      </c>
      <c r="O15" s="423">
        <v>13.646666666666668</v>
      </c>
      <c r="P15" s="423">
        <v>754528</v>
      </c>
      <c r="Q15" s="423">
        <v>12618</v>
      </c>
      <c r="R15" s="423">
        <v>20574</v>
      </c>
    </row>
    <row r="16" spans="1:32">
      <c r="A16" s="422" t="s">
        <v>201</v>
      </c>
      <c r="B16" s="423">
        <v>2954.9</v>
      </c>
      <c r="C16" s="423">
        <v>1482.4221874999998</v>
      </c>
      <c r="D16" s="423">
        <v>893.97901785714294</v>
      </c>
      <c r="E16" s="423">
        <v>288.38687500000003</v>
      </c>
      <c r="F16" s="423">
        <v>234.30165178571431</v>
      </c>
      <c r="G16" s="423">
        <v>55.810267857142861</v>
      </c>
      <c r="H16" s="423">
        <v>76</v>
      </c>
      <c r="I16" s="423">
        <v>9114.9</v>
      </c>
      <c r="J16" s="423">
        <v>8840.8594979181435</v>
      </c>
      <c r="K16" s="423">
        <v>246.68691973777464</v>
      </c>
      <c r="L16" s="423">
        <v>27.353582344082213</v>
      </c>
      <c r="M16" s="423">
        <v>204.7</v>
      </c>
      <c r="N16" s="423">
        <v>190.96471861471861</v>
      </c>
      <c r="O16" s="423">
        <v>13.735281385281384</v>
      </c>
      <c r="P16" s="423">
        <v>768661</v>
      </c>
      <c r="Q16" s="423">
        <v>12707</v>
      </c>
      <c r="R16" s="423">
        <v>21587</v>
      </c>
    </row>
    <row r="17" spans="1:18">
      <c r="A17" s="422" t="s">
        <v>202</v>
      </c>
      <c r="B17" s="423">
        <v>2899.2</v>
      </c>
      <c r="C17" s="423">
        <v>1495.0140419580421</v>
      </c>
      <c r="D17" s="423">
        <v>835.0912447552447</v>
      </c>
      <c r="E17" s="423">
        <v>289.21040559440559</v>
      </c>
      <c r="F17" s="423">
        <v>228.79351048951048</v>
      </c>
      <c r="G17" s="423">
        <v>51.090797202797205</v>
      </c>
      <c r="H17" s="423">
        <v>75.099999999999994</v>
      </c>
      <c r="I17" s="423">
        <v>8469</v>
      </c>
      <c r="J17" s="423">
        <v>8196.6362336966231</v>
      </c>
      <c r="K17" s="423">
        <v>241.79849919599783</v>
      </c>
      <c r="L17" s="423">
        <v>30.565267107378951</v>
      </c>
      <c r="M17" s="423">
        <v>197.5</v>
      </c>
      <c r="N17" s="423">
        <v>185.86932136848009</v>
      </c>
      <c r="O17" s="423">
        <v>11.63067863151991</v>
      </c>
      <c r="P17" s="423">
        <v>730328</v>
      </c>
      <c r="Q17" s="423">
        <v>12119</v>
      </c>
      <c r="R17" s="423">
        <v>20403</v>
      </c>
    </row>
    <row r="18" spans="1:18">
      <c r="A18" s="422" t="s">
        <v>203</v>
      </c>
      <c r="B18" s="423">
        <v>3049.5</v>
      </c>
      <c r="C18" s="423">
        <v>1587.3316966812024</v>
      </c>
      <c r="D18" s="423">
        <v>873.30143803468582</v>
      </c>
      <c r="E18" s="423">
        <v>316.00457707799342</v>
      </c>
      <c r="F18" s="423">
        <v>217.43713591425049</v>
      </c>
      <c r="G18" s="423">
        <v>55.425152291867782</v>
      </c>
      <c r="H18" s="423">
        <v>68.5</v>
      </c>
      <c r="I18" s="423">
        <v>9046.2999999999993</v>
      </c>
      <c r="J18" s="423">
        <v>8767.1841202051728</v>
      </c>
      <c r="K18" s="423">
        <v>249.25744090098124</v>
      </c>
      <c r="L18" s="423">
        <v>29.858438893844781</v>
      </c>
      <c r="M18" s="423">
        <v>212.1</v>
      </c>
      <c r="N18" s="423">
        <v>196.59114315139033</v>
      </c>
      <c r="O18" s="423">
        <v>15.50885684860968</v>
      </c>
      <c r="P18" s="423">
        <v>744289</v>
      </c>
      <c r="Q18" s="423">
        <v>12353</v>
      </c>
      <c r="R18" s="423">
        <v>21039</v>
      </c>
    </row>
    <row r="19" spans="1:18">
      <c r="A19" s="422" t="s">
        <v>204</v>
      </c>
      <c r="B19" s="423">
        <v>2784.1</v>
      </c>
      <c r="C19" s="423">
        <v>1419.6078092529808</v>
      </c>
      <c r="D19" s="423">
        <v>789.99053191877192</v>
      </c>
      <c r="E19" s="423">
        <v>306.02871048889858</v>
      </c>
      <c r="F19" s="423">
        <v>212.24080717488786</v>
      </c>
      <c r="G19" s="423">
        <v>56.232141164460963</v>
      </c>
      <c r="H19" s="423">
        <v>60.3</v>
      </c>
      <c r="I19" s="423">
        <v>7971.6</v>
      </c>
      <c r="J19" s="423">
        <v>7719.7494453730433</v>
      </c>
      <c r="K19" s="423">
        <v>221.06321227776937</v>
      </c>
      <c r="L19" s="423">
        <v>30.787342349187057</v>
      </c>
      <c r="M19" s="423">
        <v>182.9</v>
      </c>
      <c r="N19" s="423">
        <v>168.14118350268978</v>
      </c>
      <c r="O19" s="423">
        <v>14.758816497310221</v>
      </c>
      <c r="P19" s="423">
        <v>705876</v>
      </c>
      <c r="Q19" s="423">
        <v>11543</v>
      </c>
      <c r="R19" s="423">
        <v>18440</v>
      </c>
    </row>
    <row r="20" spans="1:18">
      <c r="A20" s="422" t="s">
        <v>205</v>
      </c>
      <c r="B20" s="423">
        <v>2846</v>
      </c>
      <c r="C20" s="423">
        <v>1418.733438035408</v>
      </c>
      <c r="D20" s="423">
        <v>827.50985151342093</v>
      </c>
      <c r="E20" s="423">
        <v>302.21480582524271</v>
      </c>
      <c r="F20" s="423">
        <v>238.52113078241007</v>
      </c>
      <c r="G20" s="423">
        <v>59.020773843517993</v>
      </c>
      <c r="H20" s="423">
        <v>68.5</v>
      </c>
      <c r="I20" s="423">
        <v>9056.2000000000007</v>
      </c>
      <c r="J20" s="423">
        <v>8777.7540462588677</v>
      </c>
      <c r="K20" s="423">
        <v>246.07320794218205</v>
      </c>
      <c r="L20" s="423">
        <v>32.372745798951001</v>
      </c>
      <c r="M20" s="423">
        <v>190.2</v>
      </c>
      <c r="N20" s="423">
        <v>174.21406518010292</v>
      </c>
      <c r="O20" s="423">
        <v>15.985934819897082</v>
      </c>
      <c r="P20" s="423">
        <v>714528</v>
      </c>
      <c r="Q20" s="423">
        <v>12221</v>
      </c>
      <c r="R20" s="423">
        <v>19153</v>
      </c>
    </row>
    <row r="21" spans="1:18">
      <c r="A21" s="422" t="s">
        <v>206</v>
      </c>
      <c r="B21" s="423">
        <v>2911.5</v>
      </c>
      <c r="C21" s="423">
        <v>1420.4695662802067</v>
      </c>
      <c r="D21" s="423">
        <v>878.24895236764917</v>
      </c>
      <c r="E21" s="423">
        <v>296.98601410811568</v>
      </c>
      <c r="F21" s="423">
        <v>260.79052591144017</v>
      </c>
      <c r="G21" s="423">
        <v>55.004941332588359</v>
      </c>
      <c r="H21" s="423">
        <v>79.900000000000006</v>
      </c>
      <c r="I21" s="423">
        <v>10031.5</v>
      </c>
      <c r="J21" s="423">
        <v>9707.8739469186676</v>
      </c>
      <c r="K21" s="423">
        <v>283.18540263396</v>
      </c>
      <c r="L21" s="423">
        <v>40.44065044737107</v>
      </c>
      <c r="M21" s="423">
        <v>263.2</v>
      </c>
      <c r="N21" s="423">
        <v>247.47554129911788</v>
      </c>
      <c r="O21" s="423">
        <v>15.724458700882117</v>
      </c>
      <c r="P21" s="423">
        <v>748976</v>
      </c>
      <c r="Q21" s="423">
        <v>12742</v>
      </c>
      <c r="R21" s="423">
        <v>20746</v>
      </c>
    </row>
    <row r="22" spans="1:18">
      <c r="A22" s="422" t="s">
        <v>207</v>
      </c>
      <c r="B22" s="423">
        <v>2546.8000000000002</v>
      </c>
      <c r="C22" s="423">
        <v>1212.0932358464186</v>
      </c>
      <c r="D22" s="423">
        <v>818.8141595748931</v>
      </c>
      <c r="E22" s="423">
        <v>251.23054057293538</v>
      </c>
      <c r="F22" s="423">
        <v>226.80958887690278</v>
      </c>
      <c r="G22" s="423">
        <v>37.852475128850536</v>
      </c>
      <c r="H22" s="423">
        <v>74</v>
      </c>
      <c r="I22" s="423">
        <v>8691.2999999999993</v>
      </c>
      <c r="J22" s="423">
        <v>8427.2916529366721</v>
      </c>
      <c r="K22" s="423">
        <v>230.52829693917803</v>
      </c>
      <c r="L22" s="423">
        <v>33.480050124150097</v>
      </c>
      <c r="M22" s="423">
        <v>178.9</v>
      </c>
      <c r="N22" s="423">
        <v>166.07562724014338</v>
      </c>
      <c r="O22" s="423">
        <v>12.82437275985663</v>
      </c>
      <c r="P22" s="423">
        <v>651808</v>
      </c>
      <c r="Q22" s="423">
        <v>10236</v>
      </c>
      <c r="R22" s="423">
        <v>17722</v>
      </c>
    </row>
    <row r="23" spans="1:18">
      <c r="A23" s="422" t="s">
        <v>208</v>
      </c>
      <c r="B23" s="423">
        <v>2705.4</v>
      </c>
      <c r="C23" s="423">
        <v>1281.7732450031997</v>
      </c>
      <c r="D23" s="423">
        <v>828.81961079534756</v>
      </c>
      <c r="E23" s="423">
        <v>314.25695035194042</v>
      </c>
      <c r="F23" s="423">
        <v>236.35462792185794</v>
      </c>
      <c r="G23" s="423">
        <v>44.195565927654606</v>
      </c>
      <c r="H23" s="423">
        <v>82.8</v>
      </c>
      <c r="I23" s="423">
        <v>8907</v>
      </c>
      <c r="J23" s="423">
        <v>8630.0451814386106</v>
      </c>
      <c r="K23" s="423">
        <v>244.30075698428323</v>
      </c>
      <c r="L23" s="423">
        <v>32.654061577107157</v>
      </c>
      <c r="M23" s="423">
        <v>186.5</v>
      </c>
      <c r="N23" s="423">
        <v>174.43995381062356</v>
      </c>
      <c r="O23" s="423">
        <v>12.060046189376443</v>
      </c>
      <c r="P23" s="423">
        <v>672760</v>
      </c>
      <c r="Q23" s="423">
        <v>11178</v>
      </c>
      <c r="R23" s="423">
        <v>17480</v>
      </c>
    </row>
    <row r="24" spans="1:18">
      <c r="A24" s="422" t="s">
        <v>209</v>
      </c>
      <c r="B24" s="423">
        <v>2754.2</v>
      </c>
      <c r="C24" s="423">
        <v>1347.4055331582645</v>
      </c>
      <c r="D24" s="423">
        <v>809.33975662980367</v>
      </c>
      <c r="E24" s="423">
        <v>315.89208122202911</v>
      </c>
      <c r="F24" s="423">
        <v>235.51837851832673</v>
      </c>
      <c r="G24" s="423">
        <v>46.044250471575992</v>
      </c>
      <c r="H24" s="423">
        <v>92.3</v>
      </c>
      <c r="I24" s="423">
        <v>9834.2000000000007</v>
      </c>
      <c r="J24" s="423">
        <v>9521.4936773822737</v>
      </c>
      <c r="K24" s="423">
        <v>276.77234881142999</v>
      </c>
      <c r="L24" s="423">
        <v>35.933973806297992</v>
      </c>
      <c r="M24" s="423">
        <v>235.5</v>
      </c>
      <c r="N24" s="423">
        <v>220.31345002303087</v>
      </c>
      <c r="O24" s="423">
        <v>15.18654997696914</v>
      </c>
      <c r="P24" s="423">
        <v>702411</v>
      </c>
      <c r="Q24" s="423">
        <v>11161</v>
      </c>
      <c r="R24" s="423">
        <v>19332</v>
      </c>
    </row>
    <row r="25" spans="1:18">
      <c r="A25" s="422" t="s">
        <v>210</v>
      </c>
      <c r="B25" s="423">
        <v>2600.6999999999998</v>
      </c>
      <c r="C25" s="423">
        <v>1212.1949888510742</v>
      </c>
      <c r="D25" s="423">
        <v>799.24497124750599</v>
      </c>
      <c r="E25" s="423">
        <v>330.03445604975929</v>
      </c>
      <c r="F25" s="423">
        <v>212.63009036498059</v>
      </c>
      <c r="G25" s="423">
        <v>46.595493486679956</v>
      </c>
      <c r="H25" s="423">
        <v>81.099999999999994</v>
      </c>
      <c r="I25" s="423">
        <v>9461.7999999999993</v>
      </c>
      <c r="J25" s="423">
        <v>9173.0716935698674</v>
      </c>
      <c r="K25" s="423">
        <v>258.68604549571148</v>
      </c>
      <c r="L25" s="423">
        <v>30.042260934420113</v>
      </c>
      <c r="M25" s="423">
        <v>219.3</v>
      </c>
      <c r="N25" s="423">
        <v>197.7420658682635</v>
      </c>
      <c r="O25" s="423">
        <v>21.557934131736527</v>
      </c>
      <c r="P25" s="423">
        <v>656740</v>
      </c>
      <c r="Q25" s="423">
        <v>9339</v>
      </c>
      <c r="R25" s="423">
        <v>21593</v>
      </c>
    </row>
    <row r="26" spans="1:18">
      <c r="A26" s="422" t="s">
        <v>211</v>
      </c>
      <c r="B26" s="423">
        <v>2886.1</v>
      </c>
      <c r="C26" s="423">
        <v>1387.8580558501235</v>
      </c>
      <c r="D26" s="423">
        <v>886.8457864969954</v>
      </c>
      <c r="E26" s="423">
        <v>326.25478260869568</v>
      </c>
      <c r="F26" s="423">
        <v>231.27566984800282</v>
      </c>
      <c r="G26" s="423">
        <v>53.865705196182397</v>
      </c>
      <c r="H26" s="423">
        <v>83.5</v>
      </c>
      <c r="I26" s="423">
        <v>10319.200000000001</v>
      </c>
      <c r="J26" s="423">
        <v>9990.5527771803954</v>
      </c>
      <c r="K26" s="423">
        <v>292.43348648067411</v>
      </c>
      <c r="L26" s="423">
        <v>36.213736338931362</v>
      </c>
      <c r="M26" s="423">
        <v>218.7</v>
      </c>
      <c r="N26" s="423">
        <v>193.38599105812219</v>
      </c>
      <c r="O26" s="423">
        <v>25.314008941877791</v>
      </c>
      <c r="P26" s="423">
        <v>725202</v>
      </c>
      <c r="Q26" s="423">
        <v>11927</v>
      </c>
      <c r="R26" s="423">
        <v>22407</v>
      </c>
    </row>
    <row r="27" spans="1:18">
      <c r="A27" s="422" t="s">
        <v>212</v>
      </c>
      <c r="B27" s="423">
        <v>2814.7</v>
      </c>
      <c r="C27" s="423">
        <v>1412.4887278117203</v>
      </c>
      <c r="D27" s="423">
        <v>831.15106467589737</v>
      </c>
      <c r="E27" s="423">
        <v>275.86319005097431</v>
      </c>
      <c r="F27" s="423">
        <v>240.65527276671125</v>
      </c>
      <c r="G27" s="423">
        <v>54.541744694696504</v>
      </c>
      <c r="H27" s="423">
        <v>81.3</v>
      </c>
      <c r="I27" s="423">
        <v>9939.7999999999993</v>
      </c>
      <c r="J27" s="423">
        <v>9607.5447950936195</v>
      </c>
      <c r="K27" s="423">
        <v>296.52666829129606</v>
      </c>
      <c r="L27" s="423">
        <v>35.728536615084685</v>
      </c>
      <c r="M27" s="423">
        <v>225.2</v>
      </c>
      <c r="N27" s="423">
        <v>208.74056147144239</v>
      </c>
      <c r="O27" s="423">
        <v>16.459438528557598</v>
      </c>
      <c r="P27" s="423">
        <v>729056</v>
      </c>
      <c r="Q27" s="423">
        <v>11868</v>
      </c>
      <c r="R27" s="423">
        <v>20489</v>
      </c>
    </row>
    <row r="28" spans="1:18">
      <c r="A28" s="422" t="s">
        <v>213</v>
      </c>
      <c r="B28" s="423">
        <v>2781.9</v>
      </c>
      <c r="C28" s="423">
        <v>1408.274005624749</v>
      </c>
      <c r="D28" s="423">
        <v>813.16139011651262</v>
      </c>
      <c r="E28" s="423">
        <v>266.61695460024106</v>
      </c>
      <c r="F28" s="423">
        <v>242.73929288871034</v>
      </c>
      <c r="G28" s="423">
        <v>51.108356769787065</v>
      </c>
      <c r="H28" s="423">
        <v>76.8</v>
      </c>
      <c r="I28" s="423">
        <v>9340</v>
      </c>
      <c r="J28" s="423">
        <v>9015.9882382193009</v>
      </c>
      <c r="K28" s="423">
        <v>290.69176134828064</v>
      </c>
      <c r="L28" s="423">
        <v>33.320000432418411</v>
      </c>
      <c r="M28" s="423">
        <v>203.4</v>
      </c>
      <c r="N28" s="423">
        <v>189.12057877813504</v>
      </c>
      <c r="O28" s="423">
        <v>14.279421221864951</v>
      </c>
      <c r="P28" s="423">
        <v>726290</v>
      </c>
      <c r="Q28" s="423">
        <v>12244</v>
      </c>
      <c r="R28" s="423">
        <v>20536</v>
      </c>
    </row>
    <row r="29" spans="1:18">
      <c r="A29" s="422" t="s">
        <v>214</v>
      </c>
      <c r="B29" s="423">
        <v>2921.6</v>
      </c>
      <c r="C29" s="423">
        <v>1521.9606268024045</v>
      </c>
      <c r="D29" s="423">
        <v>826.20139675480345</v>
      </c>
      <c r="E29" s="423">
        <v>289.40904068656408</v>
      </c>
      <c r="F29" s="423">
        <v>231.24300059066746</v>
      </c>
      <c r="G29" s="423">
        <v>52.785935165560609</v>
      </c>
      <c r="H29" s="423">
        <v>80.099999999999994</v>
      </c>
      <c r="I29" s="423">
        <v>9148.2999999999993</v>
      </c>
      <c r="J29" s="423">
        <v>8825.541159397897</v>
      </c>
      <c r="K29" s="423">
        <v>284.39526242606155</v>
      </c>
      <c r="L29" s="423">
        <v>38.363578176039546</v>
      </c>
      <c r="M29" s="423">
        <v>207.3</v>
      </c>
      <c r="N29" s="423">
        <v>192.27349206349209</v>
      </c>
      <c r="O29" s="423">
        <v>15.026507936507937</v>
      </c>
      <c r="P29" s="423">
        <v>747724</v>
      </c>
      <c r="Q29" s="423">
        <v>12762</v>
      </c>
      <c r="R29" s="423">
        <v>21493</v>
      </c>
    </row>
    <row r="30" spans="1:18">
      <c r="A30" s="422" t="s">
        <v>215</v>
      </c>
      <c r="B30" s="423">
        <v>2981.5</v>
      </c>
      <c r="C30" s="423">
        <v>1548.8285315352134</v>
      </c>
      <c r="D30" s="423">
        <v>862.75049380193434</v>
      </c>
      <c r="E30" s="423">
        <v>259.11960223402804</v>
      </c>
      <c r="F30" s="423">
        <v>259.9318893883667</v>
      </c>
      <c r="G30" s="423">
        <v>50.869483040457702</v>
      </c>
      <c r="H30" s="423">
        <v>77.3</v>
      </c>
      <c r="I30" s="423">
        <v>9182.2999999999993</v>
      </c>
      <c r="J30" s="423">
        <v>8857.4235468629813</v>
      </c>
      <c r="K30" s="423">
        <v>287.44503571036142</v>
      </c>
      <c r="L30" s="423">
        <v>37.431417426656409</v>
      </c>
      <c r="M30" s="423">
        <v>202.8</v>
      </c>
      <c r="N30" s="423">
        <v>189.54294975688816</v>
      </c>
      <c r="O30" s="423">
        <v>13.257050243111834</v>
      </c>
      <c r="P30" s="423">
        <v>738367</v>
      </c>
      <c r="Q30" s="423">
        <v>12752</v>
      </c>
      <c r="R30" s="423">
        <v>21684</v>
      </c>
    </row>
    <row r="31" spans="1:18">
      <c r="A31" s="422" t="s">
        <v>216</v>
      </c>
      <c r="B31" s="423">
        <v>2849.3</v>
      </c>
      <c r="C31" s="423">
        <v>1491.6248494136937</v>
      </c>
      <c r="D31" s="423">
        <v>830.00067362868458</v>
      </c>
      <c r="E31" s="423">
        <v>262.82169868482026</v>
      </c>
      <c r="F31" s="423">
        <v>214.98977438785332</v>
      </c>
      <c r="G31" s="423">
        <v>49.863003884948512</v>
      </c>
      <c r="H31" s="423">
        <v>65.400000000000006</v>
      </c>
      <c r="I31" s="423">
        <v>8453.2999999999993</v>
      </c>
      <c r="J31" s="423">
        <v>8176.779344336639</v>
      </c>
      <c r="K31" s="423">
        <v>241.61509314620554</v>
      </c>
      <c r="L31" s="423">
        <v>34.905562517155374</v>
      </c>
      <c r="M31" s="423">
        <v>184.7</v>
      </c>
      <c r="N31" s="423">
        <v>173.30832335329339</v>
      </c>
      <c r="O31" s="423">
        <v>11.391676646706587</v>
      </c>
      <c r="P31" s="423">
        <v>693018</v>
      </c>
      <c r="Q31" s="423">
        <v>11575</v>
      </c>
      <c r="R31" s="423">
        <v>19564</v>
      </c>
    </row>
    <row r="32" spans="1:18">
      <c r="A32" s="422" t="s">
        <v>217</v>
      </c>
      <c r="B32" s="423">
        <v>2772.6</v>
      </c>
      <c r="C32" s="423">
        <v>1410.8263764498608</v>
      </c>
      <c r="D32" s="423">
        <v>833.48972250770805</v>
      </c>
      <c r="E32" s="423">
        <v>260.73268242548812</v>
      </c>
      <c r="F32" s="423">
        <v>218.90554250477166</v>
      </c>
      <c r="G32" s="423">
        <v>48.645676112171479</v>
      </c>
      <c r="H32" s="423">
        <v>68</v>
      </c>
      <c r="I32" s="423">
        <v>9436.7000000000007</v>
      </c>
      <c r="J32" s="423">
        <v>9134.5326972010189</v>
      </c>
      <c r="K32" s="423">
        <v>264.53511450381683</v>
      </c>
      <c r="L32" s="423">
        <v>37.632188295165399</v>
      </c>
      <c r="M32" s="423">
        <v>228.9</v>
      </c>
      <c r="N32" s="423">
        <v>218.25098684210528</v>
      </c>
      <c r="O32" s="423">
        <v>10.649013157894737</v>
      </c>
      <c r="P32" s="423">
        <v>722082</v>
      </c>
      <c r="Q32" s="423">
        <v>12048</v>
      </c>
      <c r="R32" s="423">
        <v>20297</v>
      </c>
    </row>
    <row r="33" spans="1:18">
      <c r="A33" s="422" t="s">
        <v>385</v>
      </c>
      <c r="B33" s="423">
        <v>2729.5</v>
      </c>
      <c r="C33" s="423">
        <v>1336.2413458669055</v>
      </c>
      <c r="D33" s="423">
        <v>847.5215607281408</v>
      </c>
      <c r="E33" s="423">
        <v>257.69787003879435</v>
      </c>
      <c r="F33" s="423">
        <v>242.52719337511189</v>
      </c>
      <c r="G33" s="423">
        <v>45.512029991047449</v>
      </c>
      <c r="H33" s="423">
        <v>79.8</v>
      </c>
      <c r="I33" s="423">
        <v>9656.9</v>
      </c>
      <c r="J33" s="423">
        <v>9353.1991591986789</v>
      </c>
      <c r="K33" s="423">
        <v>268.90283679054119</v>
      </c>
      <c r="L33" s="423">
        <v>34.798004010778961</v>
      </c>
      <c r="M33" s="423">
        <v>221.4</v>
      </c>
      <c r="N33" s="423">
        <v>211.05321888412018</v>
      </c>
      <c r="O33" s="423">
        <v>10.346781115879828</v>
      </c>
      <c r="P33" s="423">
        <v>727131</v>
      </c>
      <c r="Q33" s="423">
        <v>11769</v>
      </c>
      <c r="R33" s="423">
        <v>20112</v>
      </c>
    </row>
    <row r="34" spans="1:18">
      <c r="A34" s="422" t="s">
        <v>223</v>
      </c>
      <c r="B34" s="423">
        <v>2528.5</v>
      </c>
      <c r="C34" s="423">
        <v>1213.8595288042602</v>
      </c>
      <c r="D34" s="423">
        <v>778.40017347103435</v>
      </c>
      <c r="E34" s="423">
        <v>248.48418589640147</v>
      </c>
      <c r="F34" s="423">
        <v>248.17817088913992</v>
      </c>
      <c r="G34" s="423">
        <v>39.577940939164108</v>
      </c>
      <c r="H34" s="423">
        <v>74.099999999999994</v>
      </c>
      <c r="I34" s="423">
        <v>8918.9</v>
      </c>
      <c r="J34" s="423">
        <v>8644.8882765485723</v>
      </c>
      <c r="K34" s="423">
        <v>240.81958169313606</v>
      </c>
      <c r="L34" s="423">
        <v>33.192141758291477</v>
      </c>
      <c r="M34" s="423">
        <v>179.5</v>
      </c>
      <c r="N34" s="423">
        <v>170.68953282081608</v>
      </c>
      <c r="O34" s="423">
        <v>8.8104671791839149</v>
      </c>
      <c r="P34" s="423">
        <v>657288</v>
      </c>
      <c r="Q34" s="423">
        <v>10159</v>
      </c>
      <c r="R34" s="423">
        <v>18848</v>
      </c>
    </row>
    <row r="35" spans="1:18">
      <c r="A35" s="422" t="s">
        <v>224</v>
      </c>
      <c r="B35" s="423">
        <v>2717.7</v>
      </c>
      <c r="C35" s="423">
        <v>1304.6100820808813</v>
      </c>
      <c r="D35" s="423">
        <v>795.62065514785809</v>
      </c>
      <c r="E35" s="423">
        <v>290.50187024474343</v>
      </c>
      <c r="F35" s="423">
        <v>286.2237922116862</v>
      </c>
      <c r="G35" s="423">
        <v>40.743600314830779</v>
      </c>
      <c r="H35" s="423">
        <v>84.7</v>
      </c>
      <c r="I35" s="423">
        <v>9927.2999999999993</v>
      </c>
      <c r="J35" s="423">
        <v>9622.9102548217052</v>
      </c>
      <c r="K35" s="423">
        <v>269.2019276667919</v>
      </c>
      <c r="L35" s="423">
        <v>35.187817511502011</v>
      </c>
      <c r="M35" s="423">
        <v>189.1</v>
      </c>
      <c r="N35" s="423">
        <v>180.0952380952381</v>
      </c>
      <c r="O35" s="423">
        <v>9.0047619047619047</v>
      </c>
      <c r="P35" s="423">
        <v>694661</v>
      </c>
      <c r="Q35" s="423">
        <v>11029</v>
      </c>
      <c r="R35" s="423">
        <v>19457</v>
      </c>
    </row>
    <row r="36" spans="1:18">
      <c r="A36" s="422" t="s">
        <v>85</v>
      </c>
      <c r="B36" s="423">
        <v>2671.5</v>
      </c>
      <c r="C36" s="423">
        <v>1294.9085398398779</v>
      </c>
      <c r="D36" s="423">
        <v>811.12565764391923</v>
      </c>
      <c r="E36" s="423">
        <v>293.42704918032791</v>
      </c>
      <c r="F36" s="423">
        <v>233.13242470453682</v>
      </c>
      <c r="G36" s="423">
        <v>38.90632863133817</v>
      </c>
      <c r="H36" s="423">
        <v>94.1</v>
      </c>
      <c r="I36" s="423">
        <v>10145</v>
      </c>
      <c r="J36" s="423">
        <v>9838.2332023673353</v>
      </c>
      <c r="K36" s="423">
        <v>273.97100512259408</v>
      </c>
      <c r="L36" s="423">
        <v>32.795792510071117</v>
      </c>
      <c r="M36" s="423">
        <v>230.9</v>
      </c>
      <c r="N36" s="423">
        <v>218.8388705882353</v>
      </c>
      <c r="O36" s="423">
        <v>12.061129411764705</v>
      </c>
      <c r="P36" s="423">
        <v>709789</v>
      </c>
      <c r="Q36" s="423">
        <v>11522</v>
      </c>
      <c r="R36" s="423">
        <v>20923</v>
      </c>
    </row>
    <row r="37" spans="1:18">
      <c r="A37" s="422" t="s">
        <v>86</v>
      </c>
      <c r="B37" s="423">
        <v>2516.3000000000002</v>
      </c>
      <c r="C37" s="423">
        <v>1155.5662949494949</v>
      </c>
      <c r="D37" s="423">
        <v>790.88071515151523</v>
      </c>
      <c r="E37" s="423">
        <v>311.00451313131316</v>
      </c>
      <c r="F37" s="423">
        <v>211.67420606060608</v>
      </c>
      <c r="G37" s="423">
        <v>47.174270707070711</v>
      </c>
      <c r="H37" s="423">
        <v>81.3</v>
      </c>
      <c r="I37" s="423">
        <v>9323.1</v>
      </c>
      <c r="J37" s="423">
        <v>9041.3759662684479</v>
      </c>
      <c r="K37" s="423">
        <v>249.36860803286663</v>
      </c>
      <c r="L37" s="423">
        <v>32.355425698686417</v>
      </c>
      <c r="M37" s="423">
        <v>192.5</v>
      </c>
      <c r="N37" s="423">
        <v>183.19066147859922</v>
      </c>
      <c r="O37" s="423">
        <v>9.3093385214007771</v>
      </c>
      <c r="P37" s="423">
        <v>638671</v>
      </c>
      <c r="Q37" s="423">
        <v>10574</v>
      </c>
      <c r="R37" s="423">
        <v>22927</v>
      </c>
    </row>
    <row r="38" spans="1:18">
      <c r="A38" s="422" t="s">
        <v>87</v>
      </c>
      <c r="B38" s="423">
        <v>2989.1</v>
      </c>
      <c r="C38" s="423">
        <v>1423.6284209449786</v>
      </c>
      <c r="D38" s="423">
        <v>915.15330674302845</v>
      </c>
      <c r="E38" s="423">
        <v>353.48700824981245</v>
      </c>
      <c r="F38" s="423">
        <v>240.68501397695502</v>
      </c>
      <c r="G38" s="423">
        <v>56.146250085225326</v>
      </c>
      <c r="H38" s="423">
        <v>95.6</v>
      </c>
      <c r="I38" s="423">
        <v>10746.1</v>
      </c>
      <c r="J38" s="423">
        <v>10393.158676491294</v>
      </c>
      <c r="K38" s="423">
        <v>312.49277514431878</v>
      </c>
      <c r="L38" s="423">
        <v>40.448548364387293</v>
      </c>
      <c r="M38" s="423">
        <v>225.3</v>
      </c>
      <c r="N38" s="423">
        <v>214.43309455587394</v>
      </c>
      <c r="O38" s="423">
        <v>10.866905444126074</v>
      </c>
      <c r="P38" s="423">
        <v>778133</v>
      </c>
      <c r="Q38" s="423">
        <v>13771</v>
      </c>
      <c r="R38" s="423">
        <v>25339</v>
      </c>
    </row>
    <row r="39" spans="1:18">
      <c r="A39" s="422" t="s">
        <v>88</v>
      </c>
      <c r="B39" s="423">
        <v>2889.4</v>
      </c>
      <c r="C39" s="423">
        <v>1445.5642678678255</v>
      </c>
      <c r="D39" s="423">
        <v>848.91440335010736</v>
      </c>
      <c r="E39" s="423">
        <v>308.08607523665415</v>
      </c>
      <c r="F39" s="423">
        <v>227.14993137910406</v>
      </c>
      <c r="G39" s="423">
        <v>59.685322166308907</v>
      </c>
      <c r="H39" s="423">
        <v>87.4</v>
      </c>
      <c r="I39" s="423">
        <v>9969.5</v>
      </c>
      <c r="J39" s="423">
        <v>9632.0058665127908</v>
      </c>
      <c r="K39" s="423">
        <v>301.2619582713275</v>
      </c>
      <c r="L39" s="423">
        <v>36.232175215881597</v>
      </c>
      <c r="M39" s="423">
        <v>223.7</v>
      </c>
      <c r="N39" s="423">
        <v>211.37433542774286</v>
      </c>
      <c r="O39" s="423">
        <v>12.325664572257129</v>
      </c>
      <c r="P39" s="423">
        <v>753911</v>
      </c>
      <c r="Q39" s="423">
        <v>12959</v>
      </c>
      <c r="R39" s="423">
        <v>22701</v>
      </c>
    </row>
    <row r="40" spans="1:18">
      <c r="A40" s="422" t="s">
        <v>89</v>
      </c>
      <c r="B40" s="423">
        <v>2908.3</v>
      </c>
      <c r="C40" s="423">
        <v>1471.1501832140987</v>
      </c>
      <c r="D40" s="423">
        <v>848.68974350026178</v>
      </c>
      <c r="E40" s="423">
        <v>298.89874367475136</v>
      </c>
      <c r="F40" s="423">
        <v>229.68008724480893</v>
      </c>
      <c r="G40" s="423">
        <v>59.881242366079221</v>
      </c>
      <c r="H40" s="423">
        <v>79.2</v>
      </c>
      <c r="I40" s="423">
        <v>9263.7000000000007</v>
      </c>
      <c r="J40" s="423">
        <v>8934.5852983512177</v>
      </c>
      <c r="K40" s="423">
        <v>289.01079233185033</v>
      </c>
      <c r="L40" s="423">
        <v>40.103909316932743</v>
      </c>
      <c r="M40" s="423">
        <v>200.2</v>
      </c>
      <c r="N40" s="423">
        <v>188.90445996775927</v>
      </c>
      <c r="O40" s="423">
        <v>11.29554003224073</v>
      </c>
      <c r="P40" s="423">
        <v>743462</v>
      </c>
      <c r="Q40" s="423">
        <v>12822</v>
      </c>
      <c r="R40" s="423">
        <v>22668</v>
      </c>
    </row>
    <row r="41" spans="1:18">
      <c r="A41" s="422" t="s">
        <v>90</v>
      </c>
      <c r="B41" s="423">
        <v>3062.5</v>
      </c>
      <c r="C41" s="423">
        <v>1603.4706340525668</v>
      </c>
      <c r="D41" s="423">
        <v>873.65143681018196</v>
      </c>
      <c r="E41" s="423">
        <v>315.98430612177259</v>
      </c>
      <c r="F41" s="423">
        <v>211.63741672466938</v>
      </c>
      <c r="G41" s="423">
        <v>57.756206290809054</v>
      </c>
      <c r="H41" s="423">
        <v>87.9</v>
      </c>
      <c r="I41" s="423">
        <v>9462.7999999999993</v>
      </c>
      <c r="J41" s="423">
        <v>9110.9648760815508</v>
      </c>
      <c r="K41" s="423">
        <v>308.12074553776228</v>
      </c>
      <c r="L41" s="423">
        <v>43.714378380685147</v>
      </c>
      <c r="M41" s="423">
        <v>207.1</v>
      </c>
      <c r="N41" s="423">
        <v>195.73148627654064</v>
      </c>
      <c r="O41" s="423">
        <v>11.368513723459348</v>
      </c>
      <c r="P41" s="423">
        <v>785356</v>
      </c>
      <c r="Q41" s="423">
        <v>13828</v>
      </c>
      <c r="R41" s="423">
        <v>24199</v>
      </c>
    </row>
    <row r="42" spans="1:18">
      <c r="A42" s="422" t="s">
        <v>91</v>
      </c>
      <c r="B42" s="423">
        <v>2956.6</v>
      </c>
      <c r="C42" s="423">
        <v>1577.151190026445</v>
      </c>
      <c r="D42" s="423">
        <v>832.64484665315808</v>
      </c>
      <c r="E42" s="423">
        <v>309.09401380636746</v>
      </c>
      <c r="F42" s="423">
        <v>183.68957653604426</v>
      </c>
      <c r="G42" s="423">
        <v>54.020372977985382</v>
      </c>
      <c r="H42" s="423">
        <v>75.3</v>
      </c>
      <c r="I42" s="423">
        <v>8883.1</v>
      </c>
      <c r="J42" s="423">
        <v>8537.490218848714</v>
      </c>
      <c r="K42" s="423">
        <v>307.96011749198919</v>
      </c>
      <c r="L42" s="423">
        <v>37.649663659295953</v>
      </c>
      <c r="M42" s="423">
        <v>192.4</v>
      </c>
      <c r="N42" s="423">
        <v>181.00719424460434</v>
      </c>
      <c r="O42" s="423">
        <v>11.392805755395683</v>
      </c>
      <c r="P42" s="423">
        <v>746784</v>
      </c>
      <c r="Q42" s="423">
        <v>13767</v>
      </c>
      <c r="R42" s="423">
        <v>22862</v>
      </c>
    </row>
    <row r="43" spans="1:18">
      <c r="A43" s="422" t="s">
        <v>92</v>
      </c>
      <c r="B43" s="423">
        <v>3139.6</v>
      </c>
      <c r="C43" s="423">
        <v>1677.6318190630045</v>
      </c>
      <c r="D43" s="423">
        <v>891.05804200323109</v>
      </c>
      <c r="E43" s="423">
        <v>319.74213893376412</v>
      </c>
      <c r="F43" s="423">
        <v>197.5056930533118</v>
      </c>
      <c r="G43" s="423">
        <v>53.662306946688211</v>
      </c>
      <c r="H43" s="423">
        <v>71</v>
      </c>
      <c r="I43" s="423">
        <v>9062.1</v>
      </c>
      <c r="J43" s="423">
        <v>8724.9642492066141</v>
      </c>
      <c r="K43" s="423">
        <v>297.88229163186901</v>
      </c>
      <c r="L43" s="423">
        <v>39.253459161516616</v>
      </c>
      <c r="M43" s="423">
        <v>206.8</v>
      </c>
      <c r="N43" s="423">
        <v>194.71635058944133</v>
      </c>
      <c r="O43" s="423">
        <v>12.08364941055869</v>
      </c>
      <c r="P43" s="423">
        <v>762935</v>
      </c>
      <c r="Q43" s="423">
        <v>13772</v>
      </c>
      <c r="R43" s="423">
        <v>22475</v>
      </c>
    </row>
    <row r="44" spans="1:18">
      <c r="A44" s="422" t="s">
        <v>93</v>
      </c>
      <c r="B44" s="423">
        <v>2961.1</v>
      </c>
      <c r="C44" s="423">
        <v>1519.2711387973638</v>
      </c>
      <c r="D44" s="423">
        <v>879.50849121361887</v>
      </c>
      <c r="E44" s="423">
        <v>286.80066584294343</v>
      </c>
      <c r="F44" s="423">
        <v>222.67195565623283</v>
      </c>
      <c r="G44" s="423">
        <v>52.847748489840747</v>
      </c>
      <c r="H44" s="423">
        <v>73.3</v>
      </c>
      <c r="I44" s="423">
        <v>9996</v>
      </c>
      <c r="J44" s="423">
        <v>9641.0640835477534</v>
      </c>
      <c r="K44" s="423">
        <v>312.8761616467383</v>
      </c>
      <c r="L44" s="423">
        <v>42.059754805509314</v>
      </c>
      <c r="M44" s="423">
        <v>221.2</v>
      </c>
      <c r="N44" s="423">
        <v>210.09193626267503</v>
      </c>
      <c r="O44" s="423">
        <v>11.108063737324965</v>
      </c>
      <c r="P44" s="423">
        <v>771921</v>
      </c>
      <c r="Q44" s="423">
        <v>13536</v>
      </c>
      <c r="R44" s="423">
        <v>22254</v>
      </c>
    </row>
    <row r="45" spans="1:18">
      <c r="A45" s="422" t="s">
        <v>94</v>
      </c>
      <c r="B45" s="423">
        <v>2728.3</v>
      </c>
      <c r="C45" s="423">
        <v>1348.4934863616038</v>
      </c>
      <c r="D45" s="423">
        <v>851.34834550603671</v>
      </c>
      <c r="E45" s="423">
        <v>262.19577060664778</v>
      </c>
      <c r="F45" s="423">
        <v>218.68286257266359</v>
      </c>
      <c r="G45" s="423">
        <v>47.579534953048146</v>
      </c>
      <c r="H45" s="423">
        <v>71</v>
      </c>
      <c r="I45" s="423">
        <v>9660.6</v>
      </c>
      <c r="J45" s="423">
        <v>9320.3400212956985</v>
      </c>
      <c r="K45" s="423">
        <v>301.23193728208452</v>
      </c>
      <c r="L45" s="423">
        <v>39.028041422218521</v>
      </c>
      <c r="M45" s="423">
        <v>230.6</v>
      </c>
      <c r="N45" s="423">
        <v>220.2997265268915</v>
      </c>
      <c r="O45" s="423">
        <v>10.300273473108479</v>
      </c>
      <c r="P45" s="423">
        <v>726841</v>
      </c>
      <c r="Q45" s="423">
        <v>12720</v>
      </c>
      <c r="R45" s="423">
        <v>20947</v>
      </c>
    </row>
    <row r="46" spans="1:18">
      <c r="A46" s="422" t="s">
        <v>95</v>
      </c>
      <c r="B46" s="423">
        <v>2642.7</v>
      </c>
      <c r="C46" s="423">
        <v>1295.969744793872</v>
      </c>
      <c r="D46" s="423">
        <v>832.41133607914071</v>
      </c>
      <c r="E46" s="423">
        <v>255.12497016821277</v>
      </c>
      <c r="F46" s="423">
        <v>217.99553870433809</v>
      </c>
      <c r="G46" s="423">
        <v>41.198410254436268</v>
      </c>
      <c r="H46" s="423">
        <v>69.099999999999994</v>
      </c>
      <c r="I46" s="423">
        <v>9377.4</v>
      </c>
      <c r="J46" s="423">
        <v>9068.9687267408081</v>
      </c>
      <c r="K46" s="423">
        <v>272.62581151719837</v>
      </c>
      <c r="L46" s="423">
        <v>35.805461741992382</v>
      </c>
      <c r="M46" s="423">
        <v>211.6</v>
      </c>
      <c r="N46" s="423">
        <v>202.57341269841268</v>
      </c>
      <c r="O46" s="423">
        <v>9.0265873015873019</v>
      </c>
      <c r="P46" s="423">
        <v>716294</v>
      </c>
      <c r="Q46" s="423">
        <v>11801</v>
      </c>
      <c r="R46" s="423">
        <v>21268</v>
      </c>
    </row>
    <row r="47" spans="1:18">
      <c r="A47" s="422" t="s">
        <v>96</v>
      </c>
      <c r="B47" s="423">
        <v>2899.4</v>
      </c>
      <c r="C47" s="423">
        <v>1415.8936924913955</v>
      </c>
      <c r="D47" s="423">
        <v>883.03704432113523</v>
      </c>
      <c r="E47" s="423">
        <v>314.64304277586569</v>
      </c>
      <c r="F47" s="423">
        <v>240.00441806560372</v>
      </c>
      <c r="G47" s="423">
        <v>45.821802345999863</v>
      </c>
      <c r="H47" s="423">
        <v>71.5</v>
      </c>
      <c r="I47" s="423">
        <v>10562.7</v>
      </c>
      <c r="J47" s="423">
        <v>10213.376486256839</v>
      </c>
      <c r="K47" s="423">
        <v>306.46482628910763</v>
      </c>
      <c r="L47" s="423">
        <v>42.858687454054213</v>
      </c>
      <c r="M47" s="423">
        <v>213.2</v>
      </c>
      <c r="N47" s="423">
        <v>203.57638888888889</v>
      </c>
      <c r="O47" s="423">
        <v>9.6236111111111118</v>
      </c>
      <c r="P47" s="423">
        <v>786973</v>
      </c>
      <c r="Q47" s="423">
        <v>12970</v>
      </c>
      <c r="R47" s="423">
        <v>22702</v>
      </c>
    </row>
    <row r="48" spans="1:18">
      <c r="A48" s="422" t="s">
        <v>97</v>
      </c>
      <c r="B48" s="423">
        <v>2647.9</v>
      </c>
      <c r="C48" s="423">
        <v>1301.5153429394813</v>
      </c>
      <c r="D48" s="423">
        <v>813.04011143131606</v>
      </c>
      <c r="E48" s="423">
        <v>283.15487800192125</v>
      </c>
      <c r="F48" s="423">
        <v>208.27094332372718</v>
      </c>
      <c r="G48" s="423">
        <v>41.918724303554278</v>
      </c>
      <c r="H48" s="423">
        <v>61</v>
      </c>
      <c r="I48" s="423">
        <v>9689.9</v>
      </c>
      <c r="J48" s="423">
        <v>9387.4091891047337</v>
      </c>
      <c r="K48" s="423">
        <v>266.66023436279357</v>
      </c>
      <c r="L48" s="423">
        <v>35.830576532472264</v>
      </c>
      <c r="M48" s="423">
        <v>229.1</v>
      </c>
      <c r="N48" s="423">
        <v>217.3374470089496</v>
      </c>
      <c r="O48" s="423">
        <v>11.762552991050399</v>
      </c>
      <c r="P48" s="423">
        <v>701895</v>
      </c>
      <c r="Q48" s="423">
        <v>10756</v>
      </c>
      <c r="R48" s="423">
        <v>19998</v>
      </c>
    </row>
    <row r="49" spans="1:18">
      <c r="A49" s="422" t="s">
        <v>98</v>
      </c>
      <c r="B49" s="423">
        <v>2830.7</v>
      </c>
      <c r="C49" s="423">
        <v>1361.1693072148678</v>
      </c>
      <c r="D49" s="423">
        <v>886.79626879058571</v>
      </c>
      <c r="E49" s="423">
        <v>314.42066515983208</v>
      </c>
      <c r="F49" s="423">
        <v>220.7850536361353</v>
      </c>
      <c r="G49" s="423">
        <v>47.52870519857926</v>
      </c>
      <c r="H49" s="423">
        <v>58.9</v>
      </c>
      <c r="I49" s="423">
        <v>10049.200000000001</v>
      </c>
      <c r="J49" s="423">
        <v>9715.5847938661645</v>
      </c>
      <c r="K49" s="423">
        <v>292.06458191160533</v>
      </c>
      <c r="L49" s="423">
        <v>41.550624222231143</v>
      </c>
      <c r="M49" s="423">
        <v>236.7</v>
      </c>
      <c r="N49" s="423">
        <v>226.48732584269661</v>
      </c>
      <c r="O49" s="423">
        <v>10.21267415730337</v>
      </c>
      <c r="P49" s="423">
        <v>728148</v>
      </c>
      <c r="Q49" s="423">
        <v>10714</v>
      </c>
      <c r="R49" s="423">
        <v>23907</v>
      </c>
    </row>
    <row r="50" spans="1:18">
      <c r="A50" s="422" t="s">
        <v>99</v>
      </c>
      <c r="B50" s="423">
        <v>3102</v>
      </c>
      <c r="C50" s="423">
        <v>1507.9718309859159</v>
      </c>
      <c r="D50" s="423">
        <v>987.66197183098586</v>
      </c>
      <c r="E50" s="423">
        <v>301.96099674972913</v>
      </c>
      <c r="F50" s="423">
        <v>249.10509209100758</v>
      </c>
      <c r="G50" s="423">
        <v>55.30010834236186</v>
      </c>
      <c r="H50" s="423">
        <v>65.3</v>
      </c>
      <c r="I50" s="423">
        <v>10656.6</v>
      </c>
      <c r="J50" s="423">
        <v>10300.61269895407</v>
      </c>
      <c r="K50" s="423">
        <v>314.08862551159621</v>
      </c>
      <c r="L50" s="423">
        <v>41.89867553433379</v>
      </c>
      <c r="M50" s="423">
        <v>248.4</v>
      </c>
      <c r="N50" s="423">
        <v>236.63762376237625</v>
      </c>
      <c r="O50" s="423">
        <v>11.762376237623762</v>
      </c>
      <c r="P50" s="423">
        <v>814664</v>
      </c>
      <c r="Q50" s="423">
        <v>12171</v>
      </c>
      <c r="R50" s="423">
        <v>26568</v>
      </c>
    </row>
    <row r="51" spans="1:18">
      <c r="A51" s="422" t="s">
        <v>100</v>
      </c>
      <c r="B51" s="423">
        <v>2664.6</v>
      </c>
      <c r="C51" s="423">
        <v>1382.3146192583549</v>
      </c>
      <c r="D51" s="423">
        <v>795.35443308408355</v>
      </c>
      <c r="E51" s="423">
        <v>235.73963833358766</v>
      </c>
      <c r="F51" s="423">
        <v>202.90483747901723</v>
      </c>
      <c r="G51" s="423">
        <v>48.286471844956509</v>
      </c>
      <c r="H51" s="423">
        <v>56</v>
      </c>
      <c r="I51" s="423">
        <v>8772.7999999999993</v>
      </c>
      <c r="J51" s="423">
        <v>8476.5813575327629</v>
      </c>
      <c r="K51" s="423">
        <v>259.54491558606071</v>
      </c>
      <c r="L51" s="423">
        <v>36.673726881175568</v>
      </c>
      <c r="M51" s="423">
        <v>210.7</v>
      </c>
      <c r="N51" s="423">
        <v>200.95231316725977</v>
      </c>
      <c r="O51" s="423">
        <v>9.7476868327402126</v>
      </c>
      <c r="P51" s="423">
        <v>707864</v>
      </c>
      <c r="Q51" s="423">
        <v>9356</v>
      </c>
      <c r="R51" s="423">
        <v>20727</v>
      </c>
    </row>
    <row r="52" spans="1:18">
      <c r="A52" s="422" t="s">
        <v>101</v>
      </c>
      <c r="B52" s="423">
        <v>3132.1</v>
      </c>
      <c r="C52" s="423">
        <v>1669.1550114964862</v>
      </c>
      <c r="D52" s="423">
        <v>937.73323294148122</v>
      </c>
      <c r="E52" s="423">
        <v>257.1285825318177</v>
      </c>
      <c r="F52" s="423">
        <v>214.93312283428867</v>
      </c>
      <c r="G52" s="423">
        <v>53.150050195926028</v>
      </c>
      <c r="H52" s="423">
        <v>65.5</v>
      </c>
      <c r="I52" s="423">
        <v>9394.5</v>
      </c>
      <c r="J52" s="423">
        <v>9055.5315310469468</v>
      </c>
      <c r="K52" s="423">
        <v>296.42054843151601</v>
      </c>
      <c r="L52" s="423">
        <v>42.547920521537073</v>
      </c>
      <c r="M52" s="423">
        <v>228.1</v>
      </c>
      <c r="N52" s="423">
        <v>217.12537735849057</v>
      </c>
      <c r="O52" s="423">
        <v>10.974622641509434</v>
      </c>
      <c r="P52" s="423">
        <v>799213</v>
      </c>
      <c r="Q52" s="423">
        <v>12424</v>
      </c>
      <c r="R52" s="423">
        <v>24055</v>
      </c>
    </row>
    <row r="53" spans="1:18">
      <c r="A53" s="422" t="s">
        <v>102</v>
      </c>
      <c r="B53" s="423">
        <v>2903.1</v>
      </c>
      <c r="C53" s="423">
        <v>1579.5040386027481</v>
      </c>
      <c r="D53" s="423">
        <v>854.9217874750866</v>
      </c>
      <c r="E53" s="423">
        <v>239.86941151788525</v>
      </c>
      <c r="F53" s="423">
        <v>182.9219972726319</v>
      </c>
      <c r="G53" s="423">
        <v>45.882765131647957</v>
      </c>
      <c r="H53" s="423">
        <v>62.5</v>
      </c>
      <c r="I53" s="423">
        <v>8399</v>
      </c>
      <c r="J53" s="423">
        <v>8091.709653745278</v>
      </c>
      <c r="K53" s="423">
        <v>269.09378233354988</v>
      </c>
      <c r="L53" s="423">
        <v>38.196563921172306</v>
      </c>
      <c r="M53" s="423">
        <v>206</v>
      </c>
      <c r="N53" s="423">
        <v>195.87238493723851</v>
      </c>
      <c r="O53" s="423">
        <v>10.127615062761507</v>
      </c>
      <c r="P53" s="423">
        <v>756953</v>
      </c>
      <c r="Q53" s="423">
        <v>11492</v>
      </c>
      <c r="R53" s="423">
        <v>22597</v>
      </c>
    </row>
    <row r="54" spans="1:18">
      <c r="A54" s="422" t="s">
        <v>103</v>
      </c>
      <c r="B54" s="423">
        <v>3076.5</v>
      </c>
      <c r="C54" s="423">
        <v>1642.8611367380561</v>
      </c>
      <c r="D54" s="423">
        <v>939.77698517298188</v>
      </c>
      <c r="E54" s="423">
        <v>268.21808896210877</v>
      </c>
      <c r="F54" s="423">
        <v>176.17650741350906</v>
      </c>
      <c r="G54" s="423">
        <v>49.467281713344313</v>
      </c>
      <c r="H54" s="423">
        <v>61.3</v>
      </c>
      <c r="I54" s="423">
        <v>8297.2000000000007</v>
      </c>
      <c r="J54" s="423">
        <v>7988.3481668066061</v>
      </c>
      <c r="K54" s="423">
        <v>268.66777643923638</v>
      </c>
      <c r="L54" s="423">
        <v>40.184056754158611</v>
      </c>
      <c r="M54" s="423">
        <v>200.6</v>
      </c>
      <c r="N54" s="423">
        <v>190.90557620817845</v>
      </c>
      <c r="O54" s="423">
        <v>9.6944237918215599</v>
      </c>
      <c r="P54" s="423">
        <v>748724</v>
      </c>
      <c r="Q54" s="423">
        <v>11865</v>
      </c>
      <c r="R54" s="423">
        <v>22477</v>
      </c>
    </row>
    <row r="55" spans="1:18">
      <c r="A55" s="422" t="s">
        <v>257</v>
      </c>
      <c r="B55" s="423">
        <v>3051.4</v>
      </c>
      <c r="C55" s="423">
        <v>1624.2418708240534</v>
      </c>
      <c r="D55" s="423">
        <v>890.7819964764152</v>
      </c>
      <c r="E55" s="423">
        <v>289.99609746368372</v>
      </c>
      <c r="F55" s="423">
        <v>194.04076056244389</v>
      </c>
      <c r="G55" s="423">
        <v>52.33927467340358</v>
      </c>
      <c r="H55" s="423">
        <v>58.9</v>
      </c>
      <c r="I55" s="423">
        <v>8761.5</v>
      </c>
      <c r="J55" s="423">
        <v>8433.5644958757657</v>
      </c>
      <c r="K55" s="423">
        <v>285.64403714114559</v>
      </c>
      <c r="L55" s="423">
        <v>42.291466983088341</v>
      </c>
      <c r="M55" s="423">
        <v>218.5</v>
      </c>
      <c r="N55" s="423">
        <v>206.99439297903461</v>
      </c>
      <c r="O55" s="423">
        <v>11.505607020965384</v>
      </c>
      <c r="P55" s="423">
        <v>783800</v>
      </c>
      <c r="Q55" s="423">
        <v>11686</v>
      </c>
      <c r="R55" s="423">
        <v>22601</v>
      </c>
    </row>
    <row r="56" spans="1:18">
      <c r="A56" s="422" t="s">
        <v>258</v>
      </c>
      <c r="B56" s="423">
        <v>2701.4</v>
      </c>
      <c r="C56" s="423">
        <v>1409.2538632176561</v>
      </c>
      <c r="D56" s="423">
        <v>780.24419295409268</v>
      </c>
      <c r="E56" s="423">
        <v>250.46630823025157</v>
      </c>
      <c r="F56" s="423">
        <v>216.74578335902549</v>
      </c>
      <c r="G56" s="423">
        <v>44.689852238974325</v>
      </c>
      <c r="H56" s="423">
        <v>56.9</v>
      </c>
      <c r="I56" s="423">
        <v>8466.9</v>
      </c>
      <c r="J56" s="423">
        <v>8162.8958182338347</v>
      </c>
      <c r="K56" s="423">
        <v>263.32898745946972</v>
      </c>
      <c r="L56" s="423">
        <v>40.675194306694635</v>
      </c>
      <c r="M56" s="423">
        <v>216.6</v>
      </c>
      <c r="N56" s="423">
        <v>206.22971372161894</v>
      </c>
      <c r="O56" s="423">
        <v>10.370286278381046</v>
      </c>
      <c r="P56" s="423">
        <v>713956</v>
      </c>
      <c r="Q56" s="423">
        <v>10522</v>
      </c>
      <c r="R56" s="423">
        <v>20443</v>
      </c>
    </row>
    <row r="57" spans="1:18">
      <c r="A57" s="422" t="s">
        <v>259</v>
      </c>
      <c r="B57" s="423">
        <v>2793</v>
      </c>
      <c r="C57" s="423">
        <v>1416.3236514522821</v>
      </c>
      <c r="D57" s="423">
        <v>833.81327800829877</v>
      </c>
      <c r="E57" s="423">
        <v>262.28215767634856</v>
      </c>
      <c r="F57" s="423">
        <v>234.22406639004149</v>
      </c>
      <c r="G57" s="423">
        <v>46.356846473029044</v>
      </c>
      <c r="H57" s="423">
        <v>70.7</v>
      </c>
      <c r="I57" s="423">
        <v>9201.7000000000007</v>
      </c>
      <c r="J57" s="423">
        <v>8869.8135740056368</v>
      </c>
      <c r="K57" s="423">
        <v>286.78054809242349</v>
      </c>
      <c r="L57" s="423">
        <v>45.105877901939941</v>
      </c>
      <c r="M57" s="423">
        <v>279.5</v>
      </c>
      <c r="N57" s="423">
        <v>269.98110029940119</v>
      </c>
      <c r="O57" s="423">
        <v>9.5188997005988014</v>
      </c>
      <c r="P57" s="423">
        <v>729454</v>
      </c>
      <c r="Q57" s="423">
        <v>10914</v>
      </c>
      <c r="R57" s="423">
        <v>21280</v>
      </c>
    </row>
    <row r="58" spans="1:18">
      <c r="A58" s="422" t="s">
        <v>260</v>
      </c>
      <c r="B58" s="423">
        <v>2561.1999999999998</v>
      </c>
      <c r="C58" s="423">
        <v>1257.2016841436289</v>
      </c>
      <c r="D58" s="423">
        <v>817.21161423578008</v>
      </c>
      <c r="E58" s="423">
        <v>246.19097553225293</v>
      </c>
      <c r="F58" s="423">
        <v>205.39652049571021</v>
      </c>
      <c r="G58" s="423">
        <v>35.199205592627898</v>
      </c>
      <c r="H58" s="423">
        <v>66.7</v>
      </c>
      <c r="I58" s="423">
        <v>8117.3</v>
      </c>
      <c r="J58" s="423">
        <v>7831.874901116943</v>
      </c>
      <c r="K58" s="423">
        <v>249.98675091420185</v>
      </c>
      <c r="L58" s="423">
        <v>35.438347968854949</v>
      </c>
      <c r="M58" s="423">
        <v>204.7</v>
      </c>
      <c r="N58" s="423">
        <v>196.58785383427687</v>
      </c>
      <c r="O58" s="423">
        <v>8.1121461657231073</v>
      </c>
      <c r="P58" s="423">
        <v>667824</v>
      </c>
      <c r="Q58" s="423">
        <v>9828</v>
      </c>
      <c r="R58" s="423">
        <v>19515</v>
      </c>
    </row>
    <row r="59" spans="1:18">
      <c r="A59" s="422" t="s">
        <v>261</v>
      </c>
      <c r="B59" s="423">
        <v>2800.3</v>
      </c>
      <c r="C59" s="423">
        <v>1411.2574490538575</v>
      </c>
      <c r="D59" s="423">
        <v>834.38342066957784</v>
      </c>
      <c r="E59" s="423">
        <v>279.928096797671</v>
      </c>
      <c r="F59" s="423">
        <v>232.03359170305677</v>
      </c>
      <c r="G59" s="423">
        <v>42.697441775836971</v>
      </c>
      <c r="H59" s="423">
        <v>74.3</v>
      </c>
      <c r="I59" s="423">
        <v>9365</v>
      </c>
      <c r="J59" s="423">
        <v>9035.0546253797929</v>
      </c>
      <c r="K59" s="423">
        <v>288.47517615876916</v>
      </c>
      <c r="L59" s="423">
        <v>41.470198461439011</v>
      </c>
      <c r="M59" s="423">
        <v>214.8</v>
      </c>
      <c r="N59" s="423">
        <v>205.22761998041136</v>
      </c>
      <c r="O59" s="423">
        <v>9.572380019588639</v>
      </c>
      <c r="P59" s="423">
        <v>750576</v>
      </c>
      <c r="Q59" s="423">
        <v>10821</v>
      </c>
      <c r="R59" s="423">
        <v>20758</v>
      </c>
    </row>
    <row r="60" spans="1:18">
      <c r="A60" s="422" t="s">
        <v>262</v>
      </c>
      <c r="B60" s="423">
        <v>2612.5</v>
      </c>
      <c r="C60" s="423">
        <v>1303.3997038653367</v>
      </c>
      <c r="D60" s="423">
        <v>784.34041848503739</v>
      </c>
      <c r="E60" s="423">
        <v>269.76016988778053</v>
      </c>
      <c r="F60" s="423">
        <v>215.40095074812967</v>
      </c>
      <c r="G60" s="423">
        <v>39.598757013715705</v>
      </c>
      <c r="H60" s="423">
        <v>68.400000000000006</v>
      </c>
      <c r="I60" s="423">
        <v>8882.7999999999993</v>
      </c>
      <c r="J60" s="423">
        <v>8576.2142154854555</v>
      </c>
      <c r="K60" s="423">
        <v>269.18494697073152</v>
      </c>
      <c r="L60" s="423">
        <v>37.400837543811733</v>
      </c>
      <c r="M60" s="423">
        <v>226.9</v>
      </c>
      <c r="N60" s="423">
        <v>215.43174303259329</v>
      </c>
      <c r="O60" s="423">
        <v>11.468256967406706</v>
      </c>
      <c r="P60" s="423">
        <v>679477</v>
      </c>
      <c r="Q60" s="423">
        <v>9865</v>
      </c>
      <c r="R60" s="423">
        <v>19270</v>
      </c>
    </row>
    <row r="61" spans="1:18">
      <c r="A61" s="422" t="s">
        <v>263</v>
      </c>
      <c r="B61" s="423">
        <v>2842.4</v>
      </c>
      <c r="C61" s="423">
        <v>1386.6505934505935</v>
      </c>
      <c r="D61" s="423">
        <v>887.71651651651655</v>
      </c>
      <c r="E61" s="423">
        <v>301.08791648791652</v>
      </c>
      <c r="F61" s="423">
        <v>222.53882453882454</v>
      </c>
      <c r="G61" s="423">
        <v>44.406149006149008</v>
      </c>
      <c r="H61" s="423">
        <v>66.599999999999994</v>
      </c>
      <c r="I61" s="423">
        <v>9364.9</v>
      </c>
      <c r="J61" s="423">
        <v>9039.3232406968218</v>
      </c>
      <c r="K61" s="423">
        <v>285.19514574619461</v>
      </c>
      <c r="L61" s="423">
        <v>40.381613556983311</v>
      </c>
      <c r="M61" s="423">
        <v>224.2</v>
      </c>
      <c r="N61" s="423">
        <v>214.7</v>
      </c>
      <c r="O61" s="423">
        <v>9.5</v>
      </c>
      <c r="P61" s="423">
        <v>716255</v>
      </c>
      <c r="Q61" s="423">
        <v>10125</v>
      </c>
      <c r="R61" s="423">
        <v>23529</v>
      </c>
    </row>
    <row r="62" spans="1:18">
      <c r="A62" s="422" t="s">
        <v>264</v>
      </c>
      <c r="B62" s="423">
        <v>2858.1</v>
      </c>
      <c r="C62" s="423">
        <v>1445.6727895525585</v>
      </c>
      <c r="D62" s="423">
        <v>854.6969278527082</v>
      </c>
      <c r="E62" s="423">
        <v>286.56465424962533</v>
      </c>
      <c r="F62" s="423">
        <v>222.72498394348105</v>
      </c>
      <c r="G62" s="423">
        <v>48.440644401627061</v>
      </c>
      <c r="H62" s="423">
        <v>63.6</v>
      </c>
      <c r="I62" s="423">
        <v>9632</v>
      </c>
      <c r="J62" s="423">
        <v>9308.3489707793578</v>
      </c>
      <c r="K62" s="423">
        <v>284.380832599673</v>
      </c>
      <c r="L62" s="423">
        <v>39.270196620970104</v>
      </c>
      <c r="M62" s="423">
        <v>237.3</v>
      </c>
      <c r="N62" s="423">
        <v>225.70623038995967</v>
      </c>
      <c r="O62" s="423">
        <v>11.593769610040342</v>
      </c>
      <c r="P62" s="423">
        <v>774160</v>
      </c>
      <c r="Q62" s="423">
        <v>11246</v>
      </c>
      <c r="R62" s="423">
        <v>24953</v>
      </c>
    </row>
    <row r="63" spans="1:18">
      <c r="A63" s="422" t="s">
        <v>265</v>
      </c>
      <c r="B63" s="423">
        <v>2766.6</v>
      </c>
      <c r="C63" s="423">
        <v>1485.437149472601</v>
      </c>
      <c r="D63" s="423">
        <v>780.08582454334964</v>
      </c>
      <c r="E63" s="423">
        <v>245.65789260906314</v>
      </c>
      <c r="F63" s="423">
        <v>209.86667646734534</v>
      </c>
      <c r="G63" s="423">
        <v>45.552456907640845</v>
      </c>
      <c r="H63" s="423">
        <v>57.6</v>
      </c>
      <c r="I63" s="423">
        <v>8832.7000000000007</v>
      </c>
      <c r="J63" s="423">
        <v>8525.5099323651593</v>
      </c>
      <c r="K63" s="423">
        <v>269.58733477529444</v>
      </c>
      <c r="L63" s="423">
        <v>37.60273285954613</v>
      </c>
      <c r="M63" s="423">
        <v>219.1</v>
      </c>
      <c r="N63" s="423">
        <v>208.62083943387017</v>
      </c>
      <c r="O63" s="423">
        <v>10.479160566129819</v>
      </c>
      <c r="P63" s="423">
        <v>712989</v>
      </c>
      <c r="Q63" s="423">
        <v>9976</v>
      </c>
      <c r="R63" s="423">
        <v>21012</v>
      </c>
    </row>
    <row r="64" spans="1:18">
      <c r="A64" s="422" t="s">
        <v>266</v>
      </c>
      <c r="B64" s="423">
        <v>3134.4</v>
      </c>
      <c r="C64" s="423">
        <v>1714.8384590482358</v>
      </c>
      <c r="D64" s="423">
        <v>866.65297507283913</v>
      </c>
      <c r="E64" s="423">
        <v>283.91230819035286</v>
      </c>
      <c r="F64" s="423">
        <v>219.68196827452249</v>
      </c>
      <c r="G64" s="423">
        <v>49.314289414049853</v>
      </c>
      <c r="H64" s="423">
        <v>66.7</v>
      </c>
      <c r="I64" s="423">
        <v>9095.7000000000007</v>
      </c>
      <c r="J64" s="423">
        <v>8784.1098811020038</v>
      </c>
      <c r="K64" s="423">
        <v>286.39987876630823</v>
      </c>
      <c r="L64" s="423">
        <v>25.190240131688711</v>
      </c>
      <c r="M64" s="423">
        <v>227.1</v>
      </c>
      <c r="N64" s="423">
        <v>215.77704609595483</v>
      </c>
      <c r="O64" s="423">
        <v>11.322953904045155</v>
      </c>
      <c r="P64" s="423">
        <v>793838</v>
      </c>
      <c r="Q64" s="423">
        <v>11571</v>
      </c>
      <c r="R64" s="423">
        <v>23392</v>
      </c>
    </row>
    <row r="65" spans="1:18">
      <c r="A65" s="422" t="s">
        <v>267</v>
      </c>
      <c r="B65" s="423">
        <v>2834</v>
      </c>
      <c r="C65" s="423">
        <v>1573.0023256646032</v>
      </c>
      <c r="D65" s="423">
        <v>799.73372929264031</v>
      </c>
      <c r="E65" s="423">
        <v>244.47293284196215</v>
      </c>
      <c r="F65" s="423">
        <v>177.04261333142509</v>
      </c>
      <c r="G65" s="423">
        <v>39.748398869369211</v>
      </c>
      <c r="H65" s="423">
        <v>57.9</v>
      </c>
      <c r="I65" s="423">
        <v>7882</v>
      </c>
      <c r="J65" s="423">
        <v>7604.1895683591492</v>
      </c>
      <c r="K65" s="423">
        <v>254.68480865075395</v>
      </c>
      <c r="L65" s="423">
        <v>23.125622990096215</v>
      </c>
      <c r="M65" s="423">
        <v>202.4</v>
      </c>
      <c r="N65" s="423">
        <v>192.6610878661088</v>
      </c>
      <c r="O65" s="423">
        <v>9.7389121338912137</v>
      </c>
      <c r="P65" s="423">
        <v>716872</v>
      </c>
      <c r="Q65" s="423">
        <v>9856</v>
      </c>
      <c r="R65" s="423">
        <v>20766</v>
      </c>
    </row>
    <row r="66" spans="1:18">
      <c r="A66" s="422" t="s">
        <v>268</v>
      </c>
      <c r="B66" s="423">
        <v>3159.4</v>
      </c>
      <c r="C66" s="423">
        <v>1763.3341677899741</v>
      </c>
      <c r="D66" s="423">
        <v>901.0343539379935</v>
      </c>
      <c r="E66" s="423">
        <v>265.56481802426339</v>
      </c>
      <c r="F66" s="423">
        <v>183.2285705115861</v>
      </c>
      <c r="G66" s="423">
        <v>46.238089736183326</v>
      </c>
      <c r="H66" s="423">
        <v>58.6</v>
      </c>
      <c r="I66" s="423">
        <v>8343.1</v>
      </c>
      <c r="J66" s="423">
        <v>8026.8132043021178</v>
      </c>
      <c r="K66" s="423">
        <v>288.09381934014834</v>
      </c>
      <c r="L66" s="423">
        <v>28.192976357734608</v>
      </c>
      <c r="M66" s="423">
        <v>211.5</v>
      </c>
      <c r="N66" s="423">
        <v>200.60775000000001</v>
      </c>
      <c r="O66" s="423">
        <v>10.892250000000002</v>
      </c>
      <c r="P66" s="423">
        <v>763362</v>
      </c>
      <c r="Q66" s="423">
        <v>11665</v>
      </c>
      <c r="R66" s="423">
        <v>22913</v>
      </c>
    </row>
    <row r="67" spans="1:18">
      <c r="A67" s="422" t="s">
        <v>269</v>
      </c>
      <c r="B67" s="423">
        <v>3039.1</v>
      </c>
      <c r="C67" s="423">
        <v>1675.008138990979</v>
      </c>
      <c r="D67" s="423">
        <v>898.93592716338105</v>
      </c>
      <c r="E67" s="423">
        <v>242.57968259271632</v>
      </c>
      <c r="F67" s="423">
        <v>179.82780153691945</v>
      </c>
      <c r="G67" s="423">
        <v>42.748449716004004</v>
      </c>
      <c r="H67" s="423">
        <v>56.9</v>
      </c>
      <c r="I67" s="423">
        <v>8536.5</v>
      </c>
      <c r="J67" s="423">
        <v>8224.8346055527927</v>
      </c>
      <c r="K67" s="423">
        <v>285.29759284243414</v>
      </c>
      <c r="L67" s="423">
        <v>26.367801604771714</v>
      </c>
      <c r="M67" s="423">
        <v>225.6</v>
      </c>
      <c r="N67" s="423">
        <v>213.94189944134078</v>
      </c>
      <c r="O67" s="423">
        <v>11.658100558659218</v>
      </c>
      <c r="P67" s="423">
        <v>786225</v>
      </c>
      <c r="Q67" s="423">
        <v>11845</v>
      </c>
      <c r="R67" s="423">
        <v>21751</v>
      </c>
    </row>
    <row r="68" spans="1:18">
      <c r="A68" s="422" t="s">
        <v>270</v>
      </c>
      <c r="B68" s="423">
        <v>2608.6</v>
      </c>
      <c r="C68" s="423">
        <v>1402.5037256430239</v>
      </c>
      <c r="D68" s="423">
        <v>775.8704286827749</v>
      </c>
      <c r="E68" s="423">
        <v>219.38265003897118</v>
      </c>
      <c r="F68" s="423">
        <v>173.22893219017928</v>
      </c>
      <c r="G68" s="423">
        <v>37.614263445050668</v>
      </c>
      <c r="H68" s="423">
        <v>47.7</v>
      </c>
      <c r="I68" s="423">
        <v>7959.3</v>
      </c>
      <c r="J68" s="423">
        <v>7688.1208458064848</v>
      </c>
      <c r="K68" s="423">
        <v>248.36214419808209</v>
      </c>
      <c r="L68" s="423">
        <v>22.817009995433558</v>
      </c>
      <c r="M68" s="423">
        <v>247.1</v>
      </c>
      <c r="N68" s="423">
        <v>236.44822876653862</v>
      </c>
      <c r="O68" s="423">
        <v>10.651771233461373</v>
      </c>
      <c r="P68" s="423">
        <v>693914</v>
      </c>
      <c r="Q68" s="423">
        <v>10712</v>
      </c>
      <c r="R68" s="423">
        <v>19233</v>
      </c>
    </row>
    <row r="69" spans="1:18">
      <c r="A69" s="422" t="s">
        <v>271</v>
      </c>
      <c r="B69" s="423">
        <v>2854</v>
      </c>
      <c r="C69" s="423">
        <v>1483.2948219949396</v>
      </c>
      <c r="D69" s="423">
        <v>892.58059228110187</v>
      </c>
      <c r="E69" s="423">
        <v>223.65368304764621</v>
      </c>
      <c r="F69" s="423">
        <v>210.53348063148141</v>
      </c>
      <c r="G69" s="423">
        <v>43.93742204483091</v>
      </c>
      <c r="H69" s="423">
        <v>59.1</v>
      </c>
      <c r="I69" s="423">
        <v>9235.7999999999993</v>
      </c>
      <c r="J69" s="423">
        <v>8921.2162261428475</v>
      </c>
      <c r="K69" s="423">
        <v>289.14246737063019</v>
      </c>
      <c r="L69" s="423">
        <v>25.441306486521931</v>
      </c>
      <c r="M69" s="423">
        <v>249.8</v>
      </c>
      <c r="N69" s="423">
        <v>239.89557595993324</v>
      </c>
      <c r="O69" s="423">
        <v>9.9044240400667789</v>
      </c>
      <c r="P69" s="423">
        <v>777263</v>
      </c>
      <c r="Q69" s="423">
        <v>11617</v>
      </c>
      <c r="R69" s="423">
        <v>21559</v>
      </c>
    </row>
    <row r="70" spans="1:18">
      <c r="A70" s="422" t="s">
        <v>272</v>
      </c>
      <c r="B70" s="423">
        <v>2346.6</v>
      </c>
      <c r="C70" s="423">
        <v>1188.591945434008</v>
      </c>
      <c r="D70" s="423">
        <v>748.0819706316795</v>
      </c>
      <c r="E70" s="423">
        <v>197.87777391606568</v>
      </c>
      <c r="F70" s="423">
        <v>173.81844643322614</v>
      </c>
      <c r="G70" s="423">
        <v>38.229863585020418</v>
      </c>
      <c r="H70" s="423">
        <v>52.7</v>
      </c>
      <c r="I70" s="423">
        <v>8055.6</v>
      </c>
      <c r="J70" s="423">
        <v>7795.8885142334257</v>
      </c>
      <c r="K70" s="423">
        <v>239.21326196773509</v>
      </c>
      <c r="L70" s="423">
        <v>20.49822379883927</v>
      </c>
      <c r="M70" s="423">
        <v>202.2</v>
      </c>
      <c r="N70" s="423">
        <v>194.22532433834976</v>
      </c>
      <c r="O70" s="423">
        <v>7.9746756616502328</v>
      </c>
      <c r="P70" s="423">
        <v>678258</v>
      </c>
      <c r="Q70" s="423">
        <v>10043</v>
      </c>
      <c r="R70" s="423">
        <v>17629</v>
      </c>
    </row>
    <row r="71" spans="1:18">
      <c r="A71" s="422" t="s">
        <v>273</v>
      </c>
      <c r="B71" s="423">
        <v>2642.6</v>
      </c>
      <c r="C71" s="423">
        <v>1347.1518542816348</v>
      </c>
      <c r="D71" s="423">
        <v>794.21791378844591</v>
      </c>
      <c r="E71" s="423">
        <v>252.09382163392891</v>
      </c>
      <c r="F71" s="423">
        <v>205.48909813607068</v>
      </c>
      <c r="G71" s="423">
        <v>43.647312159919728</v>
      </c>
      <c r="H71" s="423">
        <v>55.5</v>
      </c>
      <c r="I71" s="423">
        <v>8916.2000000000007</v>
      </c>
      <c r="J71" s="423">
        <v>8630.7524016528005</v>
      </c>
      <c r="K71" s="423">
        <v>260.21354615950645</v>
      </c>
      <c r="L71" s="423">
        <v>25.234052187694573</v>
      </c>
      <c r="M71" s="423">
        <v>225.2</v>
      </c>
      <c r="N71" s="423">
        <v>215.32939494997618</v>
      </c>
      <c r="O71" s="423">
        <v>9.8706050500238209</v>
      </c>
      <c r="P71" s="423">
        <v>744931</v>
      </c>
      <c r="Q71" s="423">
        <v>12601</v>
      </c>
      <c r="R71" s="423">
        <v>18709</v>
      </c>
    </row>
    <row r="72" spans="1:18">
      <c r="A72" s="422" t="s">
        <v>274</v>
      </c>
      <c r="B72" s="423">
        <v>2667.1</v>
      </c>
      <c r="C72" s="423">
        <v>1376.0093685576851</v>
      </c>
      <c r="D72" s="423">
        <v>815.0773268687484</v>
      </c>
      <c r="E72" s="423">
        <v>234.6974688860044</v>
      </c>
      <c r="F72" s="423">
        <v>203.23477132167667</v>
      </c>
      <c r="G72" s="423">
        <v>38.081064365885311</v>
      </c>
      <c r="H72" s="423">
        <v>60</v>
      </c>
      <c r="I72" s="423">
        <v>9234.5</v>
      </c>
      <c r="J72" s="423">
        <v>8941.2225639117496</v>
      </c>
      <c r="K72" s="423">
        <v>268.92186679215553</v>
      </c>
      <c r="L72" s="423">
        <v>24.355569296095254</v>
      </c>
      <c r="M72" s="423">
        <v>230.8</v>
      </c>
      <c r="N72" s="423">
        <v>219.62375513933304</v>
      </c>
      <c r="O72" s="423">
        <v>11.176244860666971</v>
      </c>
      <c r="P72" s="423">
        <v>717637</v>
      </c>
      <c r="Q72" s="423">
        <v>11827</v>
      </c>
      <c r="R72" s="423">
        <v>19362</v>
      </c>
    </row>
    <row r="73" spans="1:18">
      <c r="A73" s="422" t="s">
        <v>275</v>
      </c>
      <c r="B73" s="423">
        <v>2668.1</v>
      </c>
      <c r="C73" s="423">
        <v>1358.7678154784596</v>
      </c>
      <c r="D73" s="423">
        <v>811.92429279451017</v>
      </c>
      <c r="E73" s="423">
        <v>244.2282920320244</v>
      </c>
      <c r="F73" s="423">
        <v>211.98324056423942</v>
      </c>
      <c r="G73" s="423">
        <v>41.196359130766297</v>
      </c>
      <c r="H73" s="423">
        <v>56.4</v>
      </c>
      <c r="I73" s="423">
        <v>9133.2000000000007</v>
      </c>
      <c r="J73" s="423">
        <v>8840.2431538299825</v>
      </c>
      <c r="K73" s="423">
        <v>268.2995607386672</v>
      </c>
      <c r="L73" s="423">
        <v>24.657285431350203</v>
      </c>
      <c r="M73" s="423">
        <v>224.6</v>
      </c>
      <c r="N73" s="423">
        <v>214.26629107981219</v>
      </c>
      <c r="O73" s="423">
        <v>10.333708920187794</v>
      </c>
      <c r="P73" s="423">
        <v>720430</v>
      </c>
      <c r="Q73" s="423">
        <v>11307</v>
      </c>
      <c r="R73" s="423">
        <v>22656</v>
      </c>
    </row>
    <row r="74" spans="1:18">
      <c r="A74" s="422" t="s">
        <v>276</v>
      </c>
      <c r="B74" s="423">
        <v>2679.2</v>
      </c>
      <c r="C74" s="423">
        <v>1388.9426732182988</v>
      </c>
      <c r="D74" s="423">
        <v>815.50631165961966</v>
      </c>
      <c r="E74" s="423">
        <v>229.61947206033591</v>
      </c>
      <c r="F74" s="423">
        <v>204.00414428827176</v>
      </c>
      <c r="G74" s="423">
        <v>41.127398773473494</v>
      </c>
      <c r="H74" s="423">
        <v>56.4</v>
      </c>
      <c r="I74" s="423">
        <v>9118.1</v>
      </c>
      <c r="J74" s="423">
        <v>8829.3243095942307</v>
      </c>
      <c r="K74" s="423">
        <v>266.04937689010001</v>
      </c>
      <c r="L74" s="423">
        <v>22.726313515669137</v>
      </c>
      <c r="M74" s="423">
        <v>228.2</v>
      </c>
      <c r="N74" s="423">
        <v>216.93216428241809</v>
      </c>
      <c r="O74" s="423">
        <v>11.267835717581908</v>
      </c>
      <c r="P74" s="423">
        <v>745843</v>
      </c>
      <c r="Q74" s="423">
        <v>11198</v>
      </c>
      <c r="R74" s="423">
        <v>22612</v>
      </c>
    </row>
    <row r="75" spans="1:18">
      <c r="A75" s="422" t="s">
        <v>277</v>
      </c>
      <c r="B75" s="423">
        <v>2775.9</v>
      </c>
      <c r="C75" s="423">
        <v>1502.0399274379745</v>
      </c>
      <c r="D75" s="423">
        <v>830.42004251108585</v>
      </c>
      <c r="E75" s="423">
        <v>205.69757760105543</v>
      </c>
      <c r="F75" s="423">
        <v>193.18481694579836</v>
      </c>
      <c r="G75" s="423">
        <v>44.557635504086193</v>
      </c>
      <c r="H75" s="423">
        <v>60.7</v>
      </c>
      <c r="I75" s="423">
        <v>8871.1</v>
      </c>
      <c r="J75" s="423">
        <v>8577.4111873134498</v>
      </c>
      <c r="K75" s="423">
        <v>268.52414841987741</v>
      </c>
      <c r="L75" s="423">
        <v>25.164664266672744</v>
      </c>
      <c r="M75" s="423">
        <v>231.1</v>
      </c>
      <c r="N75" s="423">
        <v>219.58724862888482</v>
      </c>
      <c r="O75" s="423">
        <v>11.512751371115174</v>
      </c>
      <c r="P75" s="423">
        <v>750057</v>
      </c>
      <c r="Q75" s="423">
        <v>11616</v>
      </c>
      <c r="R75" s="423">
        <v>21140</v>
      </c>
    </row>
    <row r="76" spans="1:18">
      <c r="A76" s="422" t="s">
        <v>278</v>
      </c>
      <c r="B76" s="423">
        <v>2992.5</v>
      </c>
      <c r="C76" s="423">
        <v>1662.3759286271584</v>
      </c>
      <c r="D76" s="423">
        <v>886.41100444384142</v>
      </c>
      <c r="E76" s="423">
        <v>205.15765460158079</v>
      </c>
      <c r="F76" s="423">
        <v>193.28064045591776</v>
      </c>
      <c r="G76" s="423">
        <v>45.274771871501748</v>
      </c>
      <c r="H76" s="423">
        <v>65.599999999999994</v>
      </c>
      <c r="I76" s="423">
        <v>8994.2000000000007</v>
      </c>
      <c r="J76" s="423">
        <v>8692.82811557676</v>
      </c>
      <c r="K76" s="423">
        <v>277.38762095503853</v>
      </c>
      <c r="L76" s="423">
        <v>23.98426346820289</v>
      </c>
      <c r="M76" s="423">
        <v>229.2</v>
      </c>
      <c r="N76" s="423">
        <v>216.54935064935063</v>
      </c>
      <c r="O76" s="423">
        <v>12.650649350649351</v>
      </c>
      <c r="P76" s="423">
        <v>793735</v>
      </c>
      <c r="Q76" s="423">
        <v>13111</v>
      </c>
      <c r="R76" s="423">
        <v>23184</v>
      </c>
    </row>
    <row r="77" spans="1:18">
      <c r="A77" s="422" t="s">
        <v>279</v>
      </c>
      <c r="B77" s="423">
        <v>2717.5</v>
      </c>
      <c r="C77" s="423">
        <v>1498.7467311715482</v>
      </c>
      <c r="D77" s="423">
        <v>824.54927525403468</v>
      </c>
      <c r="E77" s="423">
        <v>192.1782538852361</v>
      </c>
      <c r="F77" s="423">
        <v>164.86924686192467</v>
      </c>
      <c r="G77" s="423">
        <v>37.156492827256422</v>
      </c>
      <c r="H77" s="423">
        <v>58.6</v>
      </c>
      <c r="I77" s="423">
        <v>7662.2</v>
      </c>
      <c r="J77" s="423">
        <v>7404.9069216565549</v>
      </c>
      <c r="K77" s="423">
        <v>236.87940912687944</v>
      </c>
      <c r="L77" s="423">
        <v>20.413669216565548</v>
      </c>
      <c r="M77" s="423">
        <v>199.9</v>
      </c>
      <c r="N77" s="423">
        <v>190.01132978723405</v>
      </c>
      <c r="O77" s="423">
        <v>9.8886702127659589</v>
      </c>
      <c r="P77" s="423">
        <v>719934</v>
      </c>
      <c r="Q77" s="423">
        <v>11730</v>
      </c>
      <c r="R77" s="423">
        <v>19784</v>
      </c>
    </row>
    <row r="78" spans="1:18">
      <c r="A78" s="422" t="s">
        <v>280</v>
      </c>
      <c r="B78" s="423">
        <v>2937.6</v>
      </c>
      <c r="C78" s="423">
        <v>1631.6954276827371</v>
      </c>
      <c r="D78" s="423">
        <v>872.29511664074641</v>
      </c>
      <c r="E78" s="423">
        <v>221.11950233281493</v>
      </c>
      <c r="F78" s="423">
        <v>167.10867807153963</v>
      </c>
      <c r="G78" s="423">
        <v>45.381275272161737</v>
      </c>
      <c r="H78" s="423">
        <v>58.9</v>
      </c>
      <c r="I78" s="423">
        <v>8553.7999999999993</v>
      </c>
      <c r="J78" s="423">
        <v>8256.8982503364732</v>
      </c>
      <c r="K78" s="423">
        <v>272.56388515029153</v>
      </c>
      <c r="L78" s="423">
        <v>24.337864513234628</v>
      </c>
      <c r="M78" s="423">
        <v>221.7</v>
      </c>
      <c r="N78" s="423">
        <v>209.00725190839694</v>
      </c>
      <c r="O78" s="423">
        <v>12.692748091603052</v>
      </c>
      <c r="P78" s="423">
        <v>772283</v>
      </c>
      <c r="Q78" s="423">
        <v>13939</v>
      </c>
      <c r="R78" s="423">
        <v>21940</v>
      </c>
    </row>
    <row r="79" spans="1:18">
      <c r="A79" s="422" t="s">
        <v>281</v>
      </c>
      <c r="B79" s="423">
        <v>2793.3</v>
      </c>
      <c r="C79" s="423">
        <v>1516.270015995347</v>
      </c>
      <c r="D79" s="423">
        <v>854.0950378071833</v>
      </c>
      <c r="E79" s="423">
        <v>212.73678566235276</v>
      </c>
      <c r="F79" s="423">
        <v>166.12762832630506</v>
      </c>
      <c r="G79" s="423">
        <v>44.070532208811976</v>
      </c>
      <c r="H79" s="423">
        <v>58.5</v>
      </c>
      <c r="I79" s="423">
        <v>8031.7</v>
      </c>
      <c r="J79" s="423">
        <v>7750.3492121074714</v>
      </c>
      <c r="K79" s="423">
        <v>257.47492095882302</v>
      </c>
      <c r="L79" s="423">
        <v>23.875866933706181</v>
      </c>
      <c r="M79" s="423">
        <v>208.1</v>
      </c>
      <c r="N79" s="423">
        <v>194.77908266129032</v>
      </c>
      <c r="O79" s="423">
        <v>13.320917338709675</v>
      </c>
      <c r="P79" s="423">
        <v>758078</v>
      </c>
      <c r="Q79" s="423">
        <v>12977</v>
      </c>
      <c r="R79" s="423">
        <v>20499</v>
      </c>
    </row>
    <row r="80" spans="1:18">
      <c r="A80" s="422" t="s">
        <v>282</v>
      </c>
      <c r="B80" s="423">
        <v>2560.3000000000002</v>
      </c>
      <c r="C80" s="423">
        <v>1358.7445459964242</v>
      </c>
      <c r="D80" s="423">
        <v>785.74197893900248</v>
      </c>
      <c r="E80" s="423">
        <v>196.15570832505466</v>
      </c>
      <c r="F80" s="423">
        <v>175.60412477647526</v>
      </c>
      <c r="G80" s="423">
        <v>44.053641963043908</v>
      </c>
      <c r="H80" s="423">
        <v>61.6</v>
      </c>
      <c r="I80" s="423">
        <v>8445</v>
      </c>
      <c r="J80" s="423">
        <v>8168.8045933060084</v>
      </c>
      <c r="K80" s="423">
        <v>249.95835673402078</v>
      </c>
      <c r="L80" s="423">
        <v>26.237049959969887</v>
      </c>
      <c r="M80" s="423">
        <v>220.7</v>
      </c>
      <c r="N80" s="423">
        <v>208.72156580211333</v>
      </c>
      <c r="O80" s="423">
        <v>11.978434197886648</v>
      </c>
      <c r="P80" s="423">
        <v>714995</v>
      </c>
      <c r="Q80" s="423">
        <v>13056</v>
      </c>
      <c r="R80" s="423">
        <v>19548</v>
      </c>
    </row>
    <row r="81" spans="1:18">
      <c r="A81" s="422" t="s">
        <v>283</v>
      </c>
      <c r="B81" s="423">
        <v>2725.1</v>
      </c>
      <c r="C81" s="423">
        <v>1392.2924385138667</v>
      </c>
      <c r="D81" s="423">
        <v>887.38398744113033</v>
      </c>
      <c r="E81" s="423">
        <v>200.3540293040293</v>
      </c>
      <c r="F81" s="423">
        <v>202.79861329147045</v>
      </c>
      <c r="G81" s="423">
        <v>42.270931449502882</v>
      </c>
      <c r="H81" s="423">
        <v>68</v>
      </c>
      <c r="I81" s="423">
        <v>8949.7000000000007</v>
      </c>
      <c r="J81" s="423">
        <v>8644.3612167944284</v>
      </c>
      <c r="K81" s="423">
        <v>281.08950856317102</v>
      </c>
      <c r="L81" s="423">
        <v>24.249274642401524</v>
      </c>
      <c r="M81" s="423">
        <v>280.10000000000002</v>
      </c>
      <c r="N81" s="423">
        <v>268.81659828422232</v>
      </c>
      <c r="O81" s="423">
        <v>11.283401715777696</v>
      </c>
      <c r="P81" s="423">
        <v>768776</v>
      </c>
      <c r="Q81" s="423">
        <v>13681</v>
      </c>
      <c r="R81" s="423">
        <v>20223</v>
      </c>
    </row>
    <row r="82" spans="1:18">
      <c r="A82" s="422" t="s">
        <v>284</v>
      </c>
      <c r="B82" s="423">
        <v>2342.9</v>
      </c>
      <c r="C82" s="423">
        <v>1152.174007487376</v>
      </c>
      <c r="D82" s="423">
        <v>766.24619972139999</v>
      </c>
      <c r="E82" s="423">
        <v>195.41164896395611</v>
      </c>
      <c r="F82" s="423">
        <v>188.68034999129375</v>
      </c>
      <c r="G82" s="423">
        <v>40.387793835974236</v>
      </c>
      <c r="H82" s="423">
        <v>61.7</v>
      </c>
      <c r="I82" s="423">
        <v>8107.8</v>
      </c>
      <c r="J82" s="423">
        <v>7843.6950453871923</v>
      </c>
      <c r="K82" s="423">
        <v>242.60099615236155</v>
      </c>
      <c r="L82" s="423">
        <v>21.503958460446526</v>
      </c>
      <c r="M82" s="423">
        <v>214</v>
      </c>
      <c r="N82" s="423">
        <v>204.36790606653619</v>
      </c>
      <c r="O82" s="423">
        <v>9.6320939334637963</v>
      </c>
      <c r="P82" s="423">
        <v>672182</v>
      </c>
      <c r="Q82" s="423">
        <v>11058</v>
      </c>
      <c r="R82" s="423">
        <v>17730</v>
      </c>
    </row>
    <row r="83" spans="1:18">
      <c r="A83" s="422" t="s">
        <v>285</v>
      </c>
      <c r="B83" s="423">
        <v>2528.1</v>
      </c>
      <c r="C83" s="423">
        <v>1251.1385118494893</v>
      </c>
      <c r="D83" s="423">
        <v>782.44638863094985</v>
      </c>
      <c r="E83" s="423">
        <v>229.95717630909604</v>
      </c>
      <c r="F83" s="423">
        <v>221.07733860874478</v>
      </c>
      <c r="G83" s="423">
        <v>43.48058460171989</v>
      </c>
      <c r="H83" s="423">
        <v>67.900000000000006</v>
      </c>
      <c r="I83" s="423">
        <v>8480.2999999999993</v>
      </c>
      <c r="J83" s="423">
        <v>8200.5200449887525</v>
      </c>
      <c r="K83" s="423">
        <v>258.48357315433049</v>
      </c>
      <c r="L83" s="423">
        <v>21.296381856916724</v>
      </c>
      <c r="M83" s="423">
        <v>209.5</v>
      </c>
      <c r="N83" s="423">
        <v>198.63783367556468</v>
      </c>
      <c r="O83" s="423">
        <v>10.862166324435316</v>
      </c>
      <c r="P83" s="423">
        <v>719859</v>
      </c>
      <c r="Q83" s="423">
        <v>11164</v>
      </c>
      <c r="R83" s="423">
        <v>19416</v>
      </c>
    </row>
    <row r="84" spans="1:18">
      <c r="A84" s="422" t="s">
        <v>286</v>
      </c>
      <c r="B84" s="423">
        <v>2690.3</v>
      </c>
      <c r="C84" s="423">
        <v>1312.5625217654631</v>
      </c>
      <c r="D84" s="423">
        <v>866.72508516920288</v>
      </c>
      <c r="E84" s="423">
        <v>241.452846544023</v>
      </c>
      <c r="F84" s="423">
        <v>229.02887046710578</v>
      </c>
      <c r="G84" s="423">
        <v>40.530676054205465</v>
      </c>
      <c r="H84" s="423">
        <v>74.599999999999994</v>
      </c>
      <c r="I84" s="423">
        <v>9249.9</v>
      </c>
      <c r="J84" s="423">
        <v>8945.3948488988462</v>
      </c>
      <c r="K84" s="423">
        <v>278.62423520410954</v>
      </c>
      <c r="L84" s="423">
        <v>25.880915897043554</v>
      </c>
      <c r="M84" s="423">
        <v>242.1</v>
      </c>
      <c r="N84" s="423">
        <v>230.8740157480315</v>
      </c>
      <c r="O84" s="423">
        <v>11.225984251968502</v>
      </c>
      <c r="P84" s="423">
        <v>722811</v>
      </c>
      <c r="Q84" s="423">
        <v>12259</v>
      </c>
      <c r="R84" s="423">
        <v>19910</v>
      </c>
    </row>
    <row r="85" spans="1:18">
      <c r="A85" s="422" t="s">
        <v>287</v>
      </c>
      <c r="B85" s="423">
        <v>2542.3000000000002</v>
      </c>
      <c r="C85" s="423">
        <v>1230.9482742013165</v>
      </c>
      <c r="D85" s="423">
        <v>820.6661944132286</v>
      </c>
      <c r="E85" s="423">
        <v>253.35250040134858</v>
      </c>
      <c r="F85" s="423">
        <v>195.8048523037406</v>
      </c>
      <c r="G85" s="423">
        <v>41.52817868036604</v>
      </c>
      <c r="H85" s="423">
        <v>67.900000000000006</v>
      </c>
      <c r="I85" s="423">
        <v>8972.7999999999993</v>
      </c>
      <c r="J85" s="423">
        <v>8675.6499465132256</v>
      </c>
      <c r="K85" s="423">
        <v>272.29493170583396</v>
      </c>
      <c r="L85" s="423">
        <v>24.855121780940689</v>
      </c>
      <c r="M85" s="423">
        <v>242</v>
      </c>
      <c r="N85" s="423">
        <v>229.69851007887817</v>
      </c>
      <c r="O85" s="423">
        <v>12.301489921121824</v>
      </c>
      <c r="P85" s="423">
        <v>619301</v>
      </c>
      <c r="Q85" s="423">
        <v>11443</v>
      </c>
      <c r="R85" s="423">
        <v>23125</v>
      </c>
    </row>
    <row r="86" spans="1:18">
      <c r="A86" s="422" t="s">
        <v>288</v>
      </c>
      <c r="B86" s="423">
        <v>2745.9</v>
      </c>
      <c r="C86" s="423">
        <v>1329.8190790939475</v>
      </c>
      <c r="D86" s="423">
        <v>927.05988860007437</v>
      </c>
      <c r="E86" s="423">
        <v>239.3103341997772</v>
      </c>
      <c r="F86" s="423">
        <v>200.97173783884145</v>
      </c>
      <c r="G86" s="423">
        <v>48.738960267359822</v>
      </c>
      <c r="H86" s="423">
        <v>62.5</v>
      </c>
      <c r="I86" s="423">
        <v>8969.7000000000007</v>
      </c>
      <c r="J86" s="423">
        <v>8682.9119560934432</v>
      </c>
      <c r="K86" s="423">
        <v>266.18777596397416</v>
      </c>
      <c r="L86" s="423">
        <v>20.600267942583731</v>
      </c>
      <c r="M86" s="423">
        <v>241.3</v>
      </c>
      <c r="N86" s="423">
        <v>228.40530004380201</v>
      </c>
      <c r="O86" s="423">
        <v>12.894699956197984</v>
      </c>
      <c r="P86" s="423">
        <v>730516</v>
      </c>
      <c r="Q86" s="423">
        <v>12135</v>
      </c>
      <c r="R86" s="423">
        <v>21740</v>
      </c>
    </row>
    <row r="87" spans="1:18">
      <c r="A87" s="422" t="s">
        <v>289</v>
      </c>
      <c r="B87" s="423">
        <v>2737.1</v>
      </c>
      <c r="C87" s="423">
        <v>1395.6217855283708</v>
      </c>
      <c r="D87" s="423">
        <v>862.02264445601236</v>
      </c>
      <c r="E87" s="423">
        <v>224.81794824124339</v>
      </c>
      <c r="F87" s="423">
        <v>200.69759797724396</v>
      </c>
      <c r="G87" s="423">
        <v>53.940023797129463</v>
      </c>
      <c r="H87" s="423">
        <v>67.3</v>
      </c>
      <c r="I87" s="423">
        <v>8999.2000000000007</v>
      </c>
      <c r="J87" s="423">
        <v>8699.0041495268288</v>
      </c>
      <c r="K87" s="423">
        <v>281.07960527794637</v>
      </c>
      <c r="L87" s="423">
        <v>19.11624519522557</v>
      </c>
      <c r="M87" s="423">
        <v>243.9</v>
      </c>
      <c r="N87" s="423">
        <v>230.47334200260079</v>
      </c>
      <c r="O87" s="423">
        <v>13.426657997399222</v>
      </c>
      <c r="P87" s="423">
        <v>754743</v>
      </c>
      <c r="Q87" s="423">
        <v>12720</v>
      </c>
      <c r="R87" s="423">
        <v>21664</v>
      </c>
    </row>
    <row r="88" spans="1:18">
      <c r="A88" s="422" t="s">
        <v>290</v>
      </c>
      <c r="B88" s="423">
        <v>2820.5</v>
      </c>
      <c r="C88" s="423">
        <v>1480.9962880207586</v>
      </c>
      <c r="D88" s="423">
        <v>862.88109052904701</v>
      </c>
      <c r="E88" s="423">
        <v>216.50803661525154</v>
      </c>
      <c r="F88" s="423">
        <v>203.29393109413289</v>
      </c>
      <c r="G88" s="423">
        <v>56.820653740810144</v>
      </c>
      <c r="H88" s="423">
        <v>72.7</v>
      </c>
      <c r="I88" s="423">
        <v>8721.9</v>
      </c>
      <c r="J88" s="423">
        <v>8418.9318268862498</v>
      </c>
      <c r="K88" s="423">
        <v>281.71080045959405</v>
      </c>
      <c r="L88" s="423">
        <v>21.2573726541555</v>
      </c>
      <c r="M88" s="423">
        <v>233</v>
      </c>
      <c r="N88" s="423">
        <v>219.28160657234139</v>
      </c>
      <c r="O88" s="423">
        <v>13.718393427658603</v>
      </c>
      <c r="P88" s="423">
        <v>770730</v>
      </c>
      <c r="Q88" s="423">
        <v>12894</v>
      </c>
      <c r="R88" s="423">
        <v>22628</v>
      </c>
    </row>
    <row r="89" spans="1:18">
      <c r="A89" s="422" t="s">
        <v>291</v>
      </c>
      <c r="B89" s="423">
        <v>2787.2</v>
      </c>
      <c r="C89" s="423">
        <v>1479.7512950347891</v>
      </c>
      <c r="D89" s="423">
        <v>855.11633091690646</v>
      </c>
      <c r="E89" s="423">
        <v>214.03291683363082</v>
      </c>
      <c r="F89" s="423">
        <v>188.85257367673307</v>
      </c>
      <c r="G89" s="423">
        <v>49.44688353794033</v>
      </c>
      <c r="H89" s="423">
        <v>68.8</v>
      </c>
      <c r="I89" s="423">
        <v>8095.8</v>
      </c>
      <c r="J89" s="423">
        <v>7802.4292271768045</v>
      </c>
      <c r="K89" s="423">
        <v>271.43367506212303</v>
      </c>
      <c r="L89" s="423">
        <v>21.937097761072888</v>
      </c>
      <c r="M89" s="423">
        <v>220.9</v>
      </c>
      <c r="N89" s="423">
        <v>207.02705314009663</v>
      </c>
      <c r="O89" s="423">
        <v>13.872946859903383</v>
      </c>
      <c r="P89" s="423">
        <v>741776</v>
      </c>
      <c r="Q89" s="423">
        <v>12524</v>
      </c>
      <c r="R89" s="423">
        <v>22033</v>
      </c>
    </row>
    <row r="90" spans="1:18">
      <c r="A90" s="422" t="s">
        <v>292</v>
      </c>
      <c r="B90" s="423">
        <v>2994.1</v>
      </c>
      <c r="C90" s="423">
        <v>1563.913867127887</v>
      </c>
      <c r="D90" s="423">
        <v>953.35588225319623</v>
      </c>
      <c r="E90" s="423">
        <v>243.79672737138398</v>
      </c>
      <c r="F90" s="423">
        <v>181.95907349001251</v>
      </c>
      <c r="G90" s="423">
        <v>51.074449757520256</v>
      </c>
      <c r="H90" s="423">
        <v>66.3</v>
      </c>
      <c r="I90" s="423">
        <v>8505.4</v>
      </c>
      <c r="J90" s="423">
        <v>8201.0762159400147</v>
      </c>
      <c r="K90" s="423">
        <v>284.61500362435089</v>
      </c>
      <c r="L90" s="423">
        <v>19.708780435635092</v>
      </c>
      <c r="M90" s="423">
        <v>231.6</v>
      </c>
      <c r="N90" s="423">
        <v>215.66760820045556</v>
      </c>
      <c r="O90" s="423">
        <v>15.932391799544419</v>
      </c>
      <c r="P90" s="423">
        <v>748857</v>
      </c>
      <c r="Q90" s="423">
        <v>12403</v>
      </c>
      <c r="R90" s="423">
        <v>21502</v>
      </c>
    </row>
    <row r="91" spans="1:18">
      <c r="A91" s="422" t="s">
        <v>293</v>
      </c>
      <c r="B91" s="423">
        <v>2836.1</v>
      </c>
      <c r="C91" s="423">
        <v>1496.5173632749543</v>
      </c>
      <c r="D91" s="423">
        <v>892.75036352566167</v>
      </c>
      <c r="E91" s="423">
        <v>230.37408402277856</v>
      </c>
      <c r="F91" s="423">
        <v>169.12383152465884</v>
      </c>
      <c r="G91" s="423">
        <v>47.334357651946561</v>
      </c>
      <c r="H91" s="423">
        <v>64.7</v>
      </c>
      <c r="I91" s="423">
        <v>7578.6</v>
      </c>
      <c r="J91" s="423">
        <v>7301.3193477796758</v>
      </c>
      <c r="K91" s="423">
        <v>257.66269214346715</v>
      </c>
      <c r="L91" s="423">
        <v>19.61796007685739</v>
      </c>
      <c r="M91" s="423">
        <v>188.7</v>
      </c>
      <c r="N91" s="423">
        <v>173.53084378563284</v>
      </c>
      <c r="O91" s="423">
        <v>15.16915621436716</v>
      </c>
      <c r="P91" s="423">
        <v>714721</v>
      </c>
      <c r="Q91" s="423">
        <v>11591</v>
      </c>
      <c r="R91" s="423">
        <v>20430</v>
      </c>
    </row>
    <row r="92" spans="1:18">
      <c r="A92" s="422" t="s">
        <v>294</v>
      </c>
      <c r="B92" s="423">
        <v>2697.7</v>
      </c>
      <c r="C92" s="423">
        <v>1388.4981383780525</v>
      </c>
      <c r="D92" s="423">
        <v>849.69010400964714</v>
      </c>
      <c r="E92" s="423">
        <v>229.85754069942715</v>
      </c>
      <c r="F92" s="423">
        <v>181.66980328610185</v>
      </c>
      <c r="G92" s="423">
        <v>47.984413626771179</v>
      </c>
      <c r="H92" s="423">
        <v>70.7</v>
      </c>
      <c r="I92" s="423">
        <v>8653.2000000000007</v>
      </c>
      <c r="J92" s="423">
        <v>8345.2285424132424</v>
      </c>
      <c r="K92" s="423">
        <v>285.34580770173579</v>
      </c>
      <c r="L92" s="423">
        <v>22.62564988502259</v>
      </c>
      <c r="M92" s="423">
        <v>256.2</v>
      </c>
      <c r="N92" s="423">
        <v>241.79345362987829</v>
      </c>
      <c r="O92" s="423">
        <v>14.406546370121694</v>
      </c>
      <c r="P92" s="423">
        <v>727563</v>
      </c>
      <c r="Q92" s="423">
        <v>12076</v>
      </c>
      <c r="R92" s="423">
        <v>20673</v>
      </c>
    </row>
    <row r="93" spans="1:18">
      <c r="A93" s="422" t="s">
        <v>295</v>
      </c>
      <c r="B93" s="423">
        <v>2869.3</v>
      </c>
      <c r="C93" s="423">
        <v>1408.3303502359745</v>
      </c>
      <c r="D93" s="423">
        <v>967.25985593130133</v>
      </c>
      <c r="E93" s="423">
        <v>227.56060821120616</v>
      </c>
      <c r="F93" s="423">
        <v>220.43343032539656</v>
      </c>
      <c r="G93" s="423">
        <v>45.715755296121507</v>
      </c>
      <c r="H93" s="423">
        <v>76.400000000000006</v>
      </c>
      <c r="I93" s="423">
        <v>9038.5</v>
      </c>
      <c r="J93" s="423">
        <v>8707.956305359221</v>
      </c>
      <c r="K93" s="423">
        <v>305.57602107005459</v>
      </c>
      <c r="L93" s="423">
        <v>24.967673570725598</v>
      </c>
      <c r="M93" s="423">
        <v>307.10000000000002</v>
      </c>
      <c r="N93" s="423">
        <v>294.69928741092639</v>
      </c>
      <c r="O93" s="423">
        <v>12.400712589073636</v>
      </c>
      <c r="P93" s="423">
        <v>765029</v>
      </c>
      <c r="Q93" s="423">
        <v>12187</v>
      </c>
      <c r="R93" s="423">
        <v>22008</v>
      </c>
    </row>
    <row r="94" spans="1:18">
      <c r="A94" s="422" t="s">
        <v>296</v>
      </c>
      <c r="B94" s="423">
        <v>2429.1999999999998</v>
      </c>
      <c r="C94" s="423">
        <v>1145.5776219076822</v>
      </c>
      <c r="D94" s="423">
        <v>845.20529211642634</v>
      </c>
      <c r="E94" s="423">
        <v>192.83413835104369</v>
      </c>
      <c r="F94" s="423">
        <v>209.87292200428405</v>
      </c>
      <c r="G94" s="423">
        <v>35.710025620563641</v>
      </c>
      <c r="H94" s="423">
        <v>71.5</v>
      </c>
      <c r="I94" s="423">
        <v>7887.4</v>
      </c>
      <c r="J94" s="423">
        <v>7607.5587468768017</v>
      </c>
      <c r="K94" s="423">
        <v>258.71925171375489</v>
      </c>
      <c r="L94" s="423">
        <v>21.122001409443268</v>
      </c>
      <c r="M94" s="423">
        <v>212.5</v>
      </c>
      <c r="N94" s="423">
        <v>201.93370165745856</v>
      </c>
      <c r="O94" s="423">
        <v>10.566298342541439</v>
      </c>
      <c r="P94" s="423">
        <v>646358</v>
      </c>
      <c r="Q94" s="423">
        <v>9755</v>
      </c>
      <c r="R94" s="423">
        <v>18442</v>
      </c>
    </row>
    <row r="95" spans="1:18">
      <c r="A95" s="422" t="s">
        <v>297</v>
      </c>
      <c r="B95" s="423">
        <v>2578.6</v>
      </c>
      <c r="C95" s="423">
        <v>1246.8438296524973</v>
      </c>
      <c r="D95" s="423">
        <v>826.56856645294056</v>
      </c>
      <c r="E95" s="423">
        <v>240.85712024063957</v>
      </c>
      <c r="F95" s="423">
        <v>223.50724293516976</v>
      </c>
      <c r="G95" s="423">
        <v>40.823240718752473</v>
      </c>
      <c r="H95" s="423">
        <v>79</v>
      </c>
      <c r="I95" s="423">
        <v>8791</v>
      </c>
      <c r="J95" s="423">
        <v>8507.7810191302342</v>
      </c>
      <c r="K95" s="423">
        <v>262.61389096340554</v>
      </c>
      <c r="L95" s="423">
        <v>20.60508990635951</v>
      </c>
      <c r="M95" s="423">
        <v>220</v>
      </c>
      <c r="N95" s="423">
        <v>209.38223938223939</v>
      </c>
      <c r="O95" s="423">
        <v>10.617760617760618</v>
      </c>
      <c r="P95" s="423">
        <v>720976</v>
      </c>
      <c r="Q95" s="423">
        <v>11325</v>
      </c>
      <c r="R95" s="423">
        <v>20153</v>
      </c>
    </row>
    <row r="96" spans="1:18">
      <c r="A96" s="422" t="s">
        <v>298</v>
      </c>
      <c r="B96" s="423">
        <v>2675.3</v>
      </c>
      <c r="C96" s="423">
        <v>1278.4502247105422</v>
      </c>
      <c r="D96" s="423">
        <v>814.63374085923238</v>
      </c>
      <c r="E96" s="423">
        <v>283.97551416819016</v>
      </c>
      <c r="F96" s="423">
        <v>249.0262492382694</v>
      </c>
      <c r="G96" s="423">
        <v>49.214271023766003</v>
      </c>
      <c r="H96" s="423">
        <v>97.4</v>
      </c>
      <c r="I96" s="423">
        <v>9361</v>
      </c>
      <c r="J96" s="423">
        <v>9056.9177202878818</v>
      </c>
      <c r="K96" s="423">
        <v>284.05290799455366</v>
      </c>
      <c r="L96" s="423">
        <v>20.029371717564679</v>
      </c>
      <c r="M96" s="423">
        <v>261.89999999999998</v>
      </c>
      <c r="N96" s="423">
        <v>249.6517283448556</v>
      </c>
      <c r="O96" s="423">
        <v>12.248271655144366</v>
      </c>
      <c r="P96" s="423">
        <v>715407</v>
      </c>
      <c r="Q96" s="423">
        <v>11429</v>
      </c>
      <c r="R96" s="423">
        <v>20751</v>
      </c>
    </row>
    <row r="97" spans="1:18">
      <c r="A97" s="422" t="s">
        <v>299</v>
      </c>
      <c r="B97" s="423">
        <v>2433.5</v>
      </c>
      <c r="C97" s="423">
        <v>1121.2246753246754</v>
      </c>
      <c r="D97" s="423">
        <v>750.43961038961038</v>
      </c>
      <c r="E97" s="423">
        <v>273.42467532467532</v>
      </c>
      <c r="F97" s="423">
        <v>235.60194805194803</v>
      </c>
      <c r="G97" s="423">
        <v>52.809090909090905</v>
      </c>
      <c r="H97" s="423">
        <v>78.099999999999994</v>
      </c>
      <c r="I97" s="423">
        <v>8597.4</v>
      </c>
      <c r="J97" s="423">
        <v>8331.5770964366748</v>
      </c>
      <c r="K97" s="423">
        <v>247.32648099599109</v>
      </c>
      <c r="L97" s="423">
        <v>18.496422567334029</v>
      </c>
      <c r="M97" s="423">
        <v>236.1</v>
      </c>
      <c r="N97" s="423">
        <v>224.12544883303411</v>
      </c>
      <c r="O97" s="423">
        <v>11.974551166965888</v>
      </c>
      <c r="P97" s="423">
        <v>626674</v>
      </c>
      <c r="Q97" s="423">
        <v>9387</v>
      </c>
      <c r="R97" s="423">
        <v>22661</v>
      </c>
    </row>
    <row r="98" spans="1:18">
      <c r="A98" s="422" t="s">
        <v>300</v>
      </c>
      <c r="B98" s="423">
        <v>3009.5</v>
      </c>
      <c r="C98" s="423">
        <v>1392.6529527292428</v>
      </c>
      <c r="D98" s="423">
        <v>976.16146891507526</v>
      </c>
      <c r="E98" s="423">
        <v>297.97433292699446</v>
      </c>
      <c r="F98" s="423">
        <v>281.1597758363809</v>
      </c>
      <c r="G98" s="423">
        <v>61.551469592306653</v>
      </c>
      <c r="H98" s="423">
        <v>87.2</v>
      </c>
      <c r="I98" s="423">
        <v>9649.2000000000007</v>
      </c>
      <c r="J98" s="423">
        <v>9338.2908793798779</v>
      </c>
      <c r="K98" s="423">
        <v>289.27890221547165</v>
      </c>
      <c r="L98" s="423">
        <v>21.630218404650918</v>
      </c>
      <c r="M98" s="423">
        <v>265.10000000000002</v>
      </c>
      <c r="N98" s="423">
        <v>249.98464912280704</v>
      </c>
      <c r="O98" s="423">
        <v>15.115350877192984</v>
      </c>
      <c r="P98" s="423">
        <v>781906</v>
      </c>
      <c r="Q98" s="423">
        <v>12310</v>
      </c>
      <c r="R98" s="423">
        <v>25389</v>
      </c>
    </row>
    <row r="99" spans="1:18">
      <c r="A99" s="422" t="s">
        <v>301</v>
      </c>
      <c r="B99" s="423">
        <v>3128.9</v>
      </c>
      <c r="C99" s="423">
        <v>1517.5901152036345</v>
      </c>
      <c r="D99" s="423">
        <v>1029.5974687652117</v>
      </c>
      <c r="E99" s="423">
        <v>272.02086970631188</v>
      </c>
      <c r="F99" s="423">
        <v>252.01784196008438</v>
      </c>
      <c r="G99" s="423">
        <v>57.673704364757427</v>
      </c>
      <c r="H99" s="423">
        <v>82.3</v>
      </c>
      <c r="I99" s="423">
        <v>8573.2999999999993</v>
      </c>
      <c r="J99" s="423">
        <v>8268.3945950415164</v>
      </c>
      <c r="K99" s="423">
        <v>282.82988908968503</v>
      </c>
      <c r="L99" s="423">
        <v>22.075515868797467</v>
      </c>
      <c r="M99" s="423">
        <v>257.2</v>
      </c>
      <c r="N99" s="423">
        <v>242.65563409563407</v>
      </c>
      <c r="O99" s="423">
        <v>14.544365904365904</v>
      </c>
      <c r="P99" s="423">
        <v>729180</v>
      </c>
      <c r="Q99" s="423">
        <v>11035</v>
      </c>
      <c r="R99" s="423">
        <v>22470</v>
      </c>
    </row>
    <row r="100" spans="1:18">
      <c r="A100" s="422" t="s">
        <v>302</v>
      </c>
      <c r="B100" s="423">
        <v>3138.8</v>
      </c>
      <c r="C100" s="423">
        <v>1592.2287432117921</v>
      </c>
      <c r="D100" s="423">
        <v>989.75284458236376</v>
      </c>
      <c r="E100" s="423">
        <v>273.43761313679857</v>
      </c>
      <c r="F100" s="423">
        <v>227.67866563227312</v>
      </c>
      <c r="G100" s="423">
        <v>55.702133436772698</v>
      </c>
      <c r="H100" s="423">
        <v>79.599999999999994</v>
      </c>
      <c r="I100" s="423">
        <v>8057.9</v>
      </c>
      <c r="J100" s="423">
        <v>7771.598229131293</v>
      </c>
      <c r="K100" s="423">
        <v>267.14742230439327</v>
      </c>
      <c r="L100" s="423">
        <v>19.154348564313473</v>
      </c>
      <c r="M100" s="423">
        <v>241.6</v>
      </c>
      <c r="N100" s="423">
        <v>227.90434012400354</v>
      </c>
      <c r="O100" s="423">
        <v>13.695659875996455</v>
      </c>
      <c r="P100" s="423">
        <v>723786</v>
      </c>
      <c r="Q100" s="423">
        <v>11685</v>
      </c>
      <c r="R100" s="423">
        <v>22358</v>
      </c>
    </row>
    <row r="101" spans="1:18">
      <c r="A101" s="422" t="s">
        <v>303</v>
      </c>
      <c r="B101" s="423">
        <v>3290.2</v>
      </c>
      <c r="C101" s="423">
        <v>1689.7649542358777</v>
      </c>
      <c r="D101" s="423">
        <v>1051.375506178927</v>
      </c>
      <c r="E101" s="423">
        <v>266.67157693611512</v>
      </c>
      <c r="F101" s="423">
        <v>228.24247896699433</v>
      </c>
      <c r="G101" s="423">
        <v>54.145483682085725</v>
      </c>
      <c r="H101" s="423">
        <v>84.9</v>
      </c>
      <c r="I101" s="423">
        <v>8116.1</v>
      </c>
      <c r="J101" s="423">
        <v>7806.078398391649</v>
      </c>
      <c r="K101" s="423">
        <v>289.65078045003872</v>
      </c>
      <c r="L101" s="423">
        <v>20.370821158312729</v>
      </c>
      <c r="M101" s="423">
        <v>239.8</v>
      </c>
      <c r="N101" s="423">
        <v>225.09226666666666</v>
      </c>
      <c r="O101" s="423">
        <v>14.707733333333337</v>
      </c>
      <c r="P101" s="423">
        <v>762876</v>
      </c>
      <c r="Q101" s="423">
        <v>12803</v>
      </c>
      <c r="R101" s="423">
        <v>23681</v>
      </c>
    </row>
    <row r="102" spans="1:18">
      <c r="A102" s="422" t="s">
        <v>139</v>
      </c>
      <c r="B102" s="423">
        <v>3252.6</v>
      </c>
      <c r="C102" s="423">
        <v>1700.4116700953803</v>
      </c>
      <c r="D102" s="423">
        <v>1025.0931550402095</v>
      </c>
      <c r="E102" s="423">
        <v>263.90243126987093</v>
      </c>
      <c r="F102" s="423">
        <v>209.66201608378529</v>
      </c>
      <c r="G102" s="423">
        <v>53.530727510753685</v>
      </c>
      <c r="H102" s="423">
        <v>74</v>
      </c>
      <c r="I102" s="423">
        <v>7764.2</v>
      </c>
      <c r="J102" s="423">
        <v>7465.3743294019414</v>
      </c>
      <c r="K102" s="423">
        <v>277.75592839995824</v>
      </c>
      <c r="L102" s="423">
        <v>21.069742198100407</v>
      </c>
      <c r="M102" s="423">
        <v>229.4</v>
      </c>
      <c r="N102" s="423">
        <v>217.08607126330404</v>
      </c>
      <c r="O102" s="423">
        <v>12.313928736695974</v>
      </c>
      <c r="P102" s="423">
        <v>714604</v>
      </c>
      <c r="Q102" s="423">
        <v>12744</v>
      </c>
      <c r="R102" s="423">
        <v>22270</v>
      </c>
    </row>
    <row r="103" spans="1:18">
      <c r="A103" s="422" t="s">
        <v>140</v>
      </c>
      <c r="B103" s="423">
        <v>3247.6</v>
      </c>
      <c r="C103" s="423">
        <v>1688.5775014838648</v>
      </c>
      <c r="D103" s="423">
        <v>1011.2797725781763</v>
      </c>
      <c r="E103" s="423">
        <v>267.02331073693421</v>
      </c>
      <c r="F103" s="423">
        <v>224.81901846240356</v>
      </c>
      <c r="G103" s="423">
        <v>55.900396738621104</v>
      </c>
      <c r="H103" s="423">
        <v>76.400000000000006</v>
      </c>
      <c r="I103" s="423">
        <v>7815.8</v>
      </c>
      <c r="J103" s="423">
        <v>7522.4200464025098</v>
      </c>
      <c r="K103" s="423">
        <v>272.51107568275199</v>
      </c>
      <c r="L103" s="423">
        <v>20.868877914738629</v>
      </c>
      <c r="M103" s="423">
        <v>222.2</v>
      </c>
      <c r="N103" s="423">
        <v>210.18056486357108</v>
      </c>
      <c r="O103" s="423">
        <v>12.019435136428914</v>
      </c>
      <c r="P103" s="423">
        <v>727278</v>
      </c>
      <c r="Q103" s="423">
        <v>13093</v>
      </c>
      <c r="R103" s="423">
        <v>22601</v>
      </c>
    </row>
    <row r="104" spans="1:18">
      <c r="A104" s="422" t="s">
        <v>141</v>
      </c>
      <c r="B104" s="423">
        <v>2966.1</v>
      </c>
      <c r="C104" s="423">
        <v>1521.6816835755417</v>
      </c>
      <c r="D104" s="423">
        <v>891.5785919934192</v>
      </c>
      <c r="E104" s="423">
        <v>257.40900740334519</v>
      </c>
      <c r="F104" s="423">
        <v>243.3796065259117</v>
      </c>
      <c r="G104" s="423">
        <v>52.05111050178229</v>
      </c>
      <c r="H104" s="423">
        <v>79.099999999999994</v>
      </c>
      <c r="I104" s="423">
        <v>8341.9</v>
      </c>
      <c r="J104" s="423">
        <v>8052.6909101944693</v>
      </c>
      <c r="K104" s="423">
        <v>268.24750661584403</v>
      </c>
      <c r="L104" s="423">
        <v>20.961583189686568</v>
      </c>
      <c r="M104" s="423">
        <v>297.3</v>
      </c>
      <c r="N104" s="423">
        <v>284.4340128755365</v>
      </c>
      <c r="O104" s="423">
        <v>12.865987124463517</v>
      </c>
      <c r="P104" s="423">
        <v>712877</v>
      </c>
      <c r="Q104" s="423">
        <v>13936</v>
      </c>
      <c r="R104" s="423">
        <v>22086</v>
      </c>
    </row>
    <row r="105" spans="1:18">
      <c r="A105" s="422" t="s">
        <v>142</v>
      </c>
      <c r="B105" s="423">
        <v>2773.9</v>
      </c>
      <c r="C105" s="423">
        <v>1332.0217911543402</v>
      </c>
      <c r="D105" s="423">
        <v>889.74535144063134</v>
      </c>
      <c r="E105" s="423">
        <v>248.72959075059649</v>
      </c>
      <c r="F105" s="423">
        <v>254.02387594053957</v>
      </c>
      <c r="G105" s="423">
        <v>49.379390713892462</v>
      </c>
      <c r="H105" s="423">
        <v>85</v>
      </c>
      <c r="I105" s="423">
        <v>8168.3</v>
      </c>
      <c r="J105" s="423">
        <v>7876.4412259719657</v>
      </c>
      <c r="K105" s="423">
        <v>271.00448771177514</v>
      </c>
      <c r="L105" s="423">
        <v>20.854286316259127</v>
      </c>
      <c r="M105" s="423">
        <v>262.7</v>
      </c>
      <c r="N105" s="423">
        <v>252.4676470588235</v>
      </c>
      <c r="O105" s="423">
        <v>10.232352941176472</v>
      </c>
      <c r="P105" s="423">
        <v>683185</v>
      </c>
      <c r="Q105" s="423">
        <v>12559</v>
      </c>
      <c r="R105" s="423">
        <v>21651</v>
      </c>
    </row>
    <row r="106" spans="1:18">
      <c r="A106" s="422" t="s">
        <v>143</v>
      </c>
      <c r="B106" s="423">
        <v>2569.1999999999998</v>
      </c>
      <c r="C106" s="423">
        <v>1217.2363939502202</v>
      </c>
      <c r="D106" s="423">
        <v>848.54686197451474</v>
      </c>
      <c r="E106" s="423">
        <v>227.94498035012506</v>
      </c>
      <c r="F106" s="423">
        <v>230.49470048826964</v>
      </c>
      <c r="G106" s="423">
        <v>44.977063236870315</v>
      </c>
      <c r="H106" s="423">
        <v>83.1</v>
      </c>
      <c r="I106" s="423">
        <v>7686.1</v>
      </c>
      <c r="J106" s="423">
        <v>7434.158167703501</v>
      </c>
      <c r="K106" s="423">
        <v>233.40328975115989</v>
      </c>
      <c r="L106" s="423">
        <v>18.538542545339521</v>
      </c>
      <c r="M106" s="423">
        <v>226.3</v>
      </c>
      <c r="N106" s="423">
        <v>214.60962085308057</v>
      </c>
      <c r="O106" s="423">
        <v>11.690379146919433</v>
      </c>
      <c r="P106" s="423">
        <v>633914</v>
      </c>
      <c r="Q106" s="423">
        <v>12226</v>
      </c>
      <c r="R106" s="423">
        <v>20202</v>
      </c>
    </row>
    <row r="107" spans="1:18">
      <c r="A107" s="422" t="s">
        <v>144</v>
      </c>
      <c r="B107" s="423">
        <v>3007.9</v>
      </c>
      <c r="C107" s="423">
        <v>1412.1897803538743</v>
      </c>
      <c r="D107" s="423">
        <v>986.42236119585118</v>
      </c>
      <c r="E107" s="423">
        <v>284.25276930377601</v>
      </c>
      <c r="F107" s="423">
        <v>272.83371974781375</v>
      </c>
      <c r="G107" s="423">
        <v>52.201369398684839</v>
      </c>
      <c r="H107" s="423">
        <v>93.6</v>
      </c>
      <c r="I107" s="423">
        <v>8799.4</v>
      </c>
      <c r="J107" s="423">
        <v>8507.2642524358962</v>
      </c>
      <c r="K107" s="423">
        <v>271.99194515064016</v>
      </c>
      <c r="L107" s="423">
        <v>20.14380241346386</v>
      </c>
      <c r="M107" s="423">
        <v>239.2</v>
      </c>
      <c r="N107" s="423">
        <v>228.56654929577465</v>
      </c>
      <c r="O107" s="423">
        <v>10.633450704225352</v>
      </c>
      <c r="P107" s="423">
        <v>725178</v>
      </c>
      <c r="Q107" s="423">
        <v>14362</v>
      </c>
      <c r="R107" s="423">
        <v>21661</v>
      </c>
    </row>
    <row r="108" spans="1:18">
      <c r="A108" s="422" t="s">
        <v>145</v>
      </c>
      <c r="B108" s="423">
        <v>2771.8</v>
      </c>
      <c r="C108" s="423">
        <v>1316.3705164042963</v>
      </c>
      <c r="D108" s="423">
        <v>906.43202148006469</v>
      </c>
      <c r="E108" s="423">
        <v>267.31129910254521</v>
      </c>
      <c r="F108" s="423">
        <v>238.96936883919375</v>
      </c>
      <c r="G108" s="423">
        <v>42.716794173900247</v>
      </c>
      <c r="H108" s="423">
        <v>98.2</v>
      </c>
      <c r="I108" s="423">
        <v>8657.4</v>
      </c>
      <c r="J108" s="423">
        <v>8372.9488030372268</v>
      </c>
      <c r="K108" s="423">
        <v>263.45212500439413</v>
      </c>
      <c r="L108" s="423">
        <v>20.999071958378739</v>
      </c>
      <c r="M108" s="423">
        <v>278.7</v>
      </c>
      <c r="N108" s="423">
        <v>264.35592832634387</v>
      </c>
      <c r="O108" s="423">
        <v>14.344071673656117</v>
      </c>
      <c r="P108" s="423">
        <v>662504</v>
      </c>
      <c r="Q108" s="423">
        <v>13130</v>
      </c>
      <c r="R108" s="423">
        <v>21556</v>
      </c>
    </row>
    <row r="109" spans="1:18">
      <c r="A109" s="422" t="s">
        <v>146</v>
      </c>
      <c r="B109" s="423">
        <v>2861.1</v>
      </c>
      <c r="C109" s="423">
        <v>1336.1430593087755</v>
      </c>
      <c r="D109" s="423">
        <v>961.16031858910526</v>
      </c>
      <c r="E109" s="423">
        <v>281.49138458256289</v>
      </c>
      <c r="F109" s="423">
        <v>235.20349879106811</v>
      </c>
      <c r="G109" s="423">
        <v>47.101738728488115</v>
      </c>
      <c r="H109" s="423">
        <v>90.8</v>
      </c>
      <c r="I109" s="423">
        <v>8654.2000000000007</v>
      </c>
      <c r="J109" s="423">
        <v>8370.3096796836617</v>
      </c>
      <c r="K109" s="423">
        <v>261.3127377804816</v>
      </c>
      <c r="L109" s="423">
        <v>22.577582535857186</v>
      </c>
      <c r="M109" s="423">
        <v>271.10000000000002</v>
      </c>
      <c r="N109" s="423">
        <v>257.72545027407989</v>
      </c>
      <c r="O109" s="423">
        <v>13.374549725920128</v>
      </c>
      <c r="P109" s="423">
        <v>647424</v>
      </c>
      <c r="Q109" s="423">
        <v>11824</v>
      </c>
      <c r="R109" s="423">
        <v>24028</v>
      </c>
    </row>
    <row r="110" spans="1:18">
      <c r="A110" s="422" t="s">
        <v>147</v>
      </c>
      <c r="B110" s="423">
        <v>3266.6</v>
      </c>
      <c r="C110" s="423">
        <v>1579.9981218020714</v>
      </c>
      <c r="D110" s="423">
        <v>1082.9555597154624</v>
      </c>
      <c r="E110" s="423">
        <v>301.87411705977786</v>
      </c>
      <c r="F110" s="423">
        <v>247.85882940222137</v>
      </c>
      <c r="G110" s="423">
        <v>53.913372020466745</v>
      </c>
      <c r="H110" s="423">
        <v>100.9</v>
      </c>
      <c r="I110" s="423">
        <v>9403.6</v>
      </c>
      <c r="J110" s="423">
        <v>9083.1413866338935</v>
      </c>
      <c r="K110" s="423">
        <v>297.44560949577925</v>
      </c>
      <c r="L110" s="423">
        <v>23.013003870327843</v>
      </c>
      <c r="M110" s="423">
        <v>300.60000000000002</v>
      </c>
      <c r="N110" s="423">
        <v>285.86678420310301</v>
      </c>
      <c r="O110" s="423">
        <v>14.733215796897039</v>
      </c>
      <c r="P110" s="423">
        <v>773084</v>
      </c>
      <c r="Q110" s="423">
        <v>15373</v>
      </c>
      <c r="R110" s="423">
        <v>25050</v>
      </c>
    </row>
    <row r="111" spans="1:18">
      <c r="A111" s="422" t="s">
        <v>148</v>
      </c>
      <c r="B111" s="423">
        <v>2866.7</v>
      </c>
      <c r="C111" s="423">
        <v>1445.4651111584631</v>
      </c>
      <c r="D111" s="423">
        <v>903.33933873144383</v>
      </c>
      <c r="E111" s="423">
        <v>245.66187584345477</v>
      </c>
      <c r="F111" s="423">
        <v>220.71899992897221</v>
      </c>
      <c r="G111" s="423">
        <v>51.514674337666023</v>
      </c>
      <c r="H111" s="423">
        <v>88.9</v>
      </c>
      <c r="I111" s="423">
        <v>8505.5</v>
      </c>
      <c r="J111" s="423">
        <v>8220.1132197001316</v>
      </c>
      <c r="K111" s="423">
        <v>266.31365029760127</v>
      </c>
      <c r="L111" s="423">
        <v>19.0731300022663</v>
      </c>
      <c r="M111" s="423">
        <v>276.3</v>
      </c>
      <c r="N111" s="423">
        <v>262.63446676970636</v>
      </c>
      <c r="O111" s="423">
        <v>13.665533230293665</v>
      </c>
      <c r="P111" s="423">
        <v>686869</v>
      </c>
      <c r="Q111" s="423">
        <v>13843</v>
      </c>
      <c r="R111" s="423">
        <v>21788</v>
      </c>
    </row>
    <row r="112" spans="1:18">
      <c r="A112" s="422" t="s">
        <v>149</v>
      </c>
      <c r="B112" s="423">
        <v>3212.8</v>
      </c>
      <c r="C112" s="423">
        <v>1691.7760283284333</v>
      </c>
      <c r="D112" s="423">
        <v>980.22447753643803</v>
      </c>
      <c r="E112" s="423">
        <v>260.85144645736511</v>
      </c>
      <c r="F112" s="423">
        <v>224.08033134149039</v>
      </c>
      <c r="G112" s="423">
        <v>55.867716336273674</v>
      </c>
      <c r="H112" s="423">
        <v>96.1</v>
      </c>
      <c r="I112" s="423">
        <v>8545.7999999999993</v>
      </c>
      <c r="J112" s="423">
        <v>8216.5340700559063</v>
      </c>
      <c r="K112" s="423">
        <v>304.92094436597148</v>
      </c>
      <c r="L112" s="423">
        <v>24.344985578121474</v>
      </c>
      <c r="M112" s="423">
        <v>265.10000000000002</v>
      </c>
      <c r="N112" s="423">
        <v>251.75351197726351</v>
      </c>
      <c r="O112" s="423">
        <v>13.3464880227365</v>
      </c>
      <c r="P112" s="423">
        <v>758120</v>
      </c>
      <c r="Q112" s="423">
        <v>14715</v>
      </c>
      <c r="R112" s="423">
        <v>23843</v>
      </c>
    </row>
    <row r="113" spans="1:18">
      <c r="A113" s="422" t="s">
        <v>150</v>
      </c>
      <c r="B113" s="423">
        <v>3187.7</v>
      </c>
      <c r="C113" s="423">
        <v>1682.2083139627446</v>
      </c>
      <c r="D113" s="423">
        <v>976.35683171469509</v>
      </c>
      <c r="E113" s="423">
        <v>261.57309027224966</v>
      </c>
      <c r="F113" s="423">
        <v>216.70878840948893</v>
      </c>
      <c r="G113" s="423">
        <v>50.852975640821526</v>
      </c>
      <c r="H113" s="423">
        <v>95.8</v>
      </c>
      <c r="I113" s="423">
        <v>8068.3</v>
      </c>
      <c r="J113" s="423">
        <v>7751.7410018599503</v>
      </c>
      <c r="K113" s="423">
        <v>291.61552807520235</v>
      </c>
      <c r="L113" s="423">
        <v>24.943470064846931</v>
      </c>
      <c r="M113" s="423">
        <v>259</v>
      </c>
      <c r="N113" s="423">
        <v>245.125</v>
      </c>
      <c r="O113" s="423">
        <v>13.875</v>
      </c>
      <c r="P113" s="423">
        <v>755730</v>
      </c>
      <c r="Q113" s="423">
        <v>14645</v>
      </c>
      <c r="R113" s="423">
        <v>23395</v>
      </c>
    </row>
    <row r="114" spans="1:18">
      <c r="A114" s="422" t="s">
        <v>151</v>
      </c>
      <c r="B114" s="423">
        <v>3062.2</v>
      </c>
      <c r="C114" s="423">
        <v>1620.7766117537867</v>
      </c>
      <c r="D114" s="423">
        <v>942.543312671948</v>
      </c>
      <c r="E114" s="423">
        <v>253.55085021048097</v>
      </c>
      <c r="F114" s="423">
        <v>191.83791308959528</v>
      </c>
      <c r="G114" s="423">
        <v>53.491312274188736</v>
      </c>
      <c r="H114" s="423">
        <v>76.099999999999994</v>
      </c>
      <c r="I114" s="423">
        <v>7531.2</v>
      </c>
      <c r="J114" s="423">
        <v>7246.2822787878786</v>
      </c>
      <c r="K114" s="423">
        <v>263.110206060606</v>
      </c>
      <c r="L114" s="423">
        <v>21.807515151515151</v>
      </c>
      <c r="M114" s="423">
        <v>230.6</v>
      </c>
      <c r="N114" s="423">
        <v>218.08599257884973</v>
      </c>
      <c r="O114" s="423">
        <v>12.514007421150279</v>
      </c>
      <c r="P114" s="423">
        <v>685229</v>
      </c>
      <c r="Q114" s="423">
        <v>13305</v>
      </c>
      <c r="R114" s="423">
        <v>21480</v>
      </c>
    </row>
    <row r="115" spans="1:18">
      <c r="A115" s="422" t="s">
        <v>152</v>
      </c>
      <c r="B115" s="423">
        <v>3146.6</v>
      </c>
      <c r="C115" s="423">
        <v>1640.0836114787437</v>
      </c>
      <c r="D115" s="423">
        <v>987.78801768940241</v>
      </c>
      <c r="E115" s="423">
        <v>259.51654346492785</v>
      </c>
      <c r="F115" s="423">
        <v>205.27707802059456</v>
      </c>
      <c r="G115" s="423">
        <v>53.93474934633138</v>
      </c>
      <c r="H115" s="423">
        <v>78</v>
      </c>
      <c r="I115" s="423">
        <v>8323.1</v>
      </c>
      <c r="J115" s="423">
        <v>8024.3267272860066</v>
      </c>
      <c r="K115" s="423">
        <v>274.45805214723924</v>
      </c>
      <c r="L115" s="423">
        <v>24.315220566754306</v>
      </c>
      <c r="M115" s="423">
        <v>285.7</v>
      </c>
      <c r="N115" s="423">
        <v>270.7362888140666</v>
      </c>
      <c r="O115" s="423">
        <v>14.963711185933407</v>
      </c>
      <c r="P115" s="423">
        <v>762101</v>
      </c>
      <c r="Q115" s="423">
        <v>14505</v>
      </c>
      <c r="R115" s="423">
        <v>23611</v>
      </c>
    </row>
    <row r="116" spans="1:18">
      <c r="A116" s="422" t="s">
        <v>153</v>
      </c>
      <c r="B116" s="423">
        <v>2948.7</v>
      </c>
      <c r="C116" s="423">
        <v>1477.1470490841984</v>
      </c>
      <c r="D116" s="423">
        <v>964.01568072850182</v>
      </c>
      <c r="E116" s="423">
        <v>243.80096926632399</v>
      </c>
      <c r="F116" s="423">
        <v>210.94835638646475</v>
      </c>
      <c r="G116" s="423">
        <v>52.787944534510707</v>
      </c>
      <c r="H116" s="423">
        <v>82.1</v>
      </c>
      <c r="I116" s="423">
        <v>8425.2999999999993</v>
      </c>
      <c r="J116" s="423">
        <v>8140.7743717626699</v>
      </c>
      <c r="K116" s="423">
        <v>260.52827098030258</v>
      </c>
      <c r="L116" s="423">
        <v>23.997357257027481</v>
      </c>
      <c r="M116" s="423">
        <v>278.89999999999998</v>
      </c>
      <c r="N116" s="423">
        <v>266.61272312951007</v>
      </c>
      <c r="O116" s="423">
        <v>12.287276870489933</v>
      </c>
      <c r="P116" s="423">
        <v>733131</v>
      </c>
      <c r="Q116" s="423">
        <v>15488</v>
      </c>
      <c r="R116" s="423">
        <v>23177</v>
      </c>
    </row>
    <row r="117" spans="1:18">
      <c r="A117" s="422" t="s">
        <v>154</v>
      </c>
      <c r="B117" s="423">
        <v>2737.7</v>
      </c>
      <c r="C117" s="423">
        <v>1329.8884250474384</v>
      </c>
      <c r="D117" s="423">
        <v>921.32665476057593</v>
      </c>
      <c r="E117" s="423">
        <v>231.22294154853591</v>
      </c>
      <c r="F117" s="423">
        <v>206.67460282025525</v>
      </c>
      <c r="G117" s="423">
        <v>48.587375823194556</v>
      </c>
      <c r="H117" s="423">
        <v>77.400000000000006</v>
      </c>
      <c r="I117" s="423">
        <v>7986.5</v>
      </c>
      <c r="J117" s="423">
        <v>7709.6773743194017</v>
      </c>
      <c r="K117" s="423">
        <v>252.79957101699429</v>
      </c>
      <c r="L117" s="423">
        <v>24.023054663603709</v>
      </c>
      <c r="M117" s="423">
        <v>324.3</v>
      </c>
      <c r="N117" s="423">
        <v>312.71412938525913</v>
      </c>
      <c r="O117" s="423">
        <v>11.585870614740907</v>
      </c>
      <c r="P117" s="423">
        <v>688598</v>
      </c>
      <c r="Q117" s="423">
        <v>13854</v>
      </c>
      <c r="R117" s="423">
        <v>20863</v>
      </c>
    </row>
    <row r="118" spans="1:18">
      <c r="A118" s="422" t="s">
        <v>155</v>
      </c>
      <c r="B118" s="423">
        <v>2615.6</v>
      </c>
      <c r="C118" s="423">
        <v>1256.9487617487619</v>
      </c>
      <c r="D118" s="423">
        <v>893.39046059046052</v>
      </c>
      <c r="E118" s="423">
        <v>216.66605826605826</v>
      </c>
      <c r="F118" s="423">
        <v>203.09892749892748</v>
      </c>
      <c r="G118" s="423">
        <v>45.495791895791896</v>
      </c>
      <c r="H118" s="423">
        <v>73.2</v>
      </c>
      <c r="I118" s="423">
        <v>7501.2</v>
      </c>
      <c r="J118" s="423">
        <v>7252.8393907861127</v>
      </c>
      <c r="K118" s="423">
        <v>228.39038879954595</v>
      </c>
      <c r="L118" s="423">
        <v>19.970220414341121</v>
      </c>
      <c r="M118" s="423">
        <v>259.39999999999998</v>
      </c>
      <c r="N118" s="423">
        <v>247.18919361440848</v>
      </c>
      <c r="O118" s="423">
        <v>12.210806385591484</v>
      </c>
      <c r="P118" s="423">
        <v>655606</v>
      </c>
      <c r="Q118" s="423">
        <v>13392</v>
      </c>
      <c r="R118" s="423">
        <v>20705</v>
      </c>
    </row>
    <row r="119" spans="1:18">
      <c r="A119" s="422" t="s">
        <v>156</v>
      </c>
      <c r="B119" s="423">
        <v>3057</v>
      </c>
      <c r="C119" s="423">
        <v>1450.4669378772219</v>
      </c>
      <c r="D119" s="423">
        <v>1021.5144553002767</v>
      </c>
      <c r="E119" s="423">
        <v>281.14328587148617</v>
      </c>
      <c r="F119" s="423">
        <v>251.58144653039446</v>
      </c>
      <c r="G119" s="423">
        <v>52.293874420620888</v>
      </c>
      <c r="H119" s="423">
        <v>87.7</v>
      </c>
      <c r="I119" s="423">
        <v>8660.7000000000007</v>
      </c>
      <c r="J119" s="423">
        <v>8370.8520937357498</v>
      </c>
      <c r="K119" s="423">
        <v>264.12415776980021</v>
      </c>
      <c r="L119" s="423">
        <v>25.723748494451396</v>
      </c>
      <c r="M119" s="423">
        <v>256.5</v>
      </c>
      <c r="N119" s="423">
        <v>245.77306273062732</v>
      </c>
      <c r="O119" s="423">
        <v>10.726937269372693</v>
      </c>
      <c r="P119" s="423">
        <v>737844</v>
      </c>
      <c r="Q119" s="423">
        <v>15785</v>
      </c>
      <c r="R119" s="423">
        <v>21748</v>
      </c>
    </row>
    <row r="120" spans="1:18">
      <c r="A120" s="422" t="s">
        <v>157</v>
      </c>
      <c r="B120" s="423">
        <v>2779.3</v>
      </c>
      <c r="C120" s="423">
        <v>1377.566973621455</v>
      </c>
      <c r="D120" s="423">
        <v>883.02960707341242</v>
      </c>
      <c r="E120" s="423">
        <v>257.05746413765274</v>
      </c>
      <c r="F120" s="423">
        <v>215.96497780386693</v>
      </c>
      <c r="G120" s="423">
        <v>45.680977363613017</v>
      </c>
      <c r="H120" s="423">
        <v>84.6</v>
      </c>
      <c r="I120" s="423">
        <v>8419.1</v>
      </c>
      <c r="J120" s="423">
        <v>8153.9834247219178</v>
      </c>
      <c r="K120" s="423">
        <v>242.89670157509732</v>
      </c>
      <c r="L120" s="423">
        <v>22.21987370298509</v>
      </c>
      <c r="M120" s="423">
        <v>279.60000000000002</v>
      </c>
      <c r="N120" s="423">
        <v>265.93533834586469</v>
      </c>
      <c r="O120" s="423">
        <v>13.664661654135339</v>
      </c>
      <c r="P120" s="423">
        <v>650962</v>
      </c>
      <c r="Q120" s="423">
        <v>13061</v>
      </c>
      <c r="R120" s="423">
        <v>19867</v>
      </c>
    </row>
    <row r="121" spans="1:18">
      <c r="A121" s="422" t="s">
        <v>158</v>
      </c>
      <c r="B121" s="423">
        <v>2903.4</v>
      </c>
      <c r="C121" s="423">
        <v>1374.320091116173</v>
      </c>
      <c r="D121" s="423">
        <v>952.57160679866843</v>
      </c>
      <c r="E121" s="423">
        <v>298.83601892412827</v>
      </c>
      <c r="F121" s="423">
        <v>227.51015945330298</v>
      </c>
      <c r="G121" s="423">
        <v>50.162123707727353</v>
      </c>
      <c r="H121" s="423">
        <v>87.3</v>
      </c>
      <c r="I121" s="423">
        <v>8716.2000000000007</v>
      </c>
      <c r="J121" s="423">
        <v>8436.2732562866604</v>
      </c>
      <c r="K121" s="423">
        <v>256.03426215227364</v>
      </c>
      <c r="L121" s="423">
        <v>23.892481561066266</v>
      </c>
      <c r="M121" s="423">
        <v>287.10000000000002</v>
      </c>
      <c r="N121" s="423">
        <v>274.70417124039517</v>
      </c>
      <c r="O121" s="423">
        <v>12.39582875960483</v>
      </c>
      <c r="P121" s="423">
        <v>667540</v>
      </c>
      <c r="Q121" s="423">
        <v>12321</v>
      </c>
      <c r="R121" s="423">
        <v>24677</v>
      </c>
    </row>
    <row r="122" spans="1:18">
      <c r="A122" s="422" t="s">
        <v>159</v>
      </c>
      <c r="B122" s="423">
        <v>3162</v>
      </c>
      <c r="C122" s="423">
        <v>1522.6520547945204</v>
      </c>
      <c r="D122" s="423">
        <v>1036.1983561643835</v>
      </c>
      <c r="E122" s="423">
        <v>310.64547945205481</v>
      </c>
      <c r="F122" s="423">
        <v>232.98410958904111</v>
      </c>
      <c r="G122" s="423">
        <v>59.52</v>
      </c>
      <c r="H122" s="423">
        <v>93.9</v>
      </c>
      <c r="I122" s="423">
        <v>9334.2000000000007</v>
      </c>
      <c r="J122" s="423">
        <v>9023.5701154167709</v>
      </c>
      <c r="K122" s="423">
        <v>278.90813780523553</v>
      </c>
      <c r="L122" s="423">
        <v>31.721746777993722</v>
      </c>
      <c r="M122" s="423">
        <v>289.10000000000002</v>
      </c>
      <c r="N122" s="423">
        <v>275.48908759124089</v>
      </c>
      <c r="O122" s="423">
        <v>13.610912408759127</v>
      </c>
      <c r="P122" s="423">
        <v>769536</v>
      </c>
      <c r="Q122" s="423">
        <v>14542</v>
      </c>
      <c r="R122" s="423">
        <v>26648</v>
      </c>
    </row>
    <row r="123" spans="1:18">
      <c r="A123" s="422" t="s">
        <v>160</v>
      </c>
      <c r="B123" s="423">
        <v>2808.1</v>
      </c>
      <c r="C123" s="423">
        <v>1379.4068247751668</v>
      </c>
      <c r="D123" s="423">
        <v>947.74393313025814</v>
      </c>
      <c r="E123" s="423">
        <v>235.94312808239047</v>
      </c>
      <c r="F123" s="423">
        <v>193.78496881346098</v>
      </c>
      <c r="G123" s="423">
        <v>51.221145198723519</v>
      </c>
      <c r="H123" s="423">
        <v>78.8</v>
      </c>
      <c r="I123" s="423">
        <v>7812.4</v>
      </c>
      <c r="J123" s="423">
        <v>7546.2137069705723</v>
      </c>
      <c r="K123" s="423">
        <v>242.30168865298046</v>
      </c>
      <c r="L123" s="423">
        <v>23.884604376447321</v>
      </c>
      <c r="M123" s="423">
        <v>244.3</v>
      </c>
      <c r="N123" s="423">
        <v>233.24377719756311</v>
      </c>
      <c r="O123" s="423">
        <v>11.056222802436901</v>
      </c>
      <c r="P123" s="423">
        <v>653275</v>
      </c>
      <c r="Q123" s="423">
        <v>12267</v>
      </c>
      <c r="R123" s="423">
        <v>21193</v>
      </c>
    </row>
    <row r="124" spans="1:18">
      <c r="A124" s="422" t="s">
        <v>161</v>
      </c>
      <c r="B124" s="423">
        <v>3239.4</v>
      </c>
      <c r="C124" s="423">
        <v>1628.3240603858683</v>
      </c>
      <c r="D124" s="423">
        <v>1064.5134302179904</v>
      </c>
      <c r="E124" s="423">
        <v>272.72322726133802</v>
      </c>
      <c r="F124" s="423">
        <v>214.1810761713856</v>
      </c>
      <c r="G124" s="423">
        <v>59.658205963417686</v>
      </c>
      <c r="H124" s="423">
        <v>94.2</v>
      </c>
      <c r="I124" s="423">
        <v>8374.7000000000007</v>
      </c>
      <c r="J124" s="423">
        <v>8086.5930965488815</v>
      </c>
      <c r="K124" s="423">
        <v>260.48438750515362</v>
      </c>
      <c r="L124" s="423">
        <v>27.62251594596561</v>
      </c>
      <c r="M124" s="423">
        <v>273.39999999999998</v>
      </c>
      <c r="N124" s="423">
        <v>260.25984496124028</v>
      </c>
      <c r="O124" s="423">
        <v>13.140155038759689</v>
      </c>
      <c r="P124" s="423">
        <v>776218</v>
      </c>
      <c r="Q124" s="423">
        <v>14051</v>
      </c>
      <c r="R124" s="423">
        <v>25038</v>
      </c>
    </row>
    <row r="125" spans="1:18">
      <c r="A125" s="422" t="s">
        <v>162</v>
      </c>
      <c r="B125" s="423">
        <v>2942.5</v>
      </c>
      <c r="C125" s="423">
        <v>1501.8597971224513</v>
      </c>
      <c r="D125" s="423">
        <v>943.57364662043256</v>
      </c>
      <c r="E125" s="423">
        <v>253.40647966049059</v>
      </c>
      <c r="F125" s="423">
        <v>191.07011006452055</v>
      </c>
      <c r="G125" s="423">
        <v>52.589966532105016</v>
      </c>
      <c r="H125" s="423">
        <v>83.3</v>
      </c>
      <c r="I125" s="423">
        <v>7447.6</v>
      </c>
      <c r="J125" s="423">
        <v>7178.9517442653359</v>
      </c>
      <c r="K125" s="423">
        <v>243.86558110356489</v>
      </c>
      <c r="L125" s="423">
        <v>24.782674631099471</v>
      </c>
      <c r="M125" s="423">
        <v>243.5</v>
      </c>
      <c r="N125" s="423">
        <v>230.96925425207152</v>
      </c>
      <c r="O125" s="423">
        <v>12.53074574792848</v>
      </c>
      <c r="P125" s="423">
        <v>709391</v>
      </c>
      <c r="Q125" s="423">
        <v>12507</v>
      </c>
      <c r="R125" s="423">
        <v>23059</v>
      </c>
    </row>
    <row r="126" spans="1:18">
      <c r="A126" s="422" t="s">
        <v>163</v>
      </c>
      <c r="B126" s="423">
        <v>3120.2</v>
      </c>
      <c r="C126" s="423">
        <v>1584.5027218627038</v>
      </c>
      <c r="D126" s="423">
        <v>1035.9741797014731</v>
      </c>
      <c r="E126" s="423">
        <v>255.8988130467302</v>
      </c>
      <c r="F126" s="423">
        <v>189.43817762024</v>
      </c>
      <c r="G126" s="423">
        <v>54.386107768853051</v>
      </c>
      <c r="H126" s="423">
        <v>77.400000000000006</v>
      </c>
      <c r="I126" s="423">
        <v>7484.2</v>
      </c>
      <c r="J126" s="423">
        <v>7211.9549236511702</v>
      </c>
      <c r="K126" s="423">
        <v>246.95066440447914</v>
      </c>
      <c r="L126" s="423">
        <v>25.294411944350184</v>
      </c>
      <c r="M126" s="423">
        <v>232.8</v>
      </c>
      <c r="N126" s="423">
        <v>220.18211382113822</v>
      </c>
      <c r="O126" s="423">
        <v>12.617886178861788</v>
      </c>
      <c r="P126" s="423">
        <v>709053</v>
      </c>
      <c r="Q126" s="423">
        <v>13522</v>
      </c>
      <c r="R126" s="423">
        <v>22574</v>
      </c>
    </row>
    <row r="127" spans="1:18">
      <c r="A127" s="422" t="s">
        <v>164</v>
      </c>
      <c r="B127" s="423">
        <v>3199.8</v>
      </c>
      <c r="C127" s="423">
        <v>1630.8625317258884</v>
      </c>
      <c r="D127" s="423">
        <v>1025.2151078680204</v>
      </c>
      <c r="E127" s="423">
        <v>274.80515862944162</v>
      </c>
      <c r="F127" s="423">
        <v>210.95128172588835</v>
      </c>
      <c r="G127" s="423">
        <v>57.965920050761426</v>
      </c>
      <c r="H127" s="423">
        <v>78.599999999999994</v>
      </c>
      <c r="I127" s="423">
        <v>7958.6</v>
      </c>
      <c r="J127" s="423">
        <v>7667.7301966489285</v>
      </c>
      <c r="K127" s="423">
        <v>262.12812934675804</v>
      </c>
      <c r="L127" s="423">
        <v>28.741674004313257</v>
      </c>
      <c r="M127" s="423">
        <v>238.9</v>
      </c>
      <c r="N127" s="423">
        <v>225.23655961284646</v>
      </c>
      <c r="O127" s="423">
        <v>13.663440387153543</v>
      </c>
      <c r="P127" s="423">
        <v>755640</v>
      </c>
      <c r="Q127" s="423">
        <v>13722</v>
      </c>
      <c r="R127" s="423">
        <v>23412</v>
      </c>
    </row>
    <row r="128" spans="1:18">
      <c r="A128" s="422" t="s">
        <v>312</v>
      </c>
      <c r="B128" s="423">
        <v>2714</v>
      </c>
      <c r="C128" s="423">
        <v>1341.7848276896541</v>
      </c>
      <c r="D128" s="423">
        <v>884.21014737315784</v>
      </c>
      <c r="E128" s="423">
        <v>232.65474181572731</v>
      </c>
      <c r="F128" s="423">
        <v>206.09179885251436</v>
      </c>
      <c r="G128" s="423">
        <v>49.258484268946638</v>
      </c>
      <c r="H128" s="423">
        <v>74.3</v>
      </c>
      <c r="I128" s="423">
        <v>7837.4</v>
      </c>
      <c r="J128" s="423">
        <v>7559.8091350574341</v>
      </c>
      <c r="K128" s="423">
        <v>248.56308162498865</v>
      </c>
      <c r="L128" s="423">
        <v>29.027783317577281</v>
      </c>
      <c r="M128" s="423">
        <v>290.8</v>
      </c>
      <c r="N128" s="423">
        <v>277.91779230210602</v>
      </c>
      <c r="O128" s="423">
        <v>12.882207697893975</v>
      </c>
      <c r="P128" s="423">
        <v>675819</v>
      </c>
      <c r="Q128" s="423">
        <v>13041</v>
      </c>
      <c r="R128" s="423">
        <v>20463</v>
      </c>
    </row>
    <row r="129" spans="1:18">
      <c r="A129" s="422" t="s">
        <v>316</v>
      </c>
      <c r="B129" s="423">
        <v>2918.4</v>
      </c>
      <c r="C129" s="423">
        <v>1416.7000174404409</v>
      </c>
      <c r="D129" s="423">
        <v>953.2211657190694</v>
      </c>
      <c r="E129" s="423">
        <v>248.1795388747428</v>
      </c>
      <c r="F129" s="423">
        <v>246.24540793191255</v>
      </c>
      <c r="G129" s="423">
        <v>54.053870033834464</v>
      </c>
      <c r="H129" s="423">
        <v>84.3</v>
      </c>
      <c r="I129" s="423">
        <v>8329.1</v>
      </c>
      <c r="J129" s="423">
        <v>8028.2976264743156</v>
      </c>
      <c r="K129" s="423">
        <v>269.84936275465441</v>
      </c>
      <c r="L129" s="423">
        <v>30.953010771030314</v>
      </c>
      <c r="M129" s="423">
        <v>328.6</v>
      </c>
      <c r="N129" s="423">
        <v>315.50173995571026</v>
      </c>
      <c r="O129" s="423">
        <v>13.098260044289781</v>
      </c>
      <c r="P129" s="423">
        <v>700816</v>
      </c>
      <c r="Q129" s="423">
        <v>14302</v>
      </c>
      <c r="R129" s="423">
        <v>21790</v>
      </c>
    </row>
    <row r="130" spans="1:18">
      <c r="A130" s="422" t="s">
        <v>317</v>
      </c>
      <c r="B130" s="423">
        <v>2580.4</v>
      </c>
      <c r="C130" s="423">
        <v>1210.5718617966436</v>
      </c>
      <c r="D130" s="423">
        <v>869.64319842053305</v>
      </c>
      <c r="E130" s="423">
        <v>230.27459032576505</v>
      </c>
      <c r="F130" s="423">
        <v>224.36488845014807</v>
      </c>
      <c r="G130" s="423">
        <v>45.545461006910173</v>
      </c>
      <c r="H130" s="423">
        <v>78.8</v>
      </c>
      <c r="I130" s="423">
        <v>7604.2</v>
      </c>
      <c r="J130" s="423">
        <v>7351.8466580342001</v>
      </c>
      <c r="K130" s="423">
        <v>226.36683531123597</v>
      </c>
      <c r="L130" s="423">
        <v>25.986506654563414</v>
      </c>
      <c r="M130" s="423">
        <v>245.4</v>
      </c>
      <c r="N130" s="423">
        <v>235.20966101694916</v>
      </c>
      <c r="O130" s="423">
        <v>10.190338983050848</v>
      </c>
      <c r="P130" s="423">
        <v>627380</v>
      </c>
      <c r="Q130" s="423">
        <v>12734</v>
      </c>
      <c r="R130" s="423">
        <v>19278</v>
      </c>
    </row>
    <row r="131" spans="1:18">
      <c r="A131" s="424" t="s">
        <v>318</v>
      </c>
      <c r="B131" s="425">
        <v>3002.3</v>
      </c>
      <c r="C131" s="425">
        <v>1422.2493400291812</v>
      </c>
      <c r="D131" s="425">
        <v>979.20354246547458</v>
      </c>
      <c r="E131" s="425">
        <v>275.36279393301891</v>
      </c>
      <c r="F131" s="425">
        <v>274.34406365579724</v>
      </c>
      <c r="G131" s="425">
        <v>51.140259916528116</v>
      </c>
      <c r="H131" s="425">
        <v>91.2</v>
      </c>
      <c r="I131" s="425">
        <v>8644.2999999999993</v>
      </c>
      <c r="J131" s="425">
        <v>8339.9446729103565</v>
      </c>
      <c r="K131" s="425">
        <v>275.74592634321522</v>
      </c>
      <c r="L131" s="425">
        <v>28.609400746426303</v>
      </c>
      <c r="M131" s="425">
        <v>268.60000000000002</v>
      </c>
      <c r="N131" s="425">
        <v>256.54210526315791</v>
      </c>
      <c r="O131" s="425">
        <v>12.057894736842108</v>
      </c>
      <c r="P131" s="425">
        <v>710683</v>
      </c>
      <c r="Q131" s="425">
        <v>13999</v>
      </c>
      <c r="R131" s="425">
        <v>21303</v>
      </c>
    </row>
    <row r="132" spans="1:18" ht="15.75">
      <c r="A132" s="426">
        <v>2010</v>
      </c>
      <c r="B132" s="427">
        <f>SUM(B12:B23)</f>
        <v>34249.1</v>
      </c>
      <c r="C132" s="427">
        <f t="shared" ref="C132:R132" si="0">SUM(C12:C23)</f>
        <v>16865.110908976978</v>
      </c>
      <c r="D132" s="427">
        <f t="shared" si="0"/>
        <v>10210.342546293205</v>
      </c>
      <c r="E132" s="427">
        <f t="shared" si="0"/>
        <v>3689.0244543182885</v>
      </c>
      <c r="F132" s="427">
        <f t="shared" si="0"/>
        <v>2852.8492584093106</v>
      </c>
      <c r="G132" s="427">
        <f t="shared" si="0"/>
        <v>631.77283200221575</v>
      </c>
      <c r="H132" s="427">
        <f t="shared" si="0"/>
        <v>878.49999999999989</v>
      </c>
      <c r="I132" s="427">
        <f t="shared" si="0"/>
        <v>110259.90000000001</v>
      </c>
      <c r="J132" s="427">
        <f t="shared" si="0"/>
        <v>106898.87452547235</v>
      </c>
      <c r="K132" s="427">
        <f t="shared" si="0"/>
        <v>2991.6563731879914</v>
      </c>
      <c r="L132" s="427">
        <f t="shared" si="0"/>
        <v>369.369101339672</v>
      </c>
      <c r="M132" s="427">
        <f t="shared" si="0"/>
        <v>2457.6</v>
      </c>
      <c r="N132" s="427">
        <f t="shared" si="0"/>
        <v>2287.538170366829</v>
      </c>
      <c r="O132" s="427">
        <f t="shared" si="0"/>
        <v>170.06182963317087</v>
      </c>
      <c r="P132" s="427">
        <f t="shared" si="0"/>
        <v>8649535</v>
      </c>
      <c r="Q132" s="427">
        <f t="shared" si="0"/>
        <v>140943</v>
      </c>
      <c r="R132" s="427">
        <f t="shared" si="0"/>
        <v>242619</v>
      </c>
    </row>
    <row r="133" spans="1:18" ht="15.75">
      <c r="A133" s="426">
        <v>2009</v>
      </c>
      <c r="B133" s="427">
        <f>SUM(B24:B35)</f>
        <v>33338.299999999996</v>
      </c>
      <c r="C133" s="427">
        <f t="shared" ref="C133:R133" si="1">SUM(C24:C35)</f>
        <v>16596.172652249152</v>
      </c>
      <c r="D133" s="427">
        <f t="shared" si="1"/>
        <v>9913.72764520688</v>
      </c>
      <c r="E133" s="427">
        <f t="shared" si="1"/>
        <v>3383.4284147425392</v>
      </c>
      <c r="F133" s="427">
        <f t="shared" si="1"/>
        <v>2864.8180677343285</v>
      </c>
      <c r="G133" s="427">
        <f t="shared" si="1"/>
        <v>580.15322006710255</v>
      </c>
      <c r="H133" s="427">
        <f t="shared" si="1"/>
        <v>944.4</v>
      </c>
      <c r="I133" s="427">
        <f t="shared" si="1"/>
        <v>113618.7</v>
      </c>
      <c r="J133" s="427">
        <f t="shared" si="1"/>
        <v>109923.92561981296</v>
      </c>
      <c r="K133" s="427">
        <f t="shared" si="1"/>
        <v>3272.0251623643071</v>
      </c>
      <c r="L133" s="427">
        <f t="shared" si="1"/>
        <v>422.7492178227418</v>
      </c>
      <c r="M133" s="427">
        <f t="shared" si="1"/>
        <v>2515.8000000000002</v>
      </c>
      <c r="N133" s="427">
        <f t="shared" si="1"/>
        <v>2344.5163890149474</v>
      </c>
      <c r="O133" s="427">
        <f t="shared" si="1"/>
        <v>171.28361098505272</v>
      </c>
      <c r="P133" s="427">
        <f t="shared" si="1"/>
        <v>8519970</v>
      </c>
      <c r="Q133" s="427">
        <f t="shared" si="1"/>
        <v>138633</v>
      </c>
      <c r="R133" s="427">
        <f t="shared" si="1"/>
        <v>245812</v>
      </c>
    </row>
    <row r="134" spans="1:18" ht="15.75">
      <c r="A134" s="426">
        <v>2008</v>
      </c>
      <c r="B134" s="427">
        <f>SUM(B36:B47)</f>
        <v>34364.799999999996</v>
      </c>
      <c r="C134" s="427">
        <f t="shared" ref="C134:R134" si="2">SUM(C36:C47)</f>
        <v>17228.699412402526</v>
      </c>
      <c r="D134" s="427">
        <f t="shared" si="2"/>
        <v>10258.423368975335</v>
      </c>
      <c r="E134" s="427">
        <f t="shared" si="2"/>
        <v>3628.4882977284328</v>
      </c>
      <c r="F134" s="427">
        <f t="shared" si="2"/>
        <v>2634.5091246788747</v>
      </c>
      <c r="G134" s="427">
        <f t="shared" si="2"/>
        <v>614.67979621483005</v>
      </c>
      <c r="H134" s="427">
        <f t="shared" si="2"/>
        <v>956.69999999999993</v>
      </c>
      <c r="I134" s="427">
        <f t="shared" si="2"/>
        <v>116452.1</v>
      </c>
      <c r="J134" s="427">
        <f t="shared" si="2"/>
        <v>112456.52767196906</v>
      </c>
      <c r="K134" s="427">
        <f t="shared" si="2"/>
        <v>3533.2670302997067</v>
      </c>
      <c r="L134" s="427">
        <f t="shared" si="2"/>
        <v>462.30529773123129</v>
      </c>
      <c r="M134" s="427">
        <f t="shared" si="2"/>
        <v>2555.5</v>
      </c>
      <c r="N134" s="427">
        <f t="shared" si="2"/>
        <v>2424.7379175056649</v>
      </c>
      <c r="O134" s="427">
        <f t="shared" si="2"/>
        <v>130.762082494335</v>
      </c>
      <c r="P134" s="427">
        <f t="shared" si="2"/>
        <v>8921070</v>
      </c>
      <c r="Q134" s="427">
        <f t="shared" si="2"/>
        <v>154042</v>
      </c>
      <c r="R134" s="427">
        <f t="shared" si="2"/>
        <v>271265</v>
      </c>
    </row>
    <row r="135" spans="1:18" ht="15.75">
      <c r="A135" s="426">
        <v>2007</v>
      </c>
      <c r="B135" s="427">
        <f>SUM(B48:B59)</f>
        <v>34264.200000000004</v>
      </c>
      <c r="C135" s="427">
        <f t="shared" ref="C135:R135" si="3">SUM(C48:C59)</f>
        <v>17562.76980592739</v>
      </c>
      <c r="D135" s="427">
        <f t="shared" si="3"/>
        <v>10371.719293070686</v>
      </c>
      <c r="E135" s="427">
        <f t="shared" si="3"/>
        <v>3229.35589695709</v>
      </c>
      <c r="F135" s="427">
        <f t="shared" si="3"/>
        <v>2537.5382765605946</v>
      </c>
      <c r="G135" s="427">
        <f t="shared" si="3"/>
        <v>562.81672748424205</v>
      </c>
      <c r="H135" s="427">
        <f t="shared" si="3"/>
        <v>758</v>
      </c>
      <c r="I135" s="427">
        <f t="shared" si="3"/>
        <v>109171.59999999999</v>
      </c>
      <c r="J135" s="427">
        <f t="shared" si="3"/>
        <v>105348.98080566853</v>
      </c>
      <c r="K135" s="427">
        <f t="shared" si="3"/>
        <v>3340.7559643423674</v>
      </c>
      <c r="L135" s="427">
        <f t="shared" si="3"/>
        <v>481.86322998909765</v>
      </c>
      <c r="M135" s="427">
        <f t="shared" si="3"/>
        <v>2693.7</v>
      </c>
      <c r="N135" s="427">
        <f t="shared" si="3"/>
        <v>2570.3387290999331</v>
      </c>
      <c r="O135" s="427">
        <f t="shared" si="3"/>
        <v>123.36127090006721</v>
      </c>
      <c r="P135" s="427">
        <f t="shared" si="3"/>
        <v>8903071</v>
      </c>
      <c r="Q135" s="427">
        <f t="shared" si="3"/>
        <v>132549</v>
      </c>
      <c r="R135" s="427">
        <f t="shared" si="3"/>
        <v>264926</v>
      </c>
    </row>
    <row r="136" spans="1:18" ht="15.75">
      <c r="A136" s="426">
        <v>2006</v>
      </c>
      <c r="B136" s="427">
        <f>SUM(B60:B71)</f>
        <v>33698.299999999996</v>
      </c>
      <c r="C136" s="427">
        <f t="shared" ref="C136:R136" si="4">SUM(C60:C71)</f>
        <v>17768.885675188485</v>
      </c>
      <c r="D136" s="427">
        <f t="shared" si="4"/>
        <v>9983.9475782484697</v>
      </c>
      <c r="E136" s="427">
        <f t="shared" si="4"/>
        <v>3032.6083035202923</v>
      </c>
      <c r="F136" s="427">
        <f t="shared" si="4"/>
        <v>2393.3823467431912</v>
      </c>
      <c r="G136" s="427">
        <f t="shared" si="4"/>
        <v>519.47609629956071</v>
      </c>
      <c r="H136" s="427">
        <f t="shared" si="4"/>
        <v>711.30000000000007</v>
      </c>
      <c r="I136" s="427">
        <f t="shared" si="4"/>
        <v>104736.59999999999</v>
      </c>
      <c r="J136" s="427">
        <f t="shared" si="4"/>
        <v>101125.32160647842</v>
      </c>
      <c r="K136" s="427">
        <f t="shared" si="4"/>
        <v>3259.7557793874921</v>
      </c>
      <c r="L136" s="427">
        <f t="shared" si="4"/>
        <v>351.5226141340919</v>
      </c>
      <c r="M136" s="427">
        <f t="shared" si="4"/>
        <v>2698.3999999999996</v>
      </c>
      <c r="N136" s="427">
        <f t="shared" si="4"/>
        <v>2573.3451202746255</v>
      </c>
      <c r="O136" s="427">
        <f t="shared" si="4"/>
        <v>125.05487972537469</v>
      </c>
      <c r="P136" s="427">
        <f t="shared" si="4"/>
        <v>8837544</v>
      </c>
      <c r="Q136" s="427">
        <f t="shared" si="4"/>
        <v>131122</v>
      </c>
      <c r="R136" s="427">
        <f t="shared" si="4"/>
        <v>254716</v>
      </c>
    </row>
    <row r="137" spans="1:18" ht="15.75">
      <c r="A137" s="426">
        <v>2005</v>
      </c>
      <c r="B137" s="427">
        <f>SUM(B72:B83)</f>
        <v>32387.599999999995</v>
      </c>
      <c r="C137" s="427">
        <f t="shared" ref="C137:R137" si="5">SUM(C72:C83)</f>
        <v>17089.197392016365</v>
      </c>
      <c r="D137" s="427">
        <f t="shared" si="5"/>
        <v>9932.0969627122522</v>
      </c>
      <c r="E137" s="427">
        <f t="shared" si="5"/>
        <v>2567.3135699635404</v>
      </c>
      <c r="F137" s="427">
        <f t="shared" si="5"/>
        <v>2291.9535935036574</v>
      </c>
      <c r="G137" s="427">
        <f t="shared" si="5"/>
        <v>507.03848180418413</v>
      </c>
      <c r="H137" s="427">
        <f t="shared" si="5"/>
        <v>734.30000000000007</v>
      </c>
      <c r="I137" s="427">
        <f t="shared" si="5"/>
        <v>103581.6</v>
      </c>
      <c r="J137" s="427">
        <f t="shared" si="5"/>
        <v>100150.56461480305</v>
      </c>
      <c r="K137" s="427">
        <f t="shared" si="5"/>
        <v>3148.2332236357161</v>
      </c>
      <c r="L137" s="427">
        <f t="shared" si="5"/>
        <v>282.80216156123129</v>
      </c>
      <c r="M137" s="427">
        <f t="shared" si="5"/>
        <v>2697.9</v>
      </c>
      <c r="N137" s="427">
        <f t="shared" si="5"/>
        <v>2561.3003779651567</v>
      </c>
      <c r="O137" s="427">
        <f t="shared" si="5"/>
        <v>136.59962203484335</v>
      </c>
      <c r="P137" s="427">
        <f t="shared" si="5"/>
        <v>8853809</v>
      </c>
      <c r="Q137" s="427">
        <f t="shared" si="5"/>
        <v>146664</v>
      </c>
      <c r="R137" s="427">
        <f t="shared" si="5"/>
        <v>248094</v>
      </c>
    </row>
    <row r="138" spans="1:18" ht="15.75">
      <c r="A138" s="426">
        <v>2004</v>
      </c>
      <c r="B138" s="427">
        <f>SUM(B84:B95)</f>
        <v>32728.299999999996</v>
      </c>
      <c r="C138" s="427">
        <f t="shared" ref="C138:R138" si="6">SUM(C84:C95)</f>
        <v>16479.38041422169</v>
      </c>
      <c r="D138" s="427">
        <f t="shared" si="6"/>
        <v>10529.301298373644</v>
      </c>
      <c r="E138" s="427">
        <f t="shared" si="6"/>
        <v>2754.754801731754</v>
      </c>
      <c r="F138" s="427">
        <f t="shared" si="6"/>
        <v>2405.2158669234213</v>
      </c>
      <c r="G138" s="427">
        <f t="shared" si="6"/>
        <v>559.64761874948692</v>
      </c>
      <c r="H138" s="427">
        <f t="shared" si="6"/>
        <v>842.40000000000009</v>
      </c>
      <c r="I138" s="427">
        <f t="shared" si="6"/>
        <v>103463.4</v>
      </c>
      <c r="J138" s="427">
        <f t="shared" si="6"/>
        <v>99895.242132594576</v>
      </c>
      <c r="K138" s="427">
        <f t="shared" si="6"/>
        <v>3305.86369089035</v>
      </c>
      <c r="L138" s="427">
        <f t="shared" si="6"/>
        <v>262.29417651506543</v>
      </c>
      <c r="M138" s="427">
        <f t="shared" si="6"/>
        <v>2839.3</v>
      </c>
      <c r="N138" s="427">
        <f t="shared" si="6"/>
        <v>2682.7669616523413</v>
      </c>
      <c r="O138" s="427">
        <f t="shared" si="6"/>
        <v>156.53303834765848</v>
      </c>
      <c r="P138" s="427">
        <f t="shared" si="6"/>
        <v>8663381</v>
      </c>
      <c r="Q138" s="427">
        <f t="shared" si="6"/>
        <v>143312</v>
      </c>
      <c r="R138" s="427">
        <f t="shared" si="6"/>
        <v>254308</v>
      </c>
    </row>
    <row r="139" spans="1:18" ht="15.75">
      <c r="A139" s="426">
        <v>2003</v>
      </c>
      <c r="B139" s="427">
        <f>SUM(B96:B107)</f>
        <v>35493.5</v>
      </c>
      <c r="C139" s="427">
        <f t="shared" ref="C139:R139" si="7">SUM(C96:C107)</f>
        <v>17464.030486028987</v>
      </c>
      <c r="D139" s="427">
        <f t="shared" si="7"/>
        <v>11264.626733913223</v>
      </c>
      <c r="E139" s="427">
        <f t="shared" si="7"/>
        <v>3216.7666720137331</v>
      </c>
      <c r="F139" s="427">
        <f t="shared" si="7"/>
        <v>2908.9398969346739</v>
      </c>
      <c r="G139" s="427">
        <f t="shared" si="7"/>
        <v>639.13621110938425</v>
      </c>
      <c r="H139" s="427">
        <f t="shared" si="7"/>
        <v>1000.7</v>
      </c>
      <c r="I139" s="427">
        <f t="shared" si="7"/>
        <v>100930.59999999999</v>
      </c>
      <c r="J139" s="427">
        <f t="shared" si="7"/>
        <v>97431.205850779166</v>
      </c>
      <c r="K139" s="427">
        <f t="shared" si="7"/>
        <v>3255.2006163622632</v>
      </c>
      <c r="L139" s="427">
        <f t="shared" si="7"/>
        <v>244.19353285856141</v>
      </c>
      <c r="M139" s="427">
        <f t="shared" si="7"/>
        <v>2978.7999999999997</v>
      </c>
      <c r="N139" s="427">
        <f t="shared" si="7"/>
        <v>2826.7585333970915</v>
      </c>
      <c r="O139" s="427">
        <f t="shared" si="7"/>
        <v>152.04146660290857</v>
      </c>
      <c r="P139" s="427">
        <f t="shared" si="7"/>
        <v>8536865</v>
      </c>
      <c r="Q139" s="427">
        <f t="shared" si="7"/>
        <v>147569</v>
      </c>
      <c r="R139" s="427">
        <f t="shared" si="7"/>
        <v>267781</v>
      </c>
    </row>
    <row r="140" spans="1:18" ht="15.75">
      <c r="A140" s="426">
        <v>2002</v>
      </c>
      <c r="B140" s="427">
        <f>SUM(B108:B119)</f>
        <v>35734.5</v>
      </c>
      <c r="C140" s="427">
        <f t="shared" ref="C140:R140" si="8">SUM(C108:C119)</f>
        <v>17827.272547954934</v>
      </c>
      <c r="D140" s="427">
        <f t="shared" si="8"/>
        <v>11541.047129508375</v>
      </c>
      <c r="E140" s="427">
        <f t="shared" si="8"/>
        <v>3104.663861945769</v>
      </c>
      <c r="F140" s="427">
        <f t="shared" si="8"/>
        <v>2652.9581410586661</v>
      </c>
      <c r="G140" s="427">
        <f t="shared" si="8"/>
        <v>608.55831953225447</v>
      </c>
      <c r="H140" s="427">
        <f t="shared" si="8"/>
        <v>1045.2</v>
      </c>
      <c r="I140" s="427">
        <f t="shared" si="8"/>
        <v>100262.8</v>
      </c>
      <c r="J140" s="427">
        <f t="shared" si="8"/>
        <v>96759.540397648598</v>
      </c>
      <c r="K140" s="427">
        <f t="shared" si="8"/>
        <v>3228.471241793919</v>
      </c>
      <c r="L140" s="427">
        <f t="shared" si="8"/>
        <v>274.78836055749167</v>
      </c>
      <c r="M140" s="427">
        <f t="shared" si="8"/>
        <v>3286.2000000000003</v>
      </c>
      <c r="N140" s="427">
        <f t="shared" si="8"/>
        <v>3128.5725318032178</v>
      </c>
      <c r="O140" s="427">
        <f t="shared" si="8"/>
        <v>157.62746819678213</v>
      </c>
      <c r="P140" s="427">
        <f t="shared" si="8"/>
        <v>8546240</v>
      </c>
      <c r="Q140" s="427">
        <f t="shared" si="8"/>
        <v>169859</v>
      </c>
      <c r="R140" s="427">
        <f t="shared" si="8"/>
        <v>271244</v>
      </c>
    </row>
    <row r="141" spans="1:18" ht="15.75">
      <c r="A141" s="426">
        <v>2001</v>
      </c>
      <c r="B141" s="427">
        <f>SUM(B120:B131)</f>
        <v>35369.800000000003</v>
      </c>
      <c r="C141" s="427">
        <f t="shared" ref="C141:R141" si="9">SUM(C120:C131)</f>
        <v>17390.801102360147</v>
      </c>
      <c r="D141" s="427">
        <f t="shared" si="9"/>
        <v>11575.097921552875</v>
      </c>
      <c r="E141" s="427">
        <f t="shared" si="9"/>
        <v>3145.7874341434813</v>
      </c>
      <c r="F141" s="427">
        <f t="shared" si="9"/>
        <v>2626.9310201320786</v>
      </c>
      <c r="G141" s="427">
        <f t="shared" si="9"/>
        <v>631.18252181142032</v>
      </c>
      <c r="H141" s="427">
        <f t="shared" si="9"/>
        <v>1006.6999999999998</v>
      </c>
      <c r="I141" s="427">
        <f t="shared" si="9"/>
        <v>97962</v>
      </c>
      <c r="J141" s="427">
        <f t="shared" si="9"/>
        <v>94585.168556986551</v>
      </c>
      <c r="K141" s="427">
        <f t="shared" si="9"/>
        <v>3054.0947585796371</v>
      </c>
      <c r="L141" s="427">
        <f t="shared" si="9"/>
        <v>322.73668443381825</v>
      </c>
      <c r="M141" s="427">
        <f t="shared" si="9"/>
        <v>3222.1</v>
      </c>
      <c r="N141" s="427">
        <f t="shared" si="9"/>
        <v>3071.1914455602841</v>
      </c>
      <c r="O141" s="427">
        <f t="shared" si="9"/>
        <v>150.9085544397164</v>
      </c>
      <c r="P141" s="427">
        <f t="shared" si="9"/>
        <v>8406313</v>
      </c>
      <c r="Q141" s="427">
        <f t="shared" si="9"/>
        <v>160069</v>
      </c>
      <c r="R141" s="427">
        <f t="shared" si="9"/>
        <v>269302</v>
      </c>
    </row>
    <row r="142" spans="1:18" ht="30">
      <c r="A142" s="428" t="s">
        <v>319</v>
      </c>
      <c r="B142" s="429">
        <f>AVERAGE(B132:B141)</f>
        <v>34162.839999999997</v>
      </c>
      <c r="C142" s="429">
        <f t="shared" ref="C142:R142" si="10">AVERAGE(C132:C141)</f>
        <v>17227.232039732666</v>
      </c>
      <c r="D142" s="429">
        <f t="shared" si="10"/>
        <v>10558.033047785493</v>
      </c>
      <c r="E142" s="429">
        <f t="shared" si="10"/>
        <v>3175.2191707064917</v>
      </c>
      <c r="F142" s="429">
        <f t="shared" si="10"/>
        <v>2616.9095592678796</v>
      </c>
      <c r="G142" s="429">
        <f t="shared" si="10"/>
        <v>585.44618250746805</v>
      </c>
      <c r="H142" s="429">
        <f t="shared" si="10"/>
        <v>887.82</v>
      </c>
      <c r="I142" s="429">
        <f t="shared" si="10"/>
        <v>106043.93000000001</v>
      </c>
      <c r="J142" s="429">
        <f t="shared" si="10"/>
        <v>102457.53517822133</v>
      </c>
      <c r="K142" s="429">
        <f t="shared" si="10"/>
        <v>3238.9323840843749</v>
      </c>
      <c r="L142" s="429">
        <f t="shared" si="10"/>
        <v>347.46243769430032</v>
      </c>
      <c r="M142" s="429">
        <f t="shared" si="10"/>
        <v>2794.5299999999997</v>
      </c>
      <c r="N142" s="429">
        <f t="shared" si="10"/>
        <v>2647.1066176640093</v>
      </c>
      <c r="O142" s="429">
        <f t="shared" si="10"/>
        <v>147.42338233599094</v>
      </c>
      <c r="P142" s="429">
        <f t="shared" si="10"/>
        <v>8683779.8000000007</v>
      </c>
      <c r="Q142" s="429">
        <f t="shared" si="10"/>
        <v>146476.20000000001</v>
      </c>
      <c r="R142" s="429">
        <f t="shared" si="10"/>
        <v>259006.7</v>
      </c>
    </row>
    <row r="143" spans="1:18" ht="15">
      <c r="A143" s="430" t="s">
        <v>320</v>
      </c>
      <c r="B143" s="431">
        <f>STDEV(B132:B141)</f>
        <v>1147.996893336875</v>
      </c>
      <c r="C143" s="431">
        <f t="shared" ref="C143:R143" si="11">STDEV(C132:C141)</f>
        <v>466.25656290564154</v>
      </c>
      <c r="D143" s="431">
        <f t="shared" si="11"/>
        <v>656.81934040747069</v>
      </c>
      <c r="E143" s="431">
        <f t="shared" si="11"/>
        <v>348.00678208872114</v>
      </c>
      <c r="F143" s="431">
        <f t="shared" si="11"/>
        <v>213.64362259256558</v>
      </c>
      <c r="G143" s="431">
        <f t="shared" si="11"/>
        <v>47.392989153022086</v>
      </c>
      <c r="H143" s="431">
        <f t="shared" si="11"/>
        <v>121.70973484300819</v>
      </c>
      <c r="I143" s="431">
        <f t="shared" si="11"/>
        <v>6078.9288356584684</v>
      </c>
      <c r="J143" s="431">
        <f t="shared" si="11"/>
        <v>5936.5190811674811</v>
      </c>
      <c r="K143" s="431">
        <f t="shared" si="11"/>
        <v>151.62830027877331</v>
      </c>
      <c r="L143" s="431">
        <f t="shared" si="11"/>
        <v>85.250530638746085</v>
      </c>
      <c r="M143" s="431">
        <f t="shared" si="11"/>
        <v>286.28033677188216</v>
      </c>
      <c r="N143" s="431">
        <f t="shared" si="11"/>
        <v>285.61799862526919</v>
      </c>
      <c r="O143" s="431">
        <f t="shared" si="11"/>
        <v>17.564104652744813</v>
      </c>
      <c r="P143" s="431">
        <f t="shared" si="11"/>
        <v>183442.41468755255</v>
      </c>
      <c r="Q143" s="431">
        <f t="shared" si="11"/>
        <v>12119.098635349634</v>
      </c>
      <c r="R143" s="431">
        <f t="shared" si="11"/>
        <v>11156.805666398324</v>
      </c>
    </row>
    <row r="144" spans="1:18" ht="15">
      <c r="A144" s="432" t="s">
        <v>27</v>
      </c>
      <c r="B144" s="433">
        <f>2*B143/B142</f>
        <v>6.7207345369230148E-2</v>
      </c>
      <c r="C144" s="433">
        <f t="shared" ref="C144:R144" si="12">2*C143/C142</f>
        <v>5.4130177364567149E-2</v>
      </c>
      <c r="D144" s="433">
        <f t="shared" si="12"/>
        <v>0.12442077751314408</v>
      </c>
      <c r="E144" s="433">
        <f t="shared" si="12"/>
        <v>0.21920173907950363</v>
      </c>
      <c r="F144" s="433">
        <f t="shared" si="12"/>
        <v>0.16327933216945842</v>
      </c>
      <c r="G144" s="433">
        <f t="shared" si="12"/>
        <v>0.16190382846135487</v>
      </c>
      <c r="H144" s="433">
        <f t="shared" si="12"/>
        <v>0.27417660075918132</v>
      </c>
      <c r="I144" s="433">
        <f t="shared" si="12"/>
        <v>0.11464925593871272</v>
      </c>
      <c r="J144" s="433">
        <f t="shared" si="12"/>
        <v>0.11588252773875757</v>
      </c>
      <c r="K144" s="433">
        <f t="shared" si="12"/>
        <v>9.3628567872458157E-2</v>
      </c>
      <c r="L144" s="433">
        <f t="shared" si="12"/>
        <v>0.49070357765549349</v>
      </c>
      <c r="M144" s="433">
        <f t="shared" si="12"/>
        <v>0.20488621469218951</v>
      </c>
      <c r="N144" s="433">
        <f t="shared" si="12"/>
        <v>0.21579636930326468</v>
      </c>
      <c r="O144" s="433">
        <f t="shared" si="12"/>
        <v>0.23828112439741295</v>
      </c>
      <c r="P144" s="433">
        <f t="shared" si="12"/>
        <v>4.2249439509636701E-2</v>
      </c>
      <c r="Q144" s="433">
        <f t="shared" si="12"/>
        <v>0.16547532821509067</v>
      </c>
      <c r="R144" s="433">
        <f t="shared" si="12"/>
        <v>8.6150710899743702E-2</v>
      </c>
    </row>
    <row r="145" spans="1:32" ht="29.1" customHeight="1" thickBot="1">
      <c r="A145" s="430" t="s">
        <v>28</v>
      </c>
      <c r="B145" s="434">
        <v>1278.5</v>
      </c>
      <c r="C145" s="435">
        <v>1373.6</v>
      </c>
      <c r="D145" s="435">
        <v>1264.4000000000001</v>
      </c>
      <c r="E145" s="435">
        <v>1009.5</v>
      </c>
      <c r="F145" s="435">
        <v>1280</v>
      </c>
      <c r="G145" s="435">
        <v>1466</v>
      </c>
      <c r="H145" s="435">
        <v>286.5</v>
      </c>
      <c r="I145" s="435">
        <v>280</v>
      </c>
      <c r="J145" s="436"/>
      <c r="K145" s="436"/>
      <c r="L145" s="436"/>
      <c r="M145" s="437">
        <v>70</v>
      </c>
      <c r="N145" s="436"/>
      <c r="O145" s="436"/>
      <c r="P145" s="435">
        <v>5.5</v>
      </c>
      <c r="Q145" s="437">
        <v>3</v>
      </c>
      <c r="R145" s="435">
        <v>28.6</v>
      </c>
      <c r="S145" s="1128" t="s">
        <v>29</v>
      </c>
      <c r="T145" s="1128"/>
      <c r="U145" s="1128"/>
    </row>
    <row r="146" spans="1:32" ht="16.350000000000001" customHeight="1">
      <c r="A146" s="1129" t="s">
        <v>30</v>
      </c>
      <c r="B146" s="1130"/>
      <c r="C146" s="1131"/>
      <c r="D146" s="1132">
        <f>C142*C145+D142*D145+E142*E145+G142*G145+H142*H145</f>
        <v>41330911.201780915</v>
      </c>
      <c r="E146" s="1133"/>
      <c r="F146" s="437"/>
      <c r="G146" s="437"/>
      <c r="H146" s="437"/>
      <c r="I146" s="438">
        <f>I145*I142/1000</f>
        <v>29692.300400000004</v>
      </c>
      <c r="J146" s="436"/>
      <c r="K146" s="436"/>
      <c r="L146" s="436"/>
      <c r="M146" s="437"/>
      <c r="N146" s="436"/>
      <c r="P146" s="439"/>
      <c r="S146" s="440"/>
      <c r="T146" s="440"/>
      <c r="U146" s="440"/>
    </row>
    <row r="147" spans="1:32" ht="18" customHeight="1">
      <c r="A147" s="1134" t="s">
        <v>31</v>
      </c>
      <c r="B147" s="1135"/>
      <c r="C147" s="441">
        <f>C142*C145/$D$146</f>
        <v>0.57253337131258686</v>
      </c>
      <c r="D147" s="442">
        <f>D142*D145/$D$146</f>
        <v>0.32299256409921001</v>
      </c>
      <c r="E147" s="442">
        <f>E142*E145/$D$146</f>
        <v>7.7554151593204793E-2</v>
      </c>
      <c r="F147" s="442"/>
      <c r="G147" s="442">
        <f>G142*G145/$D$146</f>
        <v>2.0765670985714108E-2</v>
      </c>
      <c r="H147" s="442">
        <f>H142*H145/$D$146</f>
        <v>6.1542420092843206E-3</v>
      </c>
      <c r="I147" s="443">
        <f>(I142-2*I143)*(I145-3.2)/1000</f>
        <v>25987.664820579477</v>
      </c>
      <c r="J147" s="436"/>
      <c r="K147" s="436"/>
      <c r="L147" s="436"/>
      <c r="M147" s="437"/>
      <c r="N147" s="436"/>
      <c r="S147" s="440"/>
      <c r="T147" s="440"/>
      <c r="U147" s="440"/>
    </row>
    <row r="148" spans="1:32" ht="16.350000000000001" customHeight="1" thickBot="1">
      <c r="A148" s="1136"/>
      <c r="B148" s="1137"/>
      <c r="C148" s="444" t="s">
        <v>32</v>
      </c>
      <c r="D148" s="445">
        <f>SUM(C147:H147)</f>
        <v>1</v>
      </c>
      <c r="E148" s="446"/>
      <c r="F148" s="446"/>
      <c r="G148" s="446"/>
      <c r="H148" s="446"/>
      <c r="I148" s="447">
        <f>(I142+2*I143)*(I145+3.2)/1000</f>
        <v>33474.746268516952</v>
      </c>
      <c r="J148" s="423"/>
      <c r="K148" s="423"/>
      <c r="L148" s="423"/>
      <c r="M148" s="423"/>
      <c r="N148" s="423"/>
      <c r="P148" s="448">
        <f>(P142+2*P143)*5.7</f>
        <v>51588788.387438104</v>
      </c>
      <c r="Q148" s="449">
        <f>(Q142+2*Q143)*3.1</f>
        <v>529214.63153916772</v>
      </c>
      <c r="R148" s="450">
        <f>(R142+2*R143)*29.6</f>
        <v>8327081.2154507814</v>
      </c>
      <c r="S148" s="423"/>
      <c r="T148" s="423"/>
      <c r="U148" s="423"/>
      <c r="V148" s="423"/>
      <c r="W148" s="423"/>
      <c r="X148" s="423"/>
      <c r="Y148" s="423"/>
      <c r="Z148" s="423"/>
      <c r="AA148" s="423"/>
      <c r="AB148" s="423"/>
      <c r="AC148" s="423"/>
      <c r="AD148" s="423"/>
      <c r="AE148" s="423"/>
      <c r="AF148" s="423"/>
    </row>
    <row r="149" spans="1:32" ht="21" customHeight="1">
      <c r="A149" s="1127" t="s">
        <v>195</v>
      </c>
      <c r="B149" s="1127"/>
      <c r="C149" s="1127"/>
      <c r="D149" s="1127"/>
      <c r="E149" s="1127"/>
      <c r="F149" s="1127"/>
      <c r="G149" s="1127"/>
      <c r="H149" s="1127"/>
      <c r="I149" s="1127"/>
      <c r="J149" s="1127"/>
      <c r="K149" s="1127"/>
      <c r="L149" s="1127"/>
      <c r="M149" s="1127"/>
      <c r="N149" s="422"/>
      <c r="O149" s="422"/>
      <c r="P149" s="451">
        <f>(P142-2*P143)*5.3</f>
        <v>44079543.344311945</v>
      </c>
      <c r="Q149" s="452">
        <f>(Q142-2*Q143)*2.9</f>
        <v>354490.20791497215</v>
      </c>
      <c r="R149" s="453">
        <f>(R142-2*R143)*27.6</f>
        <v>6532729.2472148128</v>
      </c>
      <c r="S149" s="422"/>
      <c r="T149" s="422"/>
      <c r="U149" s="422"/>
      <c r="V149" s="422"/>
      <c r="W149" s="422"/>
      <c r="X149" s="422"/>
      <c r="Y149" s="422"/>
      <c r="Z149" s="422"/>
      <c r="AA149" s="422"/>
      <c r="AB149" s="422"/>
      <c r="AC149" s="422"/>
      <c r="AD149" s="422"/>
      <c r="AE149" s="422"/>
      <c r="AF149" s="422"/>
    </row>
    <row r="150" spans="1:32" ht="19.350000000000001" customHeight="1">
      <c r="A150" s="1127"/>
      <c r="B150" s="1127"/>
      <c r="C150" s="1127"/>
      <c r="D150" s="1127"/>
      <c r="E150" s="1127"/>
      <c r="F150" s="1127"/>
      <c r="G150" s="1127"/>
      <c r="H150" s="1127"/>
      <c r="I150" s="1127"/>
      <c r="J150" s="1127"/>
      <c r="K150" s="1127"/>
      <c r="L150" s="1127"/>
      <c r="M150" s="1127"/>
      <c r="P150" s="454">
        <f>P142*P145</f>
        <v>47760788.900000006</v>
      </c>
      <c r="Q150" s="454">
        <f>Q142*Q145</f>
        <v>439428.60000000003</v>
      </c>
      <c r="R150" s="455">
        <f>R142*R145</f>
        <v>7407591.620000001</v>
      </c>
    </row>
    <row r="151" spans="1:32" ht="15" customHeight="1">
      <c r="A151" s="1127"/>
      <c r="B151" s="1127"/>
      <c r="C151" s="1127"/>
      <c r="D151" s="1127"/>
      <c r="E151" s="1127"/>
      <c r="F151" s="1127"/>
      <c r="G151" s="1127"/>
      <c r="H151" s="1127"/>
      <c r="I151" s="1127"/>
      <c r="J151" s="1127"/>
      <c r="K151" s="1127"/>
      <c r="L151" s="1127"/>
      <c r="M151" s="1127"/>
      <c r="P151" s="456" t="s">
        <v>196</v>
      </c>
      <c r="Q151" s="457" t="s">
        <v>497</v>
      </c>
      <c r="R151" s="458" t="s">
        <v>197</v>
      </c>
    </row>
    <row r="152" spans="1:32" ht="18" customHeight="1">
      <c r="F152" s="1105" t="s">
        <v>198</v>
      </c>
      <c r="G152" s="1106"/>
      <c r="J152" s="1111" t="s">
        <v>72</v>
      </c>
      <c r="K152" s="1112"/>
      <c r="L152" s="1117">
        <f>Q142*2.2/1000</f>
        <v>322.24764000000005</v>
      </c>
      <c r="M152" s="1118"/>
      <c r="P152" s="1123" t="s">
        <v>73</v>
      </c>
      <c r="Q152" s="1124"/>
      <c r="R152" s="1125"/>
    </row>
    <row r="153" spans="1:32">
      <c r="F153" s="1107"/>
      <c r="G153" s="1108"/>
      <c r="J153" s="1113"/>
      <c r="K153" s="1114"/>
      <c r="L153" s="1119"/>
      <c r="M153" s="1120"/>
    </row>
    <row r="154" spans="1:32" ht="11.1" customHeight="1">
      <c r="F154" s="1109"/>
      <c r="G154" s="1110"/>
      <c r="H154" s="459">
        <f>F142/(F142+E142)</f>
        <v>0.45180445415954334</v>
      </c>
      <c r="J154" s="1113"/>
      <c r="K154" s="1114"/>
      <c r="L154" s="1121"/>
      <c r="M154" s="1122"/>
      <c r="P154" s="460"/>
    </row>
    <row r="155" spans="1:32">
      <c r="J155" s="1115"/>
      <c r="K155" s="1116"/>
    </row>
  </sheetData>
  <mergeCells count="10">
    <mergeCell ref="F152:G154"/>
    <mergeCell ref="J152:K155"/>
    <mergeCell ref="L152:M154"/>
    <mergeCell ref="P152:R152"/>
    <mergeCell ref="A1:AF1"/>
    <mergeCell ref="S145:U145"/>
    <mergeCell ref="A146:C146"/>
    <mergeCell ref="D146:E146"/>
    <mergeCell ref="A147:B148"/>
    <mergeCell ref="A149:M151"/>
  </mergeCells>
  <phoneticPr fontId="14" type="noConversion"/>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T113"/>
  <sheetViews>
    <sheetView topLeftCell="A3" workbookViewId="0">
      <selection activeCell="O99" sqref="O99"/>
    </sheetView>
  </sheetViews>
  <sheetFormatPr defaultColWidth="6.6640625" defaultRowHeight="15"/>
  <cols>
    <col min="1" max="2" width="10.44140625" style="461" customWidth="1"/>
    <col min="3" max="5" width="7.44140625" style="461" customWidth="1"/>
    <col min="6" max="6" width="10.44140625" style="461" customWidth="1"/>
    <col min="7" max="20" width="7.44140625" style="461" customWidth="1"/>
    <col min="21" max="256" width="6.6640625" style="461"/>
    <col min="257" max="257" width="10.44140625" style="461" customWidth="1"/>
    <col min="258" max="276" width="7.44140625" style="461" customWidth="1"/>
    <col min="277" max="512" width="6.6640625" style="461"/>
    <col min="513" max="513" width="10.44140625" style="461" customWidth="1"/>
    <col min="514" max="532" width="7.44140625" style="461" customWidth="1"/>
    <col min="533" max="768" width="6.6640625" style="461"/>
    <col min="769" max="769" width="10.44140625" style="461" customWidth="1"/>
    <col min="770" max="788" width="7.44140625" style="461" customWidth="1"/>
    <col min="789" max="1024" width="6.6640625" style="461"/>
    <col min="1025" max="1025" width="10.44140625" style="461" customWidth="1"/>
    <col min="1026" max="1044" width="7.44140625" style="461" customWidth="1"/>
    <col min="1045" max="1280" width="6.6640625" style="461"/>
    <col min="1281" max="1281" width="10.44140625" style="461" customWidth="1"/>
    <col min="1282" max="1300" width="7.44140625" style="461" customWidth="1"/>
    <col min="1301" max="1536" width="6.6640625" style="461"/>
    <col min="1537" max="1537" width="10.44140625" style="461" customWidth="1"/>
    <col min="1538" max="1556" width="7.44140625" style="461" customWidth="1"/>
    <col min="1557" max="1792" width="6.6640625" style="461"/>
    <col min="1793" max="1793" width="10.44140625" style="461" customWidth="1"/>
    <col min="1794" max="1812" width="7.44140625" style="461" customWidth="1"/>
    <col min="1813" max="2048" width="6.6640625" style="461"/>
    <col min="2049" max="2049" width="10.44140625" style="461" customWidth="1"/>
    <col min="2050" max="2068" width="7.44140625" style="461" customWidth="1"/>
    <col min="2069" max="2304" width="6.6640625" style="461"/>
    <col min="2305" max="2305" width="10.44140625" style="461" customWidth="1"/>
    <col min="2306" max="2324" width="7.44140625" style="461" customWidth="1"/>
    <col min="2325" max="2560" width="6.6640625" style="461"/>
    <col min="2561" max="2561" width="10.44140625" style="461" customWidth="1"/>
    <col min="2562" max="2580" width="7.44140625" style="461" customWidth="1"/>
    <col min="2581" max="2816" width="6.6640625" style="461"/>
    <col min="2817" max="2817" width="10.44140625" style="461" customWidth="1"/>
    <col min="2818" max="2836" width="7.44140625" style="461" customWidth="1"/>
    <col min="2837" max="3072" width="6.6640625" style="461"/>
    <col min="3073" max="3073" width="10.44140625" style="461" customWidth="1"/>
    <col min="3074" max="3092" width="7.44140625" style="461" customWidth="1"/>
    <col min="3093" max="3328" width="6.6640625" style="461"/>
    <col min="3329" max="3329" width="10.44140625" style="461" customWidth="1"/>
    <col min="3330" max="3348" width="7.44140625" style="461" customWidth="1"/>
    <col min="3349" max="3584" width="6.6640625" style="461"/>
    <col min="3585" max="3585" width="10.44140625" style="461" customWidth="1"/>
    <col min="3586" max="3604" width="7.44140625" style="461" customWidth="1"/>
    <col min="3605" max="3840" width="6.6640625" style="461"/>
    <col min="3841" max="3841" width="10.44140625" style="461" customWidth="1"/>
    <col min="3842" max="3860" width="7.44140625" style="461" customWidth="1"/>
    <col min="3861" max="4096" width="6.6640625" style="461"/>
    <col min="4097" max="4097" width="10.44140625" style="461" customWidth="1"/>
    <col min="4098" max="4116" width="7.44140625" style="461" customWidth="1"/>
    <col min="4117" max="4352" width="6.6640625" style="461"/>
    <col min="4353" max="4353" width="10.44140625" style="461" customWidth="1"/>
    <col min="4354" max="4372" width="7.44140625" style="461" customWidth="1"/>
    <col min="4373" max="4608" width="6.6640625" style="461"/>
    <col min="4609" max="4609" width="10.44140625" style="461" customWidth="1"/>
    <col min="4610" max="4628" width="7.44140625" style="461" customWidth="1"/>
    <col min="4629" max="4864" width="6.6640625" style="461"/>
    <col min="4865" max="4865" width="10.44140625" style="461" customWidth="1"/>
    <col min="4866" max="4884" width="7.44140625" style="461" customWidth="1"/>
    <col min="4885" max="5120" width="6.6640625" style="461"/>
    <col min="5121" max="5121" width="10.44140625" style="461" customWidth="1"/>
    <col min="5122" max="5140" width="7.44140625" style="461" customWidth="1"/>
    <col min="5141" max="5376" width="6.6640625" style="461"/>
    <col min="5377" max="5377" width="10.44140625" style="461" customWidth="1"/>
    <col min="5378" max="5396" width="7.44140625" style="461" customWidth="1"/>
    <col min="5397" max="5632" width="6.6640625" style="461"/>
    <col min="5633" max="5633" width="10.44140625" style="461" customWidth="1"/>
    <col min="5634" max="5652" width="7.44140625" style="461" customWidth="1"/>
    <col min="5653" max="5888" width="6.6640625" style="461"/>
    <col min="5889" max="5889" width="10.44140625" style="461" customWidth="1"/>
    <col min="5890" max="5908" width="7.44140625" style="461" customWidth="1"/>
    <col min="5909" max="6144" width="6.6640625" style="461"/>
    <col min="6145" max="6145" width="10.44140625" style="461" customWidth="1"/>
    <col min="6146" max="6164" width="7.44140625" style="461" customWidth="1"/>
    <col min="6165" max="6400" width="6.6640625" style="461"/>
    <col min="6401" max="6401" width="10.44140625" style="461" customWidth="1"/>
    <col min="6402" max="6420" width="7.44140625" style="461" customWidth="1"/>
    <col min="6421" max="6656" width="6.6640625" style="461"/>
    <col min="6657" max="6657" width="10.44140625" style="461" customWidth="1"/>
    <col min="6658" max="6676" width="7.44140625" style="461" customWidth="1"/>
    <col min="6677" max="6912" width="6.6640625" style="461"/>
    <col min="6913" max="6913" width="10.44140625" style="461" customWidth="1"/>
    <col min="6914" max="6932" width="7.44140625" style="461" customWidth="1"/>
    <col min="6933" max="7168" width="6.6640625" style="461"/>
    <col min="7169" max="7169" width="10.44140625" style="461" customWidth="1"/>
    <col min="7170" max="7188" width="7.44140625" style="461" customWidth="1"/>
    <col min="7189" max="7424" width="6.6640625" style="461"/>
    <col min="7425" max="7425" width="10.44140625" style="461" customWidth="1"/>
    <col min="7426" max="7444" width="7.44140625" style="461" customWidth="1"/>
    <col min="7445" max="7680" width="6.6640625" style="461"/>
    <col min="7681" max="7681" width="10.44140625" style="461" customWidth="1"/>
    <col min="7682" max="7700" width="7.44140625" style="461" customWidth="1"/>
    <col min="7701" max="7936" width="6.6640625" style="461"/>
    <col min="7937" max="7937" width="10.44140625" style="461" customWidth="1"/>
    <col min="7938" max="7956" width="7.44140625" style="461" customWidth="1"/>
    <col min="7957" max="8192" width="6.6640625" style="461"/>
    <col min="8193" max="8193" width="10.44140625" style="461" customWidth="1"/>
    <col min="8194" max="8212" width="7.44140625" style="461" customWidth="1"/>
    <col min="8213" max="8448" width="6.6640625" style="461"/>
    <col min="8449" max="8449" width="10.44140625" style="461" customWidth="1"/>
    <col min="8450" max="8468" width="7.44140625" style="461" customWidth="1"/>
    <col min="8469" max="8704" width="6.6640625" style="461"/>
    <col min="8705" max="8705" width="10.44140625" style="461" customWidth="1"/>
    <col min="8706" max="8724" width="7.44140625" style="461" customWidth="1"/>
    <col min="8725" max="8960" width="6.6640625" style="461"/>
    <col min="8961" max="8961" width="10.44140625" style="461" customWidth="1"/>
    <col min="8962" max="8980" width="7.44140625" style="461" customWidth="1"/>
    <col min="8981" max="9216" width="6.6640625" style="461"/>
    <col min="9217" max="9217" width="10.44140625" style="461" customWidth="1"/>
    <col min="9218" max="9236" width="7.44140625" style="461" customWidth="1"/>
    <col min="9237" max="9472" width="6.6640625" style="461"/>
    <col min="9473" max="9473" width="10.44140625" style="461" customWidth="1"/>
    <col min="9474" max="9492" width="7.44140625" style="461" customWidth="1"/>
    <col min="9493" max="9728" width="6.6640625" style="461"/>
    <col min="9729" max="9729" width="10.44140625" style="461" customWidth="1"/>
    <col min="9730" max="9748" width="7.44140625" style="461" customWidth="1"/>
    <col min="9749" max="9984" width="6.6640625" style="461"/>
    <col min="9985" max="9985" width="10.44140625" style="461" customWidth="1"/>
    <col min="9986" max="10004" width="7.44140625" style="461" customWidth="1"/>
    <col min="10005" max="10240" width="6.6640625" style="461"/>
    <col min="10241" max="10241" width="10.44140625" style="461" customWidth="1"/>
    <col min="10242" max="10260" width="7.44140625" style="461" customWidth="1"/>
    <col min="10261" max="10496" width="6.6640625" style="461"/>
    <col min="10497" max="10497" width="10.44140625" style="461" customWidth="1"/>
    <col min="10498" max="10516" width="7.44140625" style="461" customWidth="1"/>
    <col min="10517" max="10752" width="6.6640625" style="461"/>
    <col min="10753" max="10753" width="10.44140625" style="461" customWidth="1"/>
    <col min="10754" max="10772" width="7.44140625" style="461" customWidth="1"/>
    <col min="10773" max="11008" width="6.6640625" style="461"/>
    <col min="11009" max="11009" width="10.44140625" style="461" customWidth="1"/>
    <col min="11010" max="11028" width="7.44140625" style="461" customWidth="1"/>
    <col min="11029" max="11264" width="6.6640625" style="461"/>
    <col min="11265" max="11265" width="10.44140625" style="461" customWidth="1"/>
    <col min="11266" max="11284" width="7.44140625" style="461" customWidth="1"/>
    <col min="11285" max="11520" width="6.6640625" style="461"/>
    <col min="11521" max="11521" width="10.44140625" style="461" customWidth="1"/>
    <col min="11522" max="11540" width="7.44140625" style="461" customWidth="1"/>
    <col min="11541" max="11776" width="6.6640625" style="461"/>
    <col min="11777" max="11777" width="10.44140625" style="461" customWidth="1"/>
    <col min="11778" max="11796" width="7.44140625" style="461" customWidth="1"/>
    <col min="11797" max="12032" width="6.6640625" style="461"/>
    <col min="12033" max="12033" width="10.44140625" style="461" customWidth="1"/>
    <col min="12034" max="12052" width="7.44140625" style="461" customWidth="1"/>
    <col min="12053" max="12288" width="6.6640625" style="461"/>
    <col min="12289" max="12289" width="10.44140625" style="461" customWidth="1"/>
    <col min="12290" max="12308" width="7.44140625" style="461" customWidth="1"/>
    <col min="12309" max="12544" width="6.6640625" style="461"/>
    <col min="12545" max="12545" width="10.44140625" style="461" customWidth="1"/>
    <col min="12546" max="12564" width="7.44140625" style="461" customWidth="1"/>
    <col min="12565" max="12800" width="6.6640625" style="461"/>
    <col min="12801" max="12801" width="10.44140625" style="461" customWidth="1"/>
    <col min="12802" max="12820" width="7.44140625" style="461" customWidth="1"/>
    <col min="12821" max="13056" width="6.6640625" style="461"/>
    <col min="13057" max="13057" width="10.44140625" style="461" customWidth="1"/>
    <col min="13058" max="13076" width="7.44140625" style="461" customWidth="1"/>
    <col min="13077" max="13312" width="6.6640625" style="461"/>
    <col min="13313" max="13313" width="10.44140625" style="461" customWidth="1"/>
    <col min="13314" max="13332" width="7.44140625" style="461" customWidth="1"/>
    <col min="13333" max="13568" width="6.6640625" style="461"/>
    <col min="13569" max="13569" width="10.44140625" style="461" customWidth="1"/>
    <col min="13570" max="13588" width="7.44140625" style="461" customWidth="1"/>
    <col min="13589" max="13824" width="6.6640625" style="461"/>
    <col min="13825" max="13825" width="10.44140625" style="461" customWidth="1"/>
    <col min="13826" max="13844" width="7.44140625" style="461" customWidth="1"/>
    <col min="13845" max="14080" width="6.6640625" style="461"/>
    <col min="14081" max="14081" width="10.44140625" style="461" customWidth="1"/>
    <col min="14082" max="14100" width="7.44140625" style="461" customWidth="1"/>
    <col min="14101" max="14336" width="6.6640625" style="461"/>
    <col min="14337" max="14337" width="10.44140625" style="461" customWidth="1"/>
    <col min="14338" max="14356" width="7.44140625" style="461" customWidth="1"/>
    <col min="14357" max="14592" width="6.6640625" style="461"/>
    <col min="14593" max="14593" width="10.44140625" style="461" customWidth="1"/>
    <col min="14594" max="14612" width="7.44140625" style="461" customWidth="1"/>
    <col min="14613" max="14848" width="6.6640625" style="461"/>
    <col min="14849" max="14849" width="10.44140625" style="461" customWidth="1"/>
    <col min="14850" max="14868" width="7.44140625" style="461" customWidth="1"/>
    <col min="14869" max="15104" width="6.6640625" style="461"/>
    <col min="15105" max="15105" width="10.44140625" style="461" customWidth="1"/>
    <col min="15106" max="15124" width="7.44140625" style="461" customWidth="1"/>
    <col min="15125" max="15360" width="6.6640625" style="461"/>
    <col min="15361" max="15361" width="10.44140625" style="461" customWidth="1"/>
    <col min="15362" max="15380" width="7.44140625" style="461" customWidth="1"/>
    <col min="15381" max="15616" width="6.6640625" style="461"/>
    <col min="15617" max="15617" width="10.44140625" style="461" customWidth="1"/>
    <col min="15618" max="15636" width="7.44140625" style="461" customWidth="1"/>
    <col min="15637" max="15872" width="6.6640625" style="461"/>
    <col min="15873" max="15873" width="10.44140625" style="461" customWidth="1"/>
    <col min="15874" max="15892" width="7.44140625" style="461" customWidth="1"/>
    <col min="15893" max="16128" width="6.6640625" style="461"/>
    <col min="16129" max="16129" width="10.44140625" style="461" customWidth="1"/>
    <col min="16130" max="16148" width="7.44140625" style="461" customWidth="1"/>
    <col min="16149" max="16384" width="6.6640625" style="461"/>
  </cols>
  <sheetData>
    <row r="1" spans="1:20" ht="18" customHeight="1" thickBot="1">
      <c r="A1" s="1141" t="s">
        <v>74</v>
      </c>
      <c r="B1" s="1141"/>
      <c r="C1" s="1141"/>
      <c r="D1" s="1141"/>
      <c r="E1" s="1141"/>
      <c r="F1" s="1141"/>
      <c r="G1" s="1141"/>
      <c r="H1" s="1141"/>
      <c r="I1" s="1141"/>
      <c r="J1" s="1141"/>
      <c r="K1" s="1141"/>
      <c r="L1" s="1141"/>
      <c r="M1" s="1141"/>
      <c r="N1" s="1141"/>
      <c r="O1" s="1141"/>
      <c r="P1" s="1141"/>
      <c r="Q1" s="1141"/>
      <c r="R1" s="1141"/>
      <c r="S1" s="1141"/>
      <c r="T1" s="1141"/>
    </row>
    <row r="2" spans="1:20" ht="17.100000000000001" customHeight="1" thickBot="1">
      <c r="A2" s="1142" t="s">
        <v>75</v>
      </c>
      <c r="B2" s="1143" t="s">
        <v>76</v>
      </c>
      <c r="C2" s="1143"/>
      <c r="D2" s="1143"/>
      <c r="E2" s="1143"/>
      <c r="F2" s="1144" t="s">
        <v>77</v>
      </c>
      <c r="G2" s="1144"/>
      <c r="H2" s="1144"/>
      <c r="I2" s="1144"/>
      <c r="J2" s="1145" t="s">
        <v>78</v>
      </c>
      <c r="K2" s="1145"/>
      <c r="L2" s="1143" t="s">
        <v>79</v>
      </c>
      <c r="M2" s="1143"/>
      <c r="N2" s="1143"/>
      <c r="O2" s="1143"/>
      <c r="P2" s="1143"/>
      <c r="Q2" s="1143"/>
      <c r="R2" s="1143"/>
      <c r="S2" s="1143"/>
      <c r="T2" s="716"/>
    </row>
    <row r="3" spans="1:20" ht="45.75" thickBot="1">
      <c r="A3" s="1142"/>
      <c r="B3" s="717" t="s">
        <v>347</v>
      </c>
      <c r="C3" s="718" t="s">
        <v>353</v>
      </c>
      <c r="D3" s="718" t="s">
        <v>354</v>
      </c>
      <c r="E3" s="718" t="s">
        <v>358</v>
      </c>
      <c r="F3" s="717" t="s">
        <v>347</v>
      </c>
      <c r="G3" s="718" t="s">
        <v>353</v>
      </c>
      <c r="H3" s="718" t="s">
        <v>354</v>
      </c>
      <c r="I3" s="718" t="s">
        <v>358</v>
      </c>
      <c r="J3" s="718" t="s">
        <v>361</v>
      </c>
      <c r="K3" s="718" t="s">
        <v>363</v>
      </c>
      <c r="L3" s="717" t="s">
        <v>347</v>
      </c>
      <c r="M3" s="718" t="s">
        <v>80</v>
      </c>
      <c r="N3" s="718" t="s">
        <v>81</v>
      </c>
      <c r="O3" s="718" t="s">
        <v>82</v>
      </c>
      <c r="P3" s="718" t="s">
        <v>218</v>
      </c>
      <c r="Q3" s="718" t="s">
        <v>353</v>
      </c>
      <c r="R3" s="718" t="s">
        <v>354</v>
      </c>
      <c r="S3" s="718" t="s">
        <v>358</v>
      </c>
      <c r="T3" s="716"/>
    </row>
    <row r="4" spans="1:20" hidden="1">
      <c r="A4" s="462" t="s">
        <v>219</v>
      </c>
      <c r="B4" s="463">
        <v>1272.7777777777778</v>
      </c>
      <c r="C4" s="463">
        <v>266.88888888888891</v>
      </c>
      <c r="D4" s="463">
        <v>273.55555555555554</v>
      </c>
      <c r="E4" s="463">
        <v>138.11111111111111</v>
      </c>
      <c r="F4" s="463">
        <v>1275</v>
      </c>
      <c r="G4" s="463">
        <v>264.55555555555554</v>
      </c>
      <c r="H4" s="463">
        <v>273.88888888888891</v>
      </c>
      <c r="I4" s="463">
        <v>141.44444444444446</v>
      </c>
      <c r="J4" s="463">
        <v>5.793333333333333</v>
      </c>
      <c r="K4" s="463">
        <v>29.696666666666665</v>
      </c>
      <c r="L4" s="463">
        <v>771.66666666666663</v>
      </c>
      <c r="M4" s="463">
        <v>836.33333333333337</v>
      </c>
      <c r="N4" s="463">
        <v>768.55555555555554</v>
      </c>
      <c r="O4" s="463">
        <v>599</v>
      </c>
      <c r="P4" s="463">
        <v>872.88888888888891</v>
      </c>
      <c r="Q4" s="463">
        <v>156.77777777777777</v>
      </c>
      <c r="R4" s="463">
        <v>205</v>
      </c>
      <c r="S4" s="463">
        <v>70.777777777777771</v>
      </c>
      <c r="T4" s="462"/>
    </row>
    <row r="5" spans="1:20" hidden="1">
      <c r="A5" s="462" t="s">
        <v>220</v>
      </c>
      <c r="B5" s="463">
        <v>1272.3333333333333</v>
      </c>
      <c r="C5" s="463">
        <v>261.44444444444446</v>
      </c>
      <c r="D5" s="463">
        <v>270.66666666666669</v>
      </c>
      <c r="E5" s="463">
        <v>134.11111111111111</v>
      </c>
      <c r="F5" s="463">
        <v>1274.4444444444443</v>
      </c>
      <c r="G5" s="463">
        <v>259</v>
      </c>
      <c r="H5" s="463">
        <v>271</v>
      </c>
      <c r="I5" s="463">
        <v>137.22222222222223</v>
      </c>
      <c r="J5" s="463">
        <v>5.6466666666666674</v>
      </c>
      <c r="K5" s="463">
        <v>29.277777777777779</v>
      </c>
      <c r="L5" s="463">
        <v>768.88888888888891</v>
      </c>
      <c r="M5" s="463">
        <v>828.22222222222217</v>
      </c>
      <c r="N5" s="463">
        <v>761.55555555555554</v>
      </c>
      <c r="O5" s="463">
        <v>609.33333333333337</v>
      </c>
      <c r="P5" s="463">
        <v>878.77777777777783</v>
      </c>
      <c r="Q5" s="463">
        <v>153.11111111111111</v>
      </c>
      <c r="R5" s="463">
        <v>202.88888888888889</v>
      </c>
      <c r="S5" s="463">
        <v>68.444444444444443</v>
      </c>
      <c r="T5" s="462"/>
    </row>
    <row r="6" spans="1:20" hidden="1">
      <c r="A6" s="462" t="s">
        <v>364</v>
      </c>
      <c r="B6" s="463">
        <v>1278</v>
      </c>
      <c r="C6" s="463">
        <v>252</v>
      </c>
      <c r="D6" s="463">
        <v>270</v>
      </c>
      <c r="E6" s="463">
        <v>134</v>
      </c>
      <c r="F6" s="463">
        <v>1281</v>
      </c>
      <c r="G6" s="463">
        <v>250</v>
      </c>
      <c r="H6" s="463">
        <v>271</v>
      </c>
      <c r="I6" s="463">
        <v>137</v>
      </c>
      <c r="J6" s="463">
        <v>5.86</v>
      </c>
      <c r="K6" s="463">
        <v>29.08</v>
      </c>
      <c r="L6" s="463">
        <v>775</v>
      </c>
      <c r="M6" s="463">
        <v>855</v>
      </c>
      <c r="N6" s="463">
        <v>780</v>
      </c>
      <c r="O6" s="463">
        <v>580</v>
      </c>
      <c r="P6" s="463">
        <v>863</v>
      </c>
      <c r="Q6" s="463">
        <v>147</v>
      </c>
      <c r="R6" s="463">
        <v>202</v>
      </c>
      <c r="S6" s="463">
        <v>68</v>
      </c>
      <c r="T6" s="462"/>
    </row>
    <row r="7" spans="1:20" hidden="1">
      <c r="A7" s="462" t="s">
        <v>365</v>
      </c>
      <c r="B7" s="463">
        <v>1270</v>
      </c>
      <c r="C7" s="463">
        <v>247</v>
      </c>
      <c r="D7" s="463">
        <v>266</v>
      </c>
      <c r="E7" s="463">
        <v>132</v>
      </c>
      <c r="F7" s="463">
        <v>1272</v>
      </c>
      <c r="G7" s="463">
        <v>245</v>
      </c>
      <c r="H7" s="463">
        <v>266</v>
      </c>
      <c r="I7" s="463">
        <v>135</v>
      </c>
      <c r="J7" s="463">
        <v>5.78</v>
      </c>
      <c r="K7" s="463">
        <v>28.51</v>
      </c>
      <c r="L7" s="463">
        <v>775</v>
      </c>
      <c r="M7" s="463">
        <v>847</v>
      </c>
      <c r="N7" s="463">
        <v>773</v>
      </c>
      <c r="O7" s="463">
        <v>579</v>
      </c>
      <c r="P7" s="463">
        <v>868</v>
      </c>
      <c r="Q7" s="463">
        <v>145</v>
      </c>
      <c r="R7" s="463">
        <v>199</v>
      </c>
      <c r="S7" s="463">
        <v>68</v>
      </c>
      <c r="T7" s="462"/>
    </row>
    <row r="8" spans="1:20" hidden="1">
      <c r="A8" s="462" t="s">
        <v>366</v>
      </c>
      <c r="B8" s="463">
        <v>1272</v>
      </c>
      <c r="C8" s="463">
        <v>244</v>
      </c>
      <c r="D8" s="463">
        <v>268</v>
      </c>
      <c r="E8" s="463">
        <v>133</v>
      </c>
      <c r="F8" s="463">
        <v>1274</v>
      </c>
      <c r="G8" s="463">
        <v>242</v>
      </c>
      <c r="H8" s="463">
        <v>268</v>
      </c>
      <c r="I8" s="463">
        <v>136</v>
      </c>
      <c r="J8" s="463">
        <v>5.76</v>
      </c>
      <c r="K8" s="463">
        <v>29.07</v>
      </c>
      <c r="L8" s="463">
        <v>776</v>
      </c>
      <c r="M8" s="463">
        <v>846</v>
      </c>
      <c r="N8" s="463">
        <v>769</v>
      </c>
      <c r="O8" s="463">
        <v>588</v>
      </c>
      <c r="P8" s="463">
        <v>877</v>
      </c>
      <c r="Q8" s="463">
        <v>142</v>
      </c>
      <c r="R8" s="463">
        <v>201</v>
      </c>
      <c r="S8" s="463">
        <v>68</v>
      </c>
      <c r="T8" s="462"/>
    </row>
    <row r="9" spans="1:20" hidden="1">
      <c r="A9" s="462" t="s">
        <v>367</v>
      </c>
      <c r="B9" s="463">
        <v>1262</v>
      </c>
      <c r="C9" s="463">
        <v>266</v>
      </c>
      <c r="D9" s="463">
        <v>273</v>
      </c>
      <c r="E9" s="463">
        <v>137</v>
      </c>
      <c r="F9" s="463">
        <v>1263</v>
      </c>
      <c r="G9" s="463">
        <v>264</v>
      </c>
      <c r="H9" s="463">
        <v>273</v>
      </c>
      <c r="I9" s="463">
        <v>141</v>
      </c>
      <c r="J9" s="463">
        <v>5.81</v>
      </c>
      <c r="K9" s="463">
        <v>29.29</v>
      </c>
      <c r="L9" s="463">
        <v>770</v>
      </c>
      <c r="M9" s="463">
        <v>832</v>
      </c>
      <c r="N9" s="463">
        <v>758</v>
      </c>
      <c r="O9" s="463">
        <v>594</v>
      </c>
      <c r="P9" s="463">
        <v>878</v>
      </c>
      <c r="Q9" s="463">
        <v>156</v>
      </c>
      <c r="R9" s="463">
        <v>204</v>
      </c>
      <c r="S9" s="463">
        <v>71</v>
      </c>
      <c r="T9" s="462"/>
    </row>
    <row r="10" spans="1:20" hidden="1">
      <c r="A10" s="462" t="s">
        <v>368</v>
      </c>
      <c r="B10" s="463">
        <v>1253</v>
      </c>
      <c r="C10" s="463">
        <v>288</v>
      </c>
      <c r="D10" s="463">
        <v>275</v>
      </c>
      <c r="E10" s="463">
        <v>143</v>
      </c>
      <c r="F10" s="463">
        <v>1255</v>
      </c>
      <c r="G10" s="463">
        <v>285</v>
      </c>
      <c r="H10" s="463">
        <v>276</v>
      </c>
      <c r="I10" s="463">
        <v>148</v>
      </c>
      <c r="J10" s="463">
        <v>5.81</v>
      </c>
      <c r="K10" s="463">
        <v>30.18</v>
      </c>
      <c r="L10" s="463">
        <v>761</v>
      </c>
      <c r="M10" s="463">
        <v>819</v>
      </c>
      <c r="N10" s="463">
        <v>749</v>
      </c>
      <c r="O10" s="463">
        <v>602</v>
      </c>
      <c r="P10" s="463">
        <v>881</v>
      </c>
      <c r="Q10" s="463">
        <v>170</v>
      </c>
      <c r="R10" s="463">
        <v>206</v>
      </c>
      <c r="S10" s="463">
        <v>74</v>
      </c>
      <c r="T10" s="462"/>
    </row>
    <row r="11" spans="1:20" hidden="1">
      <c r="A11" s="462" t="s">
        <v>369</v>
      </c>
      <c r="B11" s="463">
        <v>1257</v>
      </c>
      <c r="C11" s="463">
        <v>296</v>
      </c>
      <c r="D11" s="463">
        <v>277</v>
      </c>
      <c r="E11" s="463">
        <v>138</v>
      </c>
      <c r="F11" s="463">
        <v>1259</v>
      </c>
      <c r="G11" s="463">
        <v>293</v>
      </c>
      <c r="H11" s="463">
        <v>277</v>
      </c>
      <c r="I11" s="463">
        <v>142</v>
      </c>
      <c r="J11" s="463">
        <v>5.76</v>
      </c>
      <c r="K11" s="463">
        <v>29.98</v>
      </c>
      <c r="L11" s="463">
        <v>759</v>
      </c>
      <c r="M11" s="463">
        <v>817</v>
      </c>
      <c r="N11" s="463">
        <v>755</v>
      </c>
      <c r="O11" s="463">
        <v>606</v>
      </c>
      <c r="P11" s="463">
        <v>882</v>
      </c>
      <c r="Q11" s="463">
        <v>175</v>
      </c>
      <c r="R11" s="463">
        <v>208</v>
      </c>
      <c r="S11" s="463">
        <v>71</v>
      </c>
      <c r="T11" s="462"/>
    </row>
    <row r="12" spans="1:20" hidden="1">
      <c r="A12" s="462" t="s">
        <v>370</v>
      </c>
      <c r="B12" s="463">
        <v>1276</v>
      </c>
      <c r="C12" s="463">
        <v>283</v>
      </c>
      <c r="D12" s="463">
        <v>278</v>
      </c>
      <c r="E12" s="463">
        <v>146</v>
      </c>
      <c r="F12" s="463">
        <v>1278</v>
      </c>
      <c r="G12" s="463">
        <v>281</v>
      </c>
      <c r="H12" s="463">
        <v>278</v>
      </c>
      <c r="I12" s="463">
        <v>148</v>
      </c>
      <c r="J12" s="463">
        <v>5.75</v>
      </c>
      <c r="K12" s="463">
        <v>29.81</v>
      </c>
      <c r="L12" s="463">
        <v>771</v>
      </c>
      <c r="M12" s="463">
        <v>827</v>
      </c>
      <c r="N12" s="463">
        <v>770</v>
      </c>
      <c r="O12" s="463">
        <v>613</v>
      </c>
      <c r="P12" s="463">
        <v>877</v>
      </c>
      <c r="Q12" s="463">
        <v>168</v>
      </c>
      <c r="R12" s="463">
        <v>208</v>
      </c>
      <c r="S12" s="463">
        <v>74</v>
      </c>
      <c r="T12" s="462"/>
    </row>
    <row r="13" spans="1:20" hidden="1">
      <c r="A13" s="462" t="s">
        <v>371</v>
      </c>
      <c r="B13" s="463">
        <v>1286</v>
      </c>
      <c r="C13" s="463">
        <v>264</v>
      </c>
      <c r="D13" s="463">
        <v>277</v>
      </c>
      <c r="E13" s="463">
        <v>141</v>
      </c>
      <c r="F13" s="463">
        <v>1289</v>
      </c>
      <c r="G13" s="463">
        <v>262</v>
      </c>
      <c r="H13" s="463">
        <v>278</v>
      </c>
      <c r="I13" s="463">
        <v>144</v>
      </c>
      <c r="J13" s="463">
        <v>5.76</v>
      </c>
      <c r="K13" s="463">
        <v>30.51</v>
      </c>
      <c r="L13" s="463">
        <v>776</v>
      </c>
      <c r="M13" s="463">
        <v>835</v>
      </c>
      <c r="N13" s="463">
        <v>778</v>
      </c>
      <c r="O13" s="463">
        <v>616</v>
      </c>
      <c r="P13" s="463">
        <v>869</v>
      </c>
      <c r="Q13" s="463">
        <v>155</v>
      </c>
      <c r="R13" s="463">
        <v>208</v>
      </c>
      <c r="S13" s="463">
        <v>72</v>
      </c>
      <c r="T13" s="462"/>
    </row>
    <row r="14" spans="1:20" ht="1.5" hidden="1" customHeight="1">
      <c r="A14" s="462" t="s">
        <v>372</v>
      </c>
      <c r="B14" s="463">
        <v>1301</v>
      </c>
      <c r="C14" s="463">
        <v>262</v>
      </c>
      <c r="D14" s="463">
        <v>278</v>
      </c>
      <c r="E14" s="463">
        <v>139</v>
      </c>
      <c r="F14" s="463">
        <v>1304</v>
      </c>
      <c r="G14" s="463">
        <v>259</v>
      </c>
      <c r="H14" s="463">
        <v>278</v>
      </c>
      <c r="I14" s="463">
        <v>142</v>
      </c>
      <c r="J14" s="463">
        <v>5.85</v>
      </c>
      <c r="K14" s="463">
        <v>30.84</v>
      </c>
      <c r="L14" s="463">
        <v>782</v>
      </c>
      <c r="M14" s="463">
        <v>849</v>
      </c>
      <c r="N14" s="463">
        <v>785</v>
      </c>
      <c r="O14" s="463">
        <v>613</v>
      </c>
      <c r="P14" s="463">
        <v>861</v>
      </c>
      <c r="Q14" s="463">
        <v>153</v>
      </c>
      <c r="R14" s="463">
        <v>209</v>
      </c>
      <c r="S14" s="463">
        <v>71</v>
      </c>
      <c r="T14" s="462"/>
    </row>
    <row r="15" spans="1:20" hidden="1">
      <c r="A15" s="462" t="s">
        <v>373</v>
      </c>
      <c r="B15" s="463">
        <v>1305</v>
      </c>
      <c r="C15" s="463">
        <v>261</v>
      </c>
      <c r="D15" s="463">
        <v>277</v>
      </c>
      <c r="E15" s="463">
        <v>138</v>
      </c>
      <c r="F15" s="463">
        <v>1307</v>
      </c>
      <c r="G15" s="463">
        <v>258</v>
      </c>
      <c r="H15" s="463">
        <v>278</v>
      </c>
      <c r="I15" s="463">
        <v>140</v>
      </c>
      <c r="J15" s="463">
        <v>5.85</v>
      </c>
      <c r="K15" s="463">
        <v>30.02</v>
      </c>
      <c r="L15" s="463">
        <v>784</v>
      </c>
      <c r="M15" s="463">
        <v>854</v>
      </c>
      <c r="N15" s="463">
        <v>788</v>
      </c>
      <c r="O15" s="463">
        <v>605</v>
      </c>
      <c r="P15" s="463">
        <v>863</v>
      </c>
      <c r="Q15" s="463">
        <v>153</v>
      </c>
      <c r="R15" s="463">
        <v>208</v>
      </c>
      <c r="S15" s="463">
        <v>70</v>
      </c>
      <c r="T15" s="462"/>
    </row>
    <row r="16" spans="1:20" hidden="1">
      <c r="A16" s="462" t="s">
        <v>374</v>
      </c>
      <c r="B16" s="463">
        <v>1299</v>
      </c>
      <c r="C16" s="463">
        <v>269</v>
      </c>
      <c r="D16" s="463">
        <v>278</v>
      </c>
      <c r="E16" s="463">
        <v>131</v>
      </c>
      <c r="F16" s="463">
        <v>1302</v>
      </c>
      <c r="G16" s="463">
        <v>266</v>
      </c>
      <c r="H16" s="463">
        <v>278</v>
      </c>
      <c r="I16" s="463">
        <v>134</v>
      </c>
      <c r="J16" s="463">
        <v>5.88</v>
      </c>
      <c r="K16" s="463">
        <v>28.18</v>
      </c>
      <c r="L16" s="463">
        <v>782</v>
      </c>
      <c r="M16" s="463">
        <v>855</v>
      </c>
      <c r="N16" s="463">
        <v>790</v>
      </c>
      <c r="O16" s="463">
        <v>599</v>
      </c>
      <c r="P16" s="463">
        <v>862</v>
      </c>
      <c r="Q16" s="463">
        <v>157</v>
      </c>
      <c r="R16" s="463">
        <v>208</v>
      </c>
      <c r="S16" s="463">
        <v>67</v>
      </c>
      <c r="T16" s="462"/>
    </row>
    <row r="17" spans="1:20" hidden="1">
      <c r="A17" s="462" t="s">
        <v>199</v>
      </c>
      <c r="B17" s="463">
        <v>1298</v>
      </c>
      <c r="C17" s="463">
        <v>275</v>
      </c>
      <c r="D17" s="463">
        <v>276</v>
      </c>
      <c r="E17" s="463">
        <v>130</v>
      </c>
      <c r="F17" s="463">
        <v>1301</v>
      </c>
      <c r="G17" s="463">
        <v>271</v>
      </c>
      <c r="H17" s="463">
        <v>276</v>
      </c>
      <c r="I17" s="463">
        <v>134</v>
      </c>
      <c r="J17" s="463">
        <v>5.87</v>
      </c>
      <c r="K17" s="463">
        <v>28.35</v>
      </c>
      <c r="L17" s="463">
        <v>786</v>
      </c>
      <c r="M17" s="463">
        <v>859</v>
      </c>
      <c r="N17" s="463">
        <v>788</v>
      </c>
      <c r="O17" s="463">
        <v>599</v>
      </c>
      <c r="P17" s="463">
        <v>862</v>
      </c>
      <c r="Q17" s="463">
        <v>160</v>
      </c>
      <c r="R17" s="463">
        <v>206</v>
      </c>
      <c r="S17" s="463">
        <v>67</v>
      </c>
      <c r="T17" s="462"/>
    </row>
    <row r="18" spans="1:20" hidden="1">
      <c r="A18" s="462" t="s">
        <v>200</v>
      </c>
      <c r="B18" s="463">
        <v>1289</v>
      </c>
      <c r="C18" s="463">
        <v>274</v>
      </c>
      <c r="D18" s="463">
        <v>270</v>
      </c>
      <c r="E18" s="463">
        <v>129</v>
      </c>
      <c r="F18" s="463">
        <v>1292</v>
      </c>
      <c r="G18" s="463">
        <v>271</v>
      </c>
      <c r="H18" s="463">
        <v>271</v>
      </c>
      <c r="I18" s="463">
        <v>130</v>
      </c>
      <c r="J18" s="463">
        <v>5.74</v>
      </c>
      <c r="K18" s="463">
        <v>28.44</v>
      </c>
      <c r="L18" s="463">
        <v>782</v>
      </c>
      <c r="M18" s="463">
        <v>852</v>
      </c>
      <c r="N18" s="463">
        <v>778</v>
      </c>
      <c r="O18" s="463">
        <v>598</v>
      </c>
      <c r="P18" s="463">
        <v>873</v>
      </c>
      <c r="Q18" s="463">
        <v>159</v>
      </c>
      <c r="R18" s="463">
        <v>202</v>
      </c>
      <c r="S18" s="463">
        <v>65</v>
      </c>
      <c r="T18" s="462"/>
    </row>
    <row r="19" spans="1:20" hidden="1">
      <c r="A19" s="462" t="s">
        <v>201</v>
      </c>
      <c r="B19" s="463">
        <v>1277</v>
      </c>
      <c r="C19" s="463">
        <v>254</v>
      </c>
      <c r="D19" s="463">
        <v>267</v>
      </c>
      <c r="E19" s="463">
        <v>126</v>
      </c>
      <c r="F19" s="463">
        <v>1279</v>
      </c>
      <c r="G19" s="463">
        <v>252</v>
      </c>
      <c r="H19" s="463">
        <v>267</v>
      </c>
      <c r="I19" s="463">
        <v>129</v>
      </c>
      <c r="J19" s="463">
        <v>5.57</v>
      </c>
      <c r="K19" s="463">
        <v>27.93</v>
      </c>
      <c r="L19" s="463">
        <v>778</v>
      </c>
      <c r="M19" s="463">
        <v>842</v>
      </c>
      <c r="N19" s="463">
        <v>767</v>
      </c>
      <c r="O19" s="463">
        <v>604</v>
      </c>
      <c r="P19" s="463">
        <v>883</v>
      </c>
      <c r="Q19" s="463">
        <v>148</v>
      </c>
      <c r="R19" s="463">
        <v>200</v>
      </c>
      <c r="S19" s="463">
        <v>64</v>
      </c>
      <c r="T19" s="462"/>
    </row>
    <row r="20" spans="1:20" hidden="1">
      <c r="A20" s="462" t="s">
        <v>202</v>
      </c>
      <c r="B20" s="463">
        <v>1273</v>
      </c>
      <c r="C20" s="463">
        <v>251</v>
      </c>
      <c r="D20" s="463">
        <v>269</v>
      </c>
      <c r="E20" s="463">
        <v>130</v>
      </c>
      <c r="F20" s="463">
        <v>1275</v>
      </c>
      <c r="G20" s="463">
        <v>249</v>
      </c>
      <c r="H20" s="463">
        <v>269</v>
      </c>
      <c r="I20" s="463">
        <v>134</v>
      </c>
      <c r="J20" s="463">
        <v>5.59</v>
      </c>
      <c r="K20" s="463">
        <v>28.56</v>
      </c>
      <c r="L20" s="463">
        <v>773</v>
      </c>
      <c r="M20" s="463">
        <v>834</v>
      </c>
      <c r="N20" s="463">
        <v>760</v>
      </c>
      <c r="O20" s="463">
        <v>604</v>
      </c>
      <c r="P20" s="463">
        <v>886</v>
      </c>
      <c r="Q20" s="463">
        <v>146</v>
      </c>
      <c r="R20" s="463">
        <v>201</v>
      </c>
      <c r="S20" s="463">
        <v>67</v>
      </c>
      <c r="T20" s="462"/>
    </row>
    <row r="21" spans="1:20" hidden="1">
      <c r="A21" s="462" t="s">
        <v>203</v>
      </c>
      <c r="B21" s="463">
        <v>1261</v>
      </c>
      <c r="C21" s="463">
        <v>269</v>
      </c>
      <c r="D21" s="463">
        <v>271</v>
      </c>
      <c r="E21" s="463">
        <v>134</v>
      </c>
      <c r="F21" s="463">
        <v>1263</v>
      </c>
      <c r="G21" s="463">
        <v>267</v>
      </c>
      <c r="H21" s="463">
        <v>271</v>
      </c>
      <c r="I21" s="463">
        <v>138</v>
      </c>
      <c r="J21" s="463">
        <v>5.63</v>
      </c>
      <c r="K21" s="463">
        <v>29.01</v>
      </c>
      <c r="L21" s="463">
        <v>765</v>
      </c>
      <c r="M21" s="463">
        <v>821</v>
      </c>
      <c r="N21" s="463">
        <v>749</v>
      </c>
      <c r="O21" s="463">
        <v>609</v>
      </c>
      <c r="P21" s="463">
        <v>896</v>
      </c>
      <c r="Q21" s="463">
        <v>157</v>
      </c>
      <c r="R21" s="463">
        <v>203</v>
      </c>
      <c r="S21" s="463">
        <v>69</v>
      </c>
      <c r="T21" s="462"/>
    </row>
    <row r="22" spans="1:20" hidden="1">
      <c r="A22" s="462" t="s">
        <v>204</v>
      </c>
      <c r="B22" s="463">
        <v>1250</v>
      </c>
      <c r="C22" s="463">
        <v>286</v>
      </c>
      <c r="D22" s="463">
        <v>272</v>
      </c>
      <c r="E22" s="463">
        <v>139</v>
      </c>
      <c r="F22" s="463">
        <v>1251</v>
      </c>
      <c r="G22" s="463">
        <v>283</v>
      </c>
      <c r="H22" s="463">
        <v>273</v>
      </c>
      <c r="I22" s="463">
        <v>142</v>
      </c>
      <c r="J22" s="463">
        <v>5.71</v>
      </c>
      <c r="K22" s="463">
        <v>29.71</v>
      </c>
      <c r="L22" s="463">
        <v>754</v>
      </c>
      <c r="M22" s="463">
        <v>808</v>
      </c>
      <c r="N22" s="463">
        <v>740</v>
      </c>
      <c r="O22" s="463">
        <v>610</v>
      </c>
      <c r="P22" s="463">
        <v>886</v>
      </c>
      <c r="Q22" s="463">
        <v>168</v>
      </c>
      <c r="R22" s="463">
        <v>204</v>
      </c>
      <c r="S22" s="463">
        <v>71</v>
      </c>
      <c r="T22" s="462"/>
    </row>
    <row r="23" spans="1:20" hidden="1">
      <c r="A23" s="462" t="s">
        <v>205</v>
      </c>
      <c r="B23" s="463">
        <v>1253</v>
      </c>
      <c r="C23" s="463">
        <v>275</v>
      </c>
      <c r="D23" s="463">
        <v>273</v>
      </c>
      <c r="E23" s="463">
        <v>136</v>
      </c>
      <c r="F23" s="463">
        <v>1255</v>
      </c>
      <c r="G23" s="463">
        <v>273</v>
      </c>
      <c r="H23" s="463">
        <v>273</v>
      </c>
      <c r="I23" s="463">
        <v>141</v>
      </c>
      <c r="J23" s="463">
        <v>5.68</v>
      </c>
      <c r="K23" s="463">
        <v>29.68</v>
      </c>
      <c r="L23" s="463">
        <v>756</v>
      </c>
      <c r="M23" s="463">
        <v>809</v>
      </c>
      <c r="N23" s="463">
        <v>749</v>
      </c>
      <c r="O23" s="463">
        <v>612</v>
      </c>
      <c r="P23" s="463">
        <v>884</v>
      </c>
      <c r="Q23" s="463">
        <v>162</v>
      </c>
      <c r="R23" s="463">
        <v>205</v>
      </c>
      <c r="S23" s="463">
        <v>70</v>
      </c>
      <c r="T23" s="462"/>
    </row>
    <row r="24" spans="1:20" hidden="1">
      <c r="A24" s="462" t="s">
        <v>206</v>
      </c>
      <c r="B24" s="463">
        <v>1273</v>
      </c>
      <c r="C24" s="463">
        <v>259</v>
      </c>
      <c r="D24" s="463">
        <v>272</v>
      </c>
      <c r="E24" s="463">
        <v>135</v>
      </c>
      <c r="F24" s="463">
        <v>1275</v>
      </c>
      <c r="G24" s="463">
        <v>257</v>
      </c>
      <c r="H24" s="463">
        <v>272</v>
      </c>
      <c r="I24" s="463">
        <v>137</v>
      </c>
      <c r="J24" s="463">
        <v>5.64</v>
      </c>
      <c r="K24" s="463">
        <v>29.57</v>
      </c>
      <c r="L24" s="463">
        <v>764</v>
      </c>
      <c r="M24" s="463">
        <v>820</v>
      </c>
      <c r="N24" s="463">
        <v>760</v>
      </c>
      <c r="O24" s="463">
        <v>616</v>
      </c>
      <c r="P24" s="463">
        <v>875</v>
      </c>
      <c r="Q24" s="463">
        <v>153</v>
      </c>
      <c r="R24" s="463">
        <v>204</v>
      </c>
      <c r="S24" s="463">
        <v>68</v>
      </c>
      <c r="T24" s="462"/>
    </row>
    <row r="25" spans="1:20" hidden="1">
      <c r="A25" s="462" t="s">
        <v>207</v>
      </c>
      <c r="B25" s="463">
        <v>1285</v>
      </c>
      <c r="C25" s="463">
        <v>247</v>
      </c>
      <c r="D25" s="463">
        <v>270</v>
      </c>
      <c r="E25" s="463">
        <v>140</v>
      </c>
      <c r="F25" s="463">
        <v>1287</v>
      </c>
      <c r="G25" s="463">
        <v>244</v>
      </c>
      <c r="H25" s="463">
        <v>271</v>
      </c>
      <c r="I25" s="463">
        <v>143</v>
      </c>
      <c r="J25" s="463">
        <v>5.62</v>
      </c>
      <c r="K25" s="463">
        <v>30.1</v>
      </c>
      <c r="L25" s="463">
        <v>773</v>
      </c>
      <c r="M25" s="463">
        <v>830</v>
      </c>
      <c r="N25" s="463">
        <v>771</v>
      </c>
      <c r="O25" s="463">
        <v>621</v>
      </c>
      <c r="P25" s="463">
        <v>867</v>
      </c>
      <c r="Q25" s="463">
        <v>145</v>
      </c>
      <c r="R25" s="463">
        <v>203</v>
      </c>
      <c r="S25" s="463">
        <v>71</v>
      </c>
      <c r="T25" s="462"/>
    </row>
    <row r="26" spans="1:20" hidden="1">
      <c r="A26" s="462" t="s">
        <v>208</v>
      </c>
      <c r="B26" s="463">
        <v>1290</v>
      </c>
      <c r="C26" s="463">
        <v>238</v>
      </c>
      <c r="D26" s="463">
        <v>272</v>
      </c>
      <c r="E26" s="463">
        <v>138</v>
      </c>
      <c r="F26" s="463">
        <v>1293</v>
      </c>
      <c r="G26" s="463">
        <v>235</v>
      </c>
      <c r="H26" s="463">
        <v>272</v>
      </c>
      <c r="I26" s="463">
        <v>141</v>
      </c>
      <c r="J26" s="463">
        <v>5.64</v>
      </c>
      <c r="K26" s="463">
        <v>30.5</v>
      </c>
      <c r="L26" s="463">
        <v>775</v>
      </c>
      <c r="M26" s="463">
        <v>838</v>
      </c>
      <c r="N26" s="463">
        <v>780</v>
      </c>
      <c r="O26" s="463">
        <v>610</v>
      </c>
      <c r="P26" s="463">
        <v>859</v>
      </c>
      <c r="Q26" s="463">
        <v>140</v>
      </c>
      <c r="R26" s="463">
        <v>204</v>
      </c>
      <c r="S26" s="463">
        <v>71</v>
      </c>
      <c r="T26" s="462"/>
    </row>
    <row r="27" spans="1:20" hidden="1">
      <c r="A27" s="462" t="s">
        <v>209</v>
      </c>
      <c r="B27" s="463">
        <v>1296</v>
      </c>
      <c r="C27" s="463">
        <v>240</v>
      </c>
      <c r="D27" s="463">
        <v>270</v>
      </c>
      <c r="E27" s="463">
        <v>136</v>
      </c>
      <c r="F27" s="463">
        <v>1299</v>
      </c>
      <c r="G27" s="463">
        <v>238</v>
      </c>
      <c r="H27" s="463">
        <v>270</v>
      </c>
      <c r="I27" s="463">
        <v>139</v>
      </c>
      <c r="J27" s="463">
        <v>5.65</v>
      </c>
      <c r="K27" s="463">
        <v>29.6</v>
      </c>
      <c r="L27" s="463">
        <v>780</v>
      </c>
      <c r="M27" s="463">
        <v>846</v>
      </c>
      <c r="N27" s="463">
        <v>784</v>
      </c>
      <c r="O27" s="463">
        <v>604</v>
      </c>
      <c r="P27" s="463">
        <v>865</v>
      </c>
      <c r="Q27" s="463">
        <v>142</v>
      </c>
      <c r="R27" s="463">
        <v>202</v>
      </c>
      <c r="S27" s="463">
        <v>69</v>
      </c>
      <c r="T27" s="462"/>
    </row>
    <row r="28" spans="1:20" hidden="1">
      <c r="A28" s="462" t="s">
        <v>210</v>
      </c>
      <c r="B28" s="463">
        <v>1298</v>
      </c>
      <c r="C28" s="463">
        <v>246</v>
      </c>
      <c r="D28" s="463">
        <v>272</v>
      </c>
      <c r="E28" s="463">
        <v>131</v>
      </c>
      <c r="F28" s="463">
        <v>1301</v>
      </c>
      <c r="G28" s="463">
        <v>243</v>
      </c>
      <c r="H28" s="463">
        <v>272</v>
      </c>
      <c r="I28" s="463">
        <v>134</v>
      </c>
      <c r="J28" s="463">
        <v>5.68</v>
      </c>
      <c r="K28" s="463">
        <v>27.7</v>
      </c>
      <c r="L28" s="463">
        <v>780</v>
      </c>
      <c r="M28" s="463">
        <v>850</v>
      </c>
      <c r="N28" s="463">
        <v>792</v>
      </c>
      <c r="O28" s="463">
        <v>599</v>
      </c>
      <c r="P28" s="463">
        <v>859</v>
      </c>
      <c r="Q28" s="463">
        <v>145</v>
      </c>
      <c r="R28" s="463">
        <v>204</v>
      </c>
      <c r="S28" s="463">
        <v>67</v>
      </c>
      <c r="T28" s="462"/>
    </row>
    <row r="29" spans="1:20" ht="2.25" hidden="1" customHeight="1">
      <c r="A29" s="462" t="s">
        <v>211</v>
      </c>
      <c r="B29" s="463">
        <v>1312</v>
      </c>
      <c r="C29" s="463">
        <v>249</v>
      </c>
      <c r="D29" s="463">
        <v>272</v>
      </c>
      <c r="E29" s="463">
        <v>131</v>
      </c>
      <c r="F29" s="463">
        <v>1315</v>
      </c>
      <c r="G29" s="463">
        <v>246</v>
      </c>
      <c r="H29" s="463">
        <v>272</v>
      </c>
      <c r="I29" s="463">
        <v>133</v>
      </c>
      <c r="J29" s="463">
        <v>5.67</v>
      </c>
      <c r="K29" s="463">
        <v>28.42</v>
      </c>
      <c r="L29" s="463">
        <v>794</v>
      </c>
      <c r="M29" s="463">
        <v>863</v>
      </c>
      <c r="N29" s="463">
        <v>800</v>
      </c>
      <c r="O29" s="463">
        <v>603</v>
      </c>
      <c r="P29" s="463">
        <v>866</v>
      </c>
      <c r="Q29" s="463">
        <v>146</v>
      </c>
      <c r="R29" s="463">
        <v>203</v>
      </c>
      <c r="S29" s="463">
        <v>67</v>
      </c>
      <c r="T29" s="462"/>
    </row>
    <row r="30" spans="1:20" hidden="1">
      <c r="A30" s="462" t="s">
        <v>212</v>
      </c>
      <c r="B30" s="463">
        <v>1310</v>
      </c>
      <c r="C30" s="463">
        <v>245</v>
      </c>
      <c r="D30" s="463">
        <v>270</v>
      </c>
      <c r="E30" s="463">
        <v>130</v>
      </c>
      <c r="F30" s="463">
        <v>1313</v>
      </c>
      <c r="G30" s="463">
        <v>242</v>
      </c>
      <c r="H30" s="463">
        <v>270</v>
      </c>
      <c r="I30" s="463">
        <v>134</v>
      </c>
      <c r="J30" s="463">
        <v>5.62</v>
      </c>
      <c r="K30" s="463">
        <v>28.64</v>
      </c>
      <c r="L30" s="463">
        <v>799</v>
      </c>
      <c r="M30" s="463">
        <v>867</v>
      </c>
      <c r="N30" s="463">
        <v>797</v>
      </c>
      <c r="O30" s="463">
        <v>606</v>
      </c>
      <c r="P30" s="463">
        <v>880</v>
      </c>
      <c r="Q30" s="463">
        <v>144</v>
      </c>
      <c r="R30" s="463">
        <v>202</v>
      </c>
      <c r="S30" s="463">
        <v>67</v>
      </c>
      <c r="T30" s="462"/>
    </row>
    <row r="31" spans="1:20" hidden="1">
      <c r="A31" s="462" t="s">
        <v>213</v>
      </c>
      <c r="B31" s="463">
        <v>1293</v>
      </c>
      <c r="C31" s="463">
        <v>234</v>
      </c>
      <c r="D31" s="463">
        <v>268</v>
      </c>
      <c r="E31" s="463">
        <v>131</v>
      </c>
      <c r="F31" s="463">
        <v>1296</v>
      </c>
      <c r="G31" s="463">
        <v>231</v>
      </c>
      <c r="H31" s="463">
        <v>268</v>
      </c>
      <c r="I31" s="463">
        <v>135</v>
      </c>
      <c r="J31" s="463">
        <v>5.56</v>
      </c>
      <c r="K31" s="463">
        <v>28.23</v>
      </c>
      <c r="L31" s="463">
        <v>790</v>
      </c>
      <c r="M31" s="463">
        <v>856</v>
      </c>
      <c r="N31" s="463">
        <v>784</v>
      </c>
      <c r="O31" s="463">
        <v>604</v>
      </c>
      <c r="P31" s="463">
        <v>890</v>
      </c>
      <c r="Q31" s="463">
        <v>137</v>
      </c>
      <c r="R31" s="463">
        <v>201</v>
      </c>
      <c r="S31" s="463">
        <v>67</v>
      </c>
      <c r="T31" s="462"/>
    </row>
    <row r="32" spans="1:20" hidden="1">
      <c r="A32" s="462" t="s">
        <v>214</v>
      </c>
      <c r="B32" s="463">
        <v>1282</v>
      </c>
      <c r="C32" s="463">
        <v>230</v>
      </c>
      <c r="D32" s="463">
        <v>267</v>
      </c>
      <c r="E32" s="463">
        <v>135</v>
      </c>
      <c r="F32" s="463">
        <v>1284</v>
      </c>
      <c r="G32" s="463">
        <v>228</v>
      </c>
      <c r="H32" s="463">
        <v>268</v>
      </c>
      <c r="I32" s="463">
        <v>139</v>
      </c>
      <c r="J32" s="463">
        <v>5.54</v>
      </c>
      <c r="K32" s="463">
        <v>28.42</v>
      </c>
      <c r="L32" s="463">
        <v>782</v>
      </c>
      <c r="M32" s="463">
        <v>845</v>
      </c>
      <c r="N32" s="463">
        <v>769</v>
      </c>
      <c r="O32" s="463">
        <v>604</v>
      </c>
      <c r="P32" s="463">
        <v>882</v>
      </c>
      <c r="Q32" s="463">
        <v>135</v>
      </c>
      <c r="R32" s="463">
        <v>200</v>
      </c>
      <c r="S32" s="463">
        <v>69</v>
      </c>
      <c r="T32" s="462"/>
    </row>
    <row r="33" spans="1:20" hidden="1">
      <c r="A33" s="462" t="s">
        <v>215</v>
      </c>
      <c r="B33" s="463">
        <v>1269</v>
      </c>
      <c r="C33" s="463">
        <v>251</v>
      </c>
      <c r="D33" s="463">
        <v>269</v>
      </c>
      <c r="E33" s="463">
        <v>137</v>
      </c>
      <c r="F33" s="463">
        <v>1272</v>
      </c>
      <c r="G33" s="463">
        <v>249</v>
      </c>
      <c r="H33" s="463">
        <v>270</v>
      </c>
      <c r="I33" s="463">
        <v>140</v>
      </c>
      <c r="J33" s="463">
        <v>5.53</v>
      </c>
      <c r="K33" s="463">
        <v>28.49</v>
      </c>
      <c r="L33" s="463">
        <v>772</v>
      </c>
      <c r="M33" s="463">
        <v>832</v>
      </c>
      <c r="N33" s="463">
        <v>756</v>
      </c>
      <c r="O33" s="463">
        <v>607</v>
      </c>
      <c r="P33" s="463">
        <v>891</v>
      </c>
      <c r="Q33" s="463">
        <v>149</v>
      </c>
      <c r="R33" s="463">
        <v>202</v>
      </c>
      <c r="S33" s="463">
        <v>70</v>
      </c>
      <c r="T33" s="462"/>
    </row>
    <row r="34" spans="1:20" hidden="1">
      <c r="A34" s="462" t="s">
        <v>216</v>
      </c>
      <c r="B34" s="463">
        <v>1264</v>
      </c>
      <c r="C34" s="463">
        <v>268</v>
      </c>
      <c r="D34" s="463">
        <v>271</v>
      </c>
      <c r="E34" s="463">
        <v>141</v>
      </c>
      <c r="F34" s="463">
        <v>1266</v>
      </c>
      <c r="G34" s="463">
        <v>266</v>
      </c>
      <c r="H34" s="463">
        <v>272</v>
      </c>
      <c r="I34" s="463">
        <v>147</v>
      </c>
      <c r="J34" s="463">
        <v>5.59</v>
      </c>
      <c r="K34" s="463">
        <v>28.81</v>
      </c>
      <c r="L34" s="463">
        <v>769</v>
      </c>
      <c r="M34" s="463">
        <v>823</v>
      </c>
      <c r="N34" s="463">
        <v>754</v>
      </c>
      <c r="O34" s="463">
        <v>612</v>
      </c>
      <c r="P34" s="463">
        <v>889</v>
      </c>
      <c r="Q34" s="463">
        <v>158</v>
      </c>
      <c r="R34" s="463">
        <v>204</v>
      </c>
      <c r="S34" s="463">
        <v>74</v>
      </c>
      <c r="T34" s="462"/>
    </row>
    <row r="35" spans="1:20" hidden="1">
      <c r="A35" s="462" t="s">
        <v>217</v>
      </c>
      <c r="B35" s="463">
        <v>1276</v>
      </c>
      <c r="C35" s="463">
        <v>281</v>
      </c>
      <c r="D35" s="463">
        <v>272</v>
      </c>
      <c r="E35" s="463">
        <v>135</v>
      </c>
      <c r="F35" s="463">
        <v>1278</v>
      </c>
      <c r="G35" s="463">
        <v>279</v>
      </c>
      <c r="H35" s="463">
        <v>272</v>
      </c>
      <c r="I35" s="463">
        <v>138</v>
      </c>
      <c r="J35" s="463">
        <v>5.57</v>
      </c>
      <c r="K35" s="463">
        <v>29.33</v>
      </c>
      <c r="L35" s="463">
        <v>774</v>
      </c>
      <c r="M35" s="463">
        <v>829</v>
      </c>
      <c r="N35" s="463">
        <v>767</v>
      </c>
      <c r="O35" s="463">
        <v>613</v>
      </c>
      <c r="P35" s="463">
        <v>884</v>
      </c>
      <c r="Q35" s="463">
        <v>165</v>
      </c>
      <c r="R35" s="463">
        <v>204</v>
      </c>
      <c r="S35" s="463">
        <v>69</v>
      </c>
      <c r="T35" s="462"/>
    </row>
    <row r="36" spans="1:20" hidden="1">
      <c r="A36" s="462" t="s">
        <v>385</v>
      </c>
      <c r="B36" s="463">
        <v>1305</v>
      </c>
      <c r="C36" s="463">
        <v>263</v>
      </c>
      <c r="D36" s="463">
        <v>272</v>
      </c>
      <c r="E36" s="463">
        <v>143</v>
      </c>
      <c r="F36" s="463">
        <v>1307</v>
      </c>
      <c r="G36" s="463">
        <v>261</v>
      </c>
      <c r="H36" s="463">
        <v>272</v>
      </c>
      <c r="I36" s="463">
        <v>146</v>
      </c>
      <c r="J36" s="463">
        <v>5.55</v>
      </c>
      <c r="K36" s="463">
        <v>29.43</v>
      </c>
      <c r="L36" s="463">
        <v>791</v>
      </c>
      <c r="M36" s="463">
        <v>848</v>
      </c>
      <c r="N36" s="463">
        <v>790</v>
      </c>
      <c r="O36" s="463">
        <v>628</v>
      </c>
      <c r="P36" s="463">
        <v>881</v>
      </c>
      <c r="Q36" s="463">
        <v>154</v>
      </c>
      <c r="R36" s="463">
        <v>204</v>
      </c>
      <c r="S36" s="463">
        <v>73</v>
      </c>
      <c r="T36" s="462"/>
    </row>
    <row r="37" spans="1:20" hidden="1">
      <c r="A37" s="462" t="s">
        <v>223</v>
      </c>
      <c r="B37" s="463">
        <v>1310</v>
      </c>
      <c r="C37" s="463">
        <v>257</v>
      </c>
      <c r="D37" s="463">
        <v>272</v>
      </c>
      <c r="E37" s="463">
        <v>142</v>
      </c>
      <c r="F37" s="463">
        <v>1314</v>
      </c>
      <c r="G37" s="463">
        <v>255</v>
      </c>
      <c r="H37" s="463">
        <v>272</v>
      </c>
      <c r="I37" s="463">
        <v>145</v>
      </c>
      <c r="J37" s="463">
        <v>5.54</v>
      </c>
      <c r="K37" s="463">
        <v>29.63</v>
      </c>
      <c r="L37" s="463">
        <v>791</v>
      </c>
      <c r="M37" s="463">
        <v>853</v>
      </c>
      <c r="N37" s="463">
        <v>796</v>
      </c>
      <c r="O37" s="463">
        <v>625</v>
      </c>
      <c r="P37" s="463">
        <v>874</v>
      </c>
      <c r="Q37" s="463">
        <v>150</v>
      </c>
      <c r="R37" s="463">
        <v>204</v>
      </c>
      <c r="S37" s="463">
        <v>72</v>
      </c>
      <c r="T37" s="462"/>
    </row>
    <row r="38" spans="1:20" hidden="1">
      <c r="A38" s="462" t="s">
        <v>224</v>
      </c>
      <c r="B38" s="463">
        <v>1306</v>
      </c>
      <c r="C38" s="463">
        <v>245</v>
      </c>
      <c r="D38" s="463">
        <v>272</v>
      </c>
      <c r="E38" s="463">
        <v>141</v>
      </c>
      <c r="F38" s="463">
        <v>1309</v>
      </c>
      <c r="G38" s="463">
        <v>243</v>
      </c>
      <c r="H38" s="463">
        <v>272</v>
      </c>
      <c r="I38" s="463">
        <v>143</v>
      </c>
      <c r="J38" s="463">
        <v>5.56</v>
      </c>
      <c r="K38" s="463">
        <v>30.48</v>
      </c>
      <c r="L38" s="463">
        <v>785</v>
      </c>
      <c r="M38" s="463">
        <v>853</v>
      </c>
      <c r="N38" s="463">
        <v>790</v>
      </c>
      <c r="O38" s="463">
        <v>614</v>
      </c>
      <c r="P38" s="463">
        <v>874</v>
      </c>
      <c r="Q38" s="463">
        <v>142</v>
      </c>
      <c r="R38" s="463">
        <v>205</v>
      </c>
      <c r="S38" s="463">
        <v>72</v>
      </c>
      <c r="T38" s="462"/>
    </row>
    <row r="39" spans="1:20" hidden="1">
      <c r="A39" s="462" t="s">
        <v>85</v>
      </c>
      <c r="B39" s="463">
        <v>1303</v>
      </c>
      <c r="C39" s="463">
        <v>245</v>
      </c>
      <c r="D39" s="463">
        <v>270</v>
      </c>
      <c r="E39" s="463">
        <v>134</v>
      </c>
      <c r="F39" s="463">
        <v>1306</v>
      </c>
      <c r="G39" s="463">
        <v>243</v>
      </c>
      <c r="H39" s="463">
        <v>271</v>
      </c>
      <c r="I39" s="463">
        <v>137</v>
      </c>
      <c r="J39" s="463">
        <v>5.56</v>
      </c>
      <c r="K39" s="463">
        <v>29.58</v>
      </c>
      <c r="L39" s="463">
        <v>785</v>
      </c>
      <c r="M39" s="463">
        <v>852</v>
      </c>
      <c r="N39" s="463">
        <v>789</v>
      </c>
      <c r="O39" s="463">
        <v>606</v>
      </c>
      <c r="P39" s="463">
        <v>869</v>
      </c>
      <c r="Q39" s="463">
        <v>142</v>
      </c>
      <c r="R39" s="463">
        <v>203</v>
      </c>
      <c r="S39" s="463">
        <v>68</v>
      </c>
      <c r="T39" s="462"/>
    </row>
    <row r="40" spans="1:20" hidden="1">
      <c r="A40" s="462" t="s">
        <v>86</v>
      </c>
      <c r="B40" s="463">
        <v>1302</v>
      </c>
      <c r="C40" s="463">
        <v>239</v>
      </c>
      <c r="D40" s="463">
        <v>271</v>
      </c>
      <c r="E40" s="463">
        <v>134</v>
      </c>
      <c r="F40" s="463">
        <v>1305</v>
      </c>
      <c r="G40" s="463">
        <v>236</v>
      </c>
      <c r="H40" s="463">
        <v>271</v>
      </c>
      <c r="I40" s="463">
        <v>136</v>
      </c>
      <c r="J40" s="463">
        <v>5.61</v>
      </c>
      <c r="K40" s="463">
        <v>27.79</v>
      </c>
      <c r="L40" s="463">
        <v>784</v>
      </c>
      <c r="M40" s="463">
        <v>856</v>
      </c>
      <c r="N40" s="463">
        <v>794</v>
      </c>
      <c r="O40" s="463">
        <v>598</v>
      </c>
      <c r="P40" s="463">
        <v>872</v>
      </c>
      <c r="Q40" s="463">
        <v>139</v>
      </c>
      <c r="R40" s="463">
        <v>203</v>
      </c>
      <c r="S40" s="463">
        <v>68</v>
      </c>
      <c r="T40" s="462"/>
    </row>
    <row r="41" spans="1:20" hidden="1">
      <c r="A41" s="462" t="s">
        <v>87</v>
      </c>
      <c r="B41" s="463">
        <v>1303</v>
      </c>
      <c r="C41" s="463">
        <v>244</v>
      </c>
      <c r="D41" s="463">
        <v>269</v>
      </c>
      <c r="E41" s="463">
        <v>133</v>
      </c>
      <c r="F41" s="463">
        <v>1306</v>
      </c>
      <c r="G41" s="463">
        <v>241</v>
      </c>
      <c r="H41" s="463">
        <v>270</v>
      </c>
      <c r="I41" s="463">
        <v>135</v>
      </c>
      <c r="J41" s="463">
        <v>5.65</v>
      </c>
      <c r="K41" s="463">
        <v>28.85</v>
      </c>
      <c r="L41" s="463">
        <v>789</v>
      </c>
      <c r="M41" s="463">
        <v>860</v>
      </c>
      <c r="N41" s="463">
        <v>795</v>
      </c>
      <c r="O41" s="463">
        <v>597</v>
      </c>
      <c r="P41" s="463">
        <v>866</v>
      </c>
      <c r="Q41" s="463">
        <v>142</v>
      </c>
      <c r="R41" s="463">
        <v>201</v>
      </c>
      <c r="S41" s="463">
        <v>68</v>
      </c>
      <c r="T41" s="462"/>
    </row>
    <row r="42" spans="1:20" ht="6.75" hidden="1" customHeight="1">
      <c r="A42" s="462" t="s">
        <v>88</v>
      </c>
      <c r="B42" s="463">
        <v>1297</v>
      </c>
      <c r="C42" s="463">
        <v>251</v>
      </c>
      <c r="D42" s="463">
        <v>266</v>
      </c>
      <c r="E42" s="463">
        <v>129</v>
      </c>
      <c r="F42" s="463">
        <v>1300</v>
      </c>
      <c r="G42" s="463">
        <v>248</v>
      </c>
      <c r="H42" s="463">
        <v>266</v>
      </c>
      <c r="I42" s="463">
        <v>131</v>
      </c>
      <c r="J42" s="463">
        <v>5.62</v>
      </c>
      <c r="K42" s="463">
        <v>28.54</v>
      </c>
      <c r="L42" s="463">
        <v>790</v>
      </c>
      <c r="M42" s="463">
        <v>859</v>
      </c>
      <c r="N42" s="463">
        <v>786</v>
      </c>
      <c r="O42" s="463">
        <v>598</v>
      </c>
      <c r="P42" s="463">
        <v>890</v>
      </c>
      <c r="Q42" s="463">
        <v>146</v>
      </c>
      <c r="R42" s="463">
        <v>199</v>
      </c>
      <c r="S42" s="463">
        <v>66</v>
      </c>
      <c r="T42" s="462"/>
    </row>
    <row r="43" spans="1:20" hidden="1">
      <c r="A43" s="462" t="s">
        <v>89</v>
      </c>
      <c r="B43" s="463">
        <v>1284</v>
      </c>
      <c r="C43" s="463">
        <v>245</v>
      </c>
      <c r="D43" s="463">
        <v>261</v>
      </c>
      <c r="E43" s="463">
        <v>132</v>
      </c>
      <c r="F43" s="463">
        <v>1286</v>
      </c>
      <c r="G43" s="463">
        <v>243</v>
      </c>
      <c r="H43" s="463">
        <v>261</v>
      </c>
      <c r="I43" s="463">
        <v>134</v>
      </c>
      <c r="J43" s="463">
        <v>5.57</v>
      </c>
      <c r="K43" s="463">
        <v>28.1</v>
      </c>
      <c r="L43" s="463">
        <v>784</v>
      </c>
      <c r="M43" s="463">
        <v>850</v>
      </c>
      <c r="N43" s="463">
        <v>774</v>
      </c>
      <c r="O43" s="463">
        <v>600</v>
      </c>
      <c r="P43" s="463">
        <v>892</v>
      </c>
      <c r="Q43" s="463">
        <v>143</v>
      </c>
      <c r="R43" s="463">
        <v>195</v>
      </c>
      <c r="S43" s="463">
        <v>67</v>
      </c>
      <c r="T43" s="462"/>
    </row>
    <row r="44" spans="1:20" hidden="1">
      <c r="A44" s="462" t="s">
        <v>90</v>
      </c>
      <c r="B44" s="463">
        <v>1273</v>
      </c>
      <c r="C44" s="463">
        <v>243</v>
      </c>
      <c r="D44" s="463">
        <v>262</v>
      </c>
      <c r="E44" s="463">
        <v>132</v>
      </c>
      <c r="F44" s="463">
        <v>1275</v>
      </c>
      <c r="G44" s="463">
        <v>241</v>
      </c>
      <c r="H44" s="463">
        <v>263</v>
      </c>
      <c r="I44" s="463">
        <v>134</v>
      </c>
      <c r="J44" s="463">
        <v>5.54</v>
      </c>
      <c r="K44" s="463">
        <v>28.4</v>
      </c>
      <c r="L44" s="463">
        <v>779</v>
      </c>
      <c r="M44" s="463">
        <v>840</v>
      </c>
      <c r="N44" s="463">
        <v>764</v>
      </c>
      <c r="O44" s="463">
        <v>600</v>
      </c>
      <c r="P44" s="463">
        <v>897</v>
      </c>
      <c r="Q44" s="463">
        <v>141</v>
      </c>
      <c r="R44" s="463">
        <v>196</v>
      </c>
      <c r="S44" s="463">
        <v>67</v>
      </c>
      <c r="T44" s="462"/>
    </row>
    <row r="45" spans="1:20" hidden="1">
      <c r="A45" s="462" t="s">
        <v>91</v>
      </c>
      <c r="B45" s="463">
        <v>1261</v>
      </c>
      <c r="C45" s="463">
        <v>267</v>
      </c>
      <c r="D45" s="463">
        <v>266</v>
      </c>
      <c r="E45" s="463">
        <v>137</v>
      </c>
      <c r="F45" s="463">
        <v>1263</v>
      </c>
      <c r="G45" s="463">
        <v>265</v>
      </c>
      <c r="H45" s="463">
        <v>266</v>
      </c>
      <c r="I45" s="463">
        <v>139</v>
      </c>
      <c r="J45" s="463">
        <v>5.56</v>
      </c>
      <c r="K45" s="463">
        <v>28.71</v>
      </c>
      <c r="L45" s="463">
        <v>770</v>
      </c>
      <c r="M45" s="463">
        <v>826</v>
      </c>
      <c r="N45" s="463">
        <v>751</v>
      </c>
      <c r="O45" s="463">
        <v>603</v>
      </c>
      <c r="P45" s="463">
        <v>905</v>
      </c>
      <c r="Q45" s="463">
        <v>157</v>
      </c>
      <c r="R45" s="463">
        <v>199</v>
      </c>
      <c r="S45" s="463">
        <v>70</v>
      </c>
      <c r="T45" s="462"/>
    </row>
    <row r="46" spans="1:20" hidden="1">
      <c r="A46" s="462" t="s">
        <v>92</v>
      </c>
      <c r="B46" s="463">
        <v>1251</v>
      </c>
      <c r="C46" s="463">
        <v>275</v>
      </c>
      <c r="D46" s="463">
        <v>268</v>
      </c>
      <c r="E46" s="463">
        <v>146</v>
      </c>
      <c r="F46" s="463">
        <v>1253</v>
      </c>
      <c r="G46" s="463">
        <v>274</v>
      </c>
      <c r="H46" s="463">
        <v>268</v>
      </c>
      <c r="I46" s="463">
        <v>148</v>
      </c>
      <c r="J46" s="463">
        <v>5.6</v>
      </c>
      <c r="K46" s="463">
        <v>29</v>
      </c>
      <c r="L46" s="463">
        <v>762</v>
      </c>
      <c r="M46" s="463">
        <v>814</v>
      </c>
      <c r="N46" s="463">
        <v>744</v>
      </c>
      <c r="O46" s="463">
        <v>609</v>
      </c>
      <c r="P46" s="463">
        <v>902</v>
      </c>
      <c r="Q46" s="463">
        <v>162</v>
      </c>
      <c r="R46" s="463">
        <v>201</v>
      </c>
      <c r="S46" s="463">
        <v>74</v>
      </c>
      <c r="T46" s="462"/>
    </row>
    <row r="47" spans="1:20" hidden="1">
      <c r="A47" s="462" t="s">
        <v>93</v>
      </c>
      <c r="B47" s="463">
        <v>1259</v>
      </c>
      <c r="C47" s="463">
        <v>278</v>
      </c>
      <c r="D47" s="463">
        <v>269</v>
      </c>
      <c r="E47" s="463">
        <v>138</v>
      </c>
      <c r="F47" s="463">
        <v>1261</v>
      </c>
      <c r="G47" s="463">
        <v>276</v>
      </c>
      <c r="H47" s="463">
        <v>270</v>
      </c>
      <c r="I47" s="463">
        <v>141</v>
      </c>
      <c r="J47" s="463">
        <v>5.59</v>
      </c>
      <c r="K47" s="463">
        <v>29.34</v>
      </c>
      <c r="L47" s="463">
        <v>766</v>
      </c>
      <c r="M47" s="463">
        <v>817</v>
      </c>
      <c r="N47" s="463">
        <v>753</v>
      </c>
      <c r="O47" s="463">
        <v>621</v>
      </c>
      <c r="P47" s="463">
        <v>893</v>
      </c>
      <c r="Q47" s="463">
        <v>164</v>
      </c>
      <c r="R47" s="463">
        <v>202</v>
      </c>
      <c r="S47" s="463">
        <v>71</v>
      </c>
      <c r="T47" s="462"/>
    </row>
    <row r="48" spans="1:20" hidden="1">
      <c r="A48" s="462" t="s">
        <v>94</v>
      </c>
      <c r="B48" s="463">
        <v>1276</v>
      </c>
      <c r="C48" s="463">
        <v>273</v>
      </c>
      <c r="D48" s="463">
        <v>271</v>
      </c>
      <c r="E48" s="463">
        <v>139</v>
      </c>
      <c r="F48" s="463">
        <v>1278</v>
      </c>
      <c r="G48" s="463">
        <v>271</v>
      </c>
      <c r="H48" s="463">
        <v>271</v>
      </c>
      <c r="I48" s="463">
        <v>141</v>
      </c>
      <c r="J48" s="463">
        <v>5.56</v>
      </c>
      <c r="K48" s="463">
        <v>29.36</v>
      </c>
      <c r="L48" s="463">
        <v>775</v>
      </c>
      <c r="M48" s="463">
        <v>828</v>
      </c>
      <c r="N48" s="463">
        <v>766</v>
      </c>
      <c r="O48" s="463">
        <v>627</v>
      </c>
      <c r="P48" s="463">
        <v>896</v>
      </c>
      <c r="Q48" s="463">
        <v>160</v>
      </c>
      <c r="R48" s="463">
        <v>204</v>
      </c>
      <c r="S48" s="463">
        <v>70</v>
      </c>
      <c r="T48" s="462"/>
    </row>
    <row r="49" spans="1:20" hidden="1">
      <c r="A49" s="462" t="s">
        <v>95</v>
      </c>
      <c r="B49" s="463">
        <v>1285</v>
      </c>
      <c r="C49" s="463">
        <v>272</v>
      </c>
      <c r="D49" s="463">
        <v>271</v>
      </c>
      <c r="E49" s="463">
        <v>142</v>
      </c>
      <c r="F49" s="463">
        <v>1287</v>
      </c>
      <c r="G49" s="463">
        <v>270</v>
      </c>
      <c r="H49" s="463">
        <v>271</v>
      </c>
      <c r="I49" s="463">
        <v>144</v>
      </c>
      <c r="J49" s="463">
        <v>5.53</v>
      </c>
      <c r="K49" s="463">
        <v>29.83</v>
      </c>
      <c r="L49" s="463">
        <v>776</v>
      </c>
      <c r="M49" s="463">
        <v>827</v>
      </c>
      <c r="N49" s="463">
        <v>773</v>
      </c>
      <c r="O49" s="463">
        <v>631</v>
      </c>
      <c r="P49" s="463">
        <v>885</v>
      </c>
      <c r="Q49" s="463">
        <v>160</v>
      </c>
      <c r="R49" s="463">
        <v>203</v>
      </c>
      <c r="S49" s="463">
        <v>72</v>
      </c>
      <c r="T49" s="462"/>
    </row>
    <row r="50" spans="1:20" hidden="1">
      <c r="A50" s="462" t="s">
        <v>96</v>
      </c>
      <c r="B50" s="463">
        <v>1291</v>
      </c>
      <c r="C50" s="463">
        <v>269</v>
      </c>
      <c r="D50" s="463">
        <v>273</v>
      </c>
      <c r="E50" s="463">
        <v>139</v>
      </c>
      <c r="F50" s="463">
        <v>1294</v>
      </c>
      <c r="G50" s="463">
        <v>267</v>
      </c>
      <c r="H50" s="463">
        <v>273</v>
      </c>
      <c r="I50" s="463">
        <v>141</v>
      </c>
      <c r="J50" s="463">
        <v>5.57</v>
      </c>
      <c r="K50" s="463">
        <v>30.37</v>
      </c>
      <c r="L50" s="463">
        <v>775</v>
      </c>
      <c r="M50" s="463">
        <v>832</v>
      </c>
      <c r="N50" s="463">
        <v>773</v>
      </c>
      <c r="O50" s="463">
        <v>624</v>
      </c>
      <c r="P50" s="463">
        <v>878</v>
      </c>
      <c r="Q50" s="463">
        <v>159</v>
      </c>
      <c r="R50" s="463">
        <v>205</v>
      </c>
      <c r="S50" s="463">
        <v>70</v>
      </c>
      <c r="T50" s="462"/>
    </row>
    <row r="51" spans="1:20" hidden="1">
      <c r="A51" s="462" t="s">
        <v>97</v>
      </c>
      <c r="B51" s="463">
        <v>1302</v>
      </c>
      <c r="C51" s="463">
        <v>288</v>
      </c>
      <c r="D51" s="463">
        <v>272</v>
      </c>
      <c r="E51" s="463">
        <v>135</v>
      </c>
      <c r="F51" s="463">
        <v>1305</v>
      </c>
      <c r="G51" s="463">
        <v>287</v>
      </c>
      <c r="H51" s="463">
        <v>272</v>
      </c>
      <c r="I51" s="463">
        <v>137</v>
      </c>
      <c r="J51" s="463">
        <v>5.6</v>
      </c>
      <c r="K51" s="463">
        <v>29</v>
      </c>
      <c r="L51" s="463">
        <v>784</v>
      </c>
      <c r="M51" s="463">
        <v>844</v>
      </c>
      <c r="N51" s="463">
        <v>784</v>
      </c>
      <c r="O51" s="463">
        <v>613</v>
      </c>
      <c r="P51" s="463">
        <v>871</v>
      </c>
      <c r="Q51" s="463">
        <v>172</v>
      </c>
      <c r="R51" s="463">
        <v>204</v>
      </c>
      <c r="S51" s="463">
        <v>69</v>
      </c>
      <c r="T51" s="462"/>
    </row>
    <row r="52" spans="1:20" hidden="1">
      <c r="A52" s="462" t="s">
        <v>98</v>
      </c>
      <c r="B52" s="463">
        <v>1304</v>
      </c>
      <c r="C52" s="463">
        <v>291</v>
      </c>
      <c r="D52" s="463">
        <v>272</v>
      </c>
      <c r="E52" s="463">
        <v>136</v>
      </c>
      <c r="F52" s="463">
        <v>1307</v>
      </c>
      <c r="G52" s="463">
        <v>287</v>
      </c>
      <c r="H52" s="463">
        <v>273</v>
      </c>
      <c r="I52" s="463">
        <v>138</v>
      </c>
      <c r="J52" s="463">
        <v>5.64</v>
      </c>
      <c r="K52" s="463">
        <v>27.67</v>
      </c>
      <c r="L52" s="463">
        <v>793</v>
      </c>
      <c r="M52" s="463">
        <v>858</v>
      </c>
      <c r="N52" s="463">
        <v>801</v>
      </c>
      <c r="O52" s="463">
        <v>603</v>
      </c>
      <c r="P52" s="463">
        <v>865</v>
      </c>
      <c r="Q52" s="463">
        <v>171</v>
      </c>
      <c r="R52" s="463">
        <v>204</v>
      </c>
      <c r="S52" s="463">
        <v>69</v>
      </c>
      <c r="T52" s="462"/>
    </row>
    <row r="53" spans="1:20" hidden="1">
      <c r="A53" s="462" t="s">
        <v>99</v>
      </c>
      <c r="B53" s="463">
        <v>1300</v>
      </c>
      <c r="C53" s="463">
        <v>288</v>
      </c>
      <c r="D53" s="463">
        <v>270</v>
      </c>
      <c r="E53" s="463">
        <v>132</v>
      </c>
      <c r="F53" s="463">
        <v>1303</v>
      </c>
      <c r="G53" s="463">
        <v>285</v>
      </c>
      <c r="H53" s="463">
        <v>270</v>
      </c>
      <c r="I53" s="463">
        <v>134</v>
      </c>
      <c r="J53" s="463">
        <v>5.62</v>
      </c>
      <c r="K53" s="463">
        <v>27.75</v>
      </c>
      <c r="L53" s="463">
        <v>793</v>
      </c>
      <c r="M53" s="463">
        <v>858</v>
      </c>
      <c r="N53" s="463">
        <v>792</v>
      </c>
      <c r="O53" s="463">
        <v>607</v>
      </c>
      <c r="P53" s="463">
        <v>865</v>
      </c>
      <c r="Q53" s="463">
        <v>170</v>
      </c>
      <c r="R53" s="463">
        <v>202</v>
      </c>
      <c r="S53" s="463">
        <v>67</v>
      </c>
      <c r="T53" s="462"/>
    </row>
    <row r="54" spans="1:20" hidden="1">
      <c r="A54" s="462" t="s">
        <v>100</v>
      </c>
      <c r="B54" s="463">
        <v>1290</v>
      </c>
      <c r="C54" s="463">
        <v>284</v>
      </c>
      <c r="D54" s="463">
        <v>266</v>
      </c>
      <c r="E54" s="463">
        <v>128</v>
      </c>
      <c r="F54" s="463">
        <v>1292</v>
      </c>
      <c r="G54" s="463">
        <v>281</v>
      </c>
      <c r="H54" s="463">
        <v>267</v>
      </c>
      <c r="I54" s="463">
        <v>130</v>
      </c>
      <c r="J54" s="463">
        <v>5.53</v>
      </c>
      <c r="K54" s="463">
        <v>28</v>
      </c>
      <c r="L54" s="463">
        <v>791</v>
      </c>
      <c r="M54" s="463">
        <v>853</v>
      </c>
      <c r="N54" s="463">
        <v>780</v>
      </c>
      <c r="O54" s="463">
        <v>606</v>
      </c>
      <c r="P54" s="463">
        <v>871</v>
      </c>
      <c r="Q54" s="463">
        <v>168</v>
      </c>
      <c r="R54" s="463">
        <v>200</v>
      </c>
      <c r="S54" s="463">
        <v>65</v>
      </c>
      <c r="T54" s="462"/>
    </row>
    <row r="55" spans="1:20" hidden="1">
      <c r="A55" s="462" t="s">
        <v>101</v>
      </c>
      <c r="B55" s="463">
        <v>1279</v>
      </c>
      <c r="C55" s="463">
        <v>268</v>
      </c>
      <c r="D55" s="463">
        <v>263</v>
      </c>
      <c r="E55" s="463">
        <v>129</v>
      </c>
      <c r="F55" s="463">
        <v>1281</v>
      </c>
      <c r="G55" s="463">
        <v>267</v>
      </c>
      <c r="H55" s="463">
        <v>264</v>
      </c>
      <c r="I55" s="463">
        <v>130</v>
      </c>
      <c r="J55" s="463">
        <v>5.39</v>
      </c>
      <c r="K55" s="463">
        <v>27.38</v>
      </c>
      <c r="L55" s="463">
        <v>787</v>
      </c>
      <c r="M55" s="463">
        <v>845</v>
      </c>
      <c r="N55" s="463">
        <v>766</v>
      </c>
      <c r="O55" s="463">
        <v>608</v>
      </c>
      <c r="P55" s="463">
        <v>890</v>
      </c>
      <c r="Q55" s="463">
        <v>159</v>
      </c>
      <c r="R55" s="463">
        <v>197</v>
      </c>
      <c r="S55" s="463">
        <v>66</v>
      </c>
      <c r="T55" s="462"/>
    </row>
    <row r="56" spans="1:20" hidden="1">
      <c r="A56" s="462" t="s">
        <v>102</v>
      </c>
      <c r="B56" s="463">
        <v>1269</v>
      </c>
      <c r="C56" s="463">
        <v>289</v>
      </c>
      <c r="D56" s="463">
        <v>264</v>
      </c>
      <c r="E56" s="463">
        <v>131</v>
      </c>
      <c r="F56" s="463">
        <v>1271</v>
      </c>
      <c r="G56" s="463">
        <v>288</v>
      </c>
      <c r="H56" s="463">
        <v>265</v>
      </c>
      <c r="I56" s="463">
        <v>133</v>
      </c>
      <c r="J56" s="463">
        <v>5.47</v>
      </c>
      <c r="K56" s="463">
        <v>28.19</v>
      </c>
      <c r="L56" s="463">
        <v>782</v>
      </c>
      <c r="M56" s="463">
        <v>836</v>
      </c>
      <c r="N56" s="463">
        <v>757</v>
      </c>
      <c r="O56" s="463">
        <v>613</v>
      </c>
      <c r="P56" s="463">
        <v>900</v>
      </c>
      <c r="Q56" s="463">
        <v>172</v>
      </c>
      <c r="R56" s="463">
        <v>198</v>
      </c>
      <c r="S56" s="463">
        <v>67</v>
      </c>
      <c r="T56" s="462"/>
    </row>
    <row r="57" spans="1:20" hidden="1">
      <c r="A57" s="462" t="s">
        <v>103</v>
      </c>
      <c r="B57" s="463">
        <v>1250</v>
      </c>
      <c r="C57" s="463">
        <v>307</v>
      </c>
      <c r="D57" s="463">
        <v>267</v>
      </c>
      <c r="E57" s="463">
        <v>137</v>
      </c>
      <c r="F57" s="463">
        <v>1251</v>
      </c>
      <c r="G57" s="463">
        <v>306</v>
      </c>
      <c r="H57" s="463">
        <v>267</v>
      </c>
      <c r="I57" s="463">
        <v>139</v>
      </c>
      <c r="J57" s="463">
        <v>5.49</v>
      </c>
      <c r="K57" s="463">
        <v>28.48</v>
      </c>
      <c r="L57" s="463">
        <v>767</v>
      </c>
      <c r="M57" s="463">
        <v>816</v>
      </c>
      <c r="N57" s="463">
        <v>743</v>
      </c>
      <c r="O57" s="463">
        <v>617</v>
      </c>
      <c r="P57" s="463">
        <v>917</v>
      </c>
      <c r="Q57" s="463">
        <v>183</v>
      </c>
      <c r="R57" s="463">
        <v>200</v>
      </c>
      <c r="S57" s="463">
        <v>70</v>
      </c>
      <c r="T57" s="462"/>
    </row>
    <row r="58" spans="1:20" hidden="1">
      <c r="A58" s="462" t="s">
        <v>257</v>
      </c>
      <c r="B58" s="463">
        <v>1232</v>
      </c>
      <c r="C58" s="463">
        <v>349</v>
      </c>
      <c r="D58" s="463">
        <v>269</v>
      </c>
      <c r="E58" s="463">
        <v>142</v>
      </c>
      <c r="F58" s="463">
        <v>1234</v>
      </c>
      <c r="G58" s="463">
        <v>348</v>
      </c>
      <c r="H58" s="463">
        <v>269</v>
      </c>
      <c r="I58" s="463">
        <v>145</v>
      </c>
      <c r="J58" s="463">
        <v>5.52</v>
      </c>
      <c r="K58" s="463">
        <v>28.47</v>
      </c>
      <c r="L58" s="463">
        <v>753</v>
      </c>
      <c r="M58" s="463">
        <v>800</v>
      </c>
      <c r="N58" s="463">
        <v>730</v>
      </c>
      <c r="O58" s="463">
        <v>618</v>
      </c>
      <c r="P58" s="463">
        <v>905</v>
      </c>
      <c r="Q58" s="463">
        <v>210</v>
      </c>
      <c r="R58" s="463">
        <v>202</v>
      </c>
      <c r="S58" s="463">
        <v>73</v>
      </c>
      <c r="T58" s="462"/>
    </row>
    <row r="59" spans="1:20" ht="12" hidden="1" customHeight="1">
      <c r="A59" s="462" t="s">
        <v>258</v>
      </c>
      <c r="B59" s="463">
        <v>1235</v>
      </c>
      <c r="C59" s="463">
        <v>348</v>
      </c>
      <c r="D59" s="463">
        <v>270</v>
      </c>
      <c r="E59" s="463">
        <v>138</v>
      </c>
      <c r="F59" s="463">
        <v>1236</v>
      </c>
      <c r="G59" s="463">
        <v>346</v>
      </c>
      <c r="H59" s="463">
        <v>270</v>
      </c>
      <c r="I59" s="463">
        <v>141</v>
      </c>
      <c r="J59" s="463">
        <v>5.51</v>
      </c>
      <c r="K59" s="463">
        <v>28.58</v>
      </c>
      <c r="L59" s="463">
        <v>750</v>
      </c>
      <c r="M59" s="463">
        <v>796</v>
      </c>
      <c r="N59" s="463">
        <v>733</v>
      </c>
      <c r="O59" s="463">
        <v>623</v>
      </c>
      <c r="P59" s="463">
        <v>904</v>
      </c>
      <c r="Q59" s="463">
        <v>209</v>
      </c>
      <c r="R59" s="463">
        <v>203</v>
      </c>
      <c r="S59" s="463">
        <v>71</v>
      </c>
      <c r="T59" s="462"/>
    </row>
    <row r="60" spans="1:20" hidden="1">
      <c r="A60" s="462" t="s">
        <v>259</v>
      </c>
      <c r="B60" s="463">
        <v>1260</v>
      </c>
      <c r="C60" s="463">
        <v>321</v>
      </c>
      <c r="D60" s="463">
        <v>270</v>
      </c>
      <c r="E60" s="463">
        <v>140</v>
      </c>
      <c r="F60" s="463">
        <v>1261</v>
      </c>
      <c r="G60" s="463">
        <v>319</v>
      </c>
      <c r="H60" s="463">
        <v>271</v>
      </c>
      <c r="I60" s="463">
        <v>142</v>
      </c>
      <c r="J60" s="463">
        <v>5.45</v>
      </c>
      <c r="K60" s="463">
        <v>28.69</v>
      </c>
      <c r="L60" s="463">
        <v>763</v>
      </c>
      <c r="M60" s="463">
        <v>808</v>
      </c>
      <c r="N60" s="463">
        <v>752</v>
      </c>
      <c r="O60" s="463">
        <v>635</v>
      </c>
      <c r="P60" s="463">
        <v>920</v>
      </c>
      <c r="Q60" s="463">
        <v>192</v>
      </c>
      <c r="R60" s="463">
        <v>203</v>
      </c>
      <c r="S60" s="463">
        <v>71</v>
      </c>
      <c r="T60" s="462"/>
    </row>
    <row r="61" spans="1:20" hidden="1">
      <c r="A61" s="462" t="s">
        <v>260</v>
      </c>
      <c r="B61" s="463">
        <v>1274</v>
      </c>
      <c r="C61" s="463">
        <v>308</v>
      </c>
      <c r="D61" s="463">
        <v>269</v>
      </c>
      <c r="E61" s="463">
        <v>140</v>
      </c>
      <c r="F61" s="463">
        <v>1276</v>
      </c>
      <c r="G61" s="463">
        <v>306</v>
      </c>
      <c r="H61" s="463">
        <v>270</v>
      </c>
      <c r="I61" s="463">
        <v>143</v>
      </c>
      <c r="J61" s="463">
        <v>5.43</v>
      </c>
      <c r="K61" s="463">
        <v>28.84</v>
      </c>
      <c r="L61" s="463">
        <v>767</v>
      </c>
      <c r="M61" s="463">
        <v>816</v>
      </c>
      <c r="N61" s="463">
        <v>760</v>
      </c>
      <c r="O61" s="463">
        <v>631</v>
      </c>
      <c r="P61" s="463">
        <v>905</v>
      </c>
      <c r="Q61" s="463">
        <v>183</v>
      </c>
      <c r="R61" s="463">
        <v>202</v>
      </c>
      <c r="S61" s="463">
        <v>72</v>
      </c>
      <c r="T61" s="462"/>
    </row>
    <row r="62" spans="1:20" hidden="1">
      <c r="A62" s="462" t="s">
        <v>261</v>
      </c>
      <c r="B62" s="463">
        <v>1290</v>
      </c>
      <c r="C62" s="463">
        <v>324</v>
      </c>
      <c r="D62" s="463">
        <v>271</v>
      </c>
      <c r="E62" s="463">
        <v>140</v>
      </c>
      <c r="F62" s="463">
        <v>1292</v>
      </c>
      <c r="G62" s="463">
        <v>323</v>
      </c>
      <c r="H62" s="463">
        <v>271</v>
      </c>
      <c r="I62" s="463">
        <v>141</v>
      </c>
      <c r="J62" s="463">
        <v>5.5</v>
      </c>
      <c r="K62" s="463">
        <v>29.58</v>
      </c>
      <c r="L62" s="463">
        <v>779</v>
      </c>
      <c r="M62" s="463">
        <v>831</v>
      </c>
      <c r="N62" s="463">
        <v>772</v>
      </c>
      <c r="O62" s="463">
        <v>630</v>
      </c>
      <c r="P62" s="463">
        <v>909</v>
      </c>
      <c r="Q62" s="463">
        <v>194</v>
      </c>
      <c r="R62" s="463">
        <v>203</v>
      </c>
      <c r="S62" s="463">
        <v>71</v>
      </c>
      <c r="T62" s="462"/>
    </row>
    <row r="63" spans="1:20" hidden="1">
      <c r="A63" s="462" t="s">
        <v>262</v>
      </c>
      <c r="B63" s="463">
        <v>1300</v>
      </c>
      <c r="C63" s="463">
        <v>324</v>
      </c>
      <c r="D63" s="463">
        <v>271</v>
      </c>
      <c r="E63" s="463">
        <v>136</v>
      </c>
      <c r="F63" s="463">
        <v>1303</v>
      </c>
      <c r="G63" s="463">
        <v>322</v>
      </c>
      <c r="H63" s="463">
        <v>271</v>
      </c>
      <c r="I63" s="463">
        <v>138</v>
      </c>
      <c r="J63" s="463">
        <v>5.49</v>
      </c>
      <c r="K63" s="463">
        <v>28.11</v>
      </c>
      <c r="L63" s="463">
        <v>790</v>
      </c>
      <c r="M63" s="463">
        <v>849</v>
      </c>
      <c r="N63" s="463">
        <v>790</v>
      </c>
      <c r="O63" s="463">
        <v>619</v>
      </c>
      <c r="P63" s="463">
        <v>897</v>
      </c>
      <c r="Q63" s="463">
        <v>193</v>
      </c>
      <c r="R63" s="463">
        <v>203</v>
      </c>
      <c r="S63" s="463">
        <v>69</v>
      </c>
      <c r="T63" s="462"/>
    </row>
    <row r="64" spans="1:20" hidden="1">
      <c r="A64" s="462" t="s">
        <v>263</v>
      </c>
      <c r="B64" s="463">
        <v>1295</v>
      </c>
      <c r="C64" s="463">
        <v>327</v>
      </c>
      <c r="D64" s="463">
        <v>272</v>
      </c>
      <c r="E64" s="463">
        <v>137</v>
      </c>
      <c r="F64" s="463">
        <v>1297</v>
      </c>
      <c r="G64" s="463">
        <v>325</v>
      </c>
      <c r="H64" s="463">
        <v>272</v>
      </c>
      <c r="I64" s="463">
        <v>139</v>
      </c>
      <c r="J64" s="463">
        <v>5.52</v>
      </c>
      <c r="K64" s="463">
        <v>27.15</v>
      </c>
      <c r="L64" s="463">
        <v>789</v>
      </c>
      <c r="M64" s="463">
        <v>849</v>
      </c>
      <c r="N64" s="463">
        <v>791</v>
      </c>
      <c r="O64" s="463">
        <v>612</v>
      </c>
      <c r="P64" s="463">
        <v>892</v>
      </c>
      <c r="Q64" s="463">
        <v>195</v>
      </c>
      <c r="R64" s="463">
        <v>203</v>
      </c>
      <c r="S64" s="463">
        <v>70</v>
      </c>
      <c r="T64" s="462"/>
    </row>
    <row r="65" spans="1:20" hidden="1">
      <c r="A65" s="462" t="s">
        <v>264</v>
      </c>
      <c r="B65" s="463">
        <v>1291</v>
      </c>
      <c r="C65" s="463">
        <v>347</v>
      </c>
      <c r="D65" s="463">
        <v>269</v>
      </c>
      <c r="E65" s="463">
        <v>131</v>
      </c>
      <c r="F65" s="463">
        <v>1294</v>
      </c>
      <c r="G65" s="463">
        <v>346</v>
      </c>
      <c r="H65" s="463">
        <v>269</v>
      </c>
      <c r="I65" s="463">
        <v>133</v>
      </c>
      <c r="J65" s="463">
        <v>5.59</v>
      </c>
      <c r="K65" s="463">
        <v>27.4</v>
      </c>
      <c r="L65" s="463">
        <v>788</v>
      </c>
      <c r="M65" s="463">
        <v>848</v>
      </c>
      <c r="N65" s="463">
        <v>784</v>
      </c>
      <c r="O65" s="463">
        <v>611</v>
      </c>
      <c r="P65" s="463">
        <v>890</v>
      </c>
      <c r="Q65" s="463">
        <v>208</v>
      </c>
      <c r="R65" s="463">
        <v>201</v>
      </c>
      <c r="S65" s="463">
        <v>67</v>
      </c>
      <c r="T65" s="462"/>
    </row>
    <row r="66" spans="1:20" hidden="1">
      <c r="A66" s="462" t="s">
        <v>265</v>
      </c>
      <c r="B66" s="463">
        <v>1285</v>
      </c>
      <c r="C66" s="463">
        <v>351</v>
      </c>
      <c r="D66" s="463">
        <v>266</v>
      </c>
      <c r="E66" s="463">
        <v>129</v>
      </c>
      <c r="F66" s="463">
        <v>1287</v>
      </c>
      <c r="G66" s="463">
        <v>350</v>
      </c>
      <c r="H66" s="463">
        <v>267</v>
      </c>
      <c r="I66" s="463">
        <v>131</v>
      </c>
      <c r="J66" s="463">
        <v>5.52</v>
      </c>
      <c r="K66" s="463">
        <v>27.76</v>
      </c>
      <c r="L66" s="463">
        <v>789</v>
      </c>
      <c r="M66" s="463">
        <v>848</v>
      </c>
      <c r="N66" s="463">
        <v>773</v>
      </c>
      <c r="O66" s="463">
        <v>609</v>
      </c>
      <c r="P66" s="463">
        <v>903</v>
      </c>
      <c r="Q66" s="463">
        <v>211</v>
      </c>
      <c r="R66" s="463">
        <v>199</v>
      </c>
      <c r="S66" s="463">
        <v>66</v>
      </c>
      <c r="T66" s="462"/>
    </row>
    <row r="67" spans="1:20" hidden="1">
      <c r="A67" s="462" t="s">
        <v>266</v>
      </c>
      <c r="B67" s="463">
        <v>1276</v>
      </c>
      <c r="C67" s="463">
        <v>322</v>
      </c>
      <c r="D67" s="463">
        <v>262</v>
      </c>
      <c r="E67" s="463">
        <v>129</v>
      </c>
      <c r="F67" s="463">
        <v>1278</v>
      </c>
      <c r="G67" s="463">
        <v>321</v>
      </c>
      <c r="H67" s="463">
        <v>262</v>
      </c>
      <c r="I67" s="463">
        <v>130</v>
      </c>
      <c r="J67" s="463">
        <v>5.35</v>
      </c>
      <c r="K67" s="463">
        <v>26.99</v>
      </c>
      <c r="L67" s="463">
        <v>786</v>
      </c>
      <c r="M67" s="463">
        <v>845</v>
      </c>
      <c r="N67" s="463">
        <v>767</v>
      </c>
      <c r="O67" s="463">
        <v>603</v>
      </c>
      <c r="P67" s="463">
        <v>915</v>
      </c>
      <c r="Q67" s="463">
        <v>194</v>
      </c>
      <c r="R67" s="463">
        <v>196</v>
      </c>
      <c r="S67" s="463">
        <v>65</v>
      </c>
      <c r="T67" s="462"/>
    </row>
    <row r="68" spans="1:20" hidden="1">
      <c r="A68" s="462" t="s">
        <v>267</v>
      </c>
      <c r="B68" s="463">
        <v>1273</v>
      </c>
      <c r="C68" s="463">
        <v>325</v>
      </c>
      <c r="D68" s="463">
        <v>263</v>
      </c>
      <c r="E68" s="463">
        <v>130</v>
      </c>
      <c r="F68" s="463">
        <v>1275</v>
      </c>
      <c r="G68" s="463">
        <v>324</v>
      </c>
      <c r="H68" s="463">
        <v>264</v>
      </c>
      <c r="I68" s="463">
        <v>131</v>
      </c>
      <c r="J68" s="463">
        <v>5.38</v>
      </c>
      <c r="K68" s="463">
        <v>27.77</v>
      </c>
      <c r="L68" s="463">
        <v>785</v>
      </c>
      <c r="M68" s="463">
        <v>840</v>
      </c>
      <c r="N68" s="463">
        <v>760</v>
      </c>
      <c r="O68" s="463">
        <v>613</v>
      </c>
      <c r="P68" s="463">
        <v>915</v>
      </c>
      <c r="Q68" s="463">
        <v>195</v>
      </c>
      <c r="R68" s="463">
        <v>198</v>
      </c>
      <c r="S68" s="463">
        <v>66</v>
      </c>
      <c r="T68" s="462"/>
    </row>
    <row r="69" spans="1:20" hidden="1">
      <c r="A69" s="462" t="s">
        <v>268</v>
      </c>
      <c r="B69" s="463">
        <v>1264</v>
      </c>
      <c r="C69" s="463">
        <v>353</v>
      </c>
      <c r="D69" s="463">
        <v>267</v>
      </c>
      <c r="E69" s="463">
        <v>135</v>
      </c>
      <c r="F69" s="463">
        <v>1266</v>
      </c>
      <c r="G69" s="463">
        <v>352</v>
      </c>
      <c r="H69" s="463">
        <v>267</v>
      </c>
      <c r="I69" s="463">
        <v>137</v>
      </c>
      <c r="J69" s="463">
        <v>5.45</v>
      </c>
      <c r="K69" s="463">
        <v>27.99</v>
      </c>
      <c r="L69" s="463">
        <v>778</v>
      </c>
      <c r="M69" s="463">
        <v>828</v>
      </c>
      <c r="N69" s="463">
        <v>750</v>
      </c>
      <c r="O69" s="463">
        <v>621</v>
      </c>
      <c r="P69" s="463">
        <v>938</v>
      </c>
      <c r="Q69" s="463">
        <v>213</v>
      </c>
      <c r="R69" s="463">
        <v>200</v>
      </c>
      <c r="S69" s="463">
        <v>69</v>
      </c>
      <c r="T69" s="462"/>
    </row>
    <row r="70" spans="1:20" hidden="1">
      <c r="A70" s="462" t="s">
        <v>269</v>
      </c>
      <c r="B70" s="463">
        <v>1244</v>
      </c>
      <c r="C70" s="463">
        <v>372</v>
      </c>
      <c r="D70" s="463">
        <v>270</v>
      </c>
      <c r="E70" s="463">
        <v>142</v>
      </c>
      <c r="F70" s="463">
        <v>1246</v>
      </c>
      <c r="G70" s="463">
        <v>371</v>
      </c>
      <c r="H70" s="463">
        <v>271</v>
      </c>
      <c r="I70" s="463">
        <v>144</v>
      </c>
      <c r="J70" s="463">
        <v>5.49</v>
      </c>
      <c r="K70" s="463">
        <v>28.64</v>
      </c>
      <c r="L70" s="463">
        <v>764</v>
      </c>
      <c r="M70" s="463">
        <v>808</v>
      </c>
      <c r="N70" s="463">
        <v>738</v>
      </c>
      <c r="O70" s="463">
        <v>625</v>
      </c>
      <c r="P70" s="463">
        <v>916</v>
      </c>
      <c r="Q70" s="463">
        <v>224</v>
      </c>
      <c r="R70" s="463">
        <v>203</v>
      </c>
      <c r="S70" s="463">
        <v>73</v>
      </c>
      <c r="T70" s="462"/>
    </row>
    <row r="71" spans="1:20" hidden="1">
      <c r="A71" s="462" t="s">
        <v>270</v>
      </c>
      <c r="B71" s="463">
        <v>1240</v>
      </c>
      <c r="C71" s="463">
        <v>361</v>
      </c>
      <c r="D71" s="463">
        <v>272</v>
      </c>
      <c r="E71" s="463">
        <v>136</v>
      </c>
      <c r="F71" s="463">
        <v>1241</v>
      </c>
      <c r="G71" s="463">
        <v>360</v>
      </c>
      <c r="H71" s="463">
        <v>272</v>
      </c>
      <c r="I71" s="463">
        <v>138</v>
      </c>
      <c r="J71" s="463">
        <v>5.46</v>
      </c>
      <c r="K71" s="463">
        <v>28.44</v>
      </c>
      <c r="L71" s="463">
        <v>759</v>
      </c>
      <c r="M71" s="463">
        <v>800</v>
      </c>
      <c r="N71" s="463">
        <v>740</v>
      </c>
      <c r="O71" s="463">
        <v>631</v>
      </c>
      <c r="P71" s="463">
        <v>925</v>
      </c>
      <c r="Q71" s="463">
        <v>218</v>
      </c>
      <c r="R71" s="463">
        <v>204</v>
      </c>
      <c r="S71" s="463">
        <v>69</v>
      </c>
      <c r="T71" s="462"/>
    </row>
    <row r="72" spans="1:20" ht="0.75" hidden="1" customHeight="1">
      <c r="A72" s="462" t="s">
        <v>271</v>
      </c>
      <c r="B72" s="463">
        <v>1269</v>
      </c>
      <c r="C72" s="463">
        <v>359</v>
      </c>
      <c r="D72" s="463">
        <v>271</v>
      </c>
      <c r="E72" s="463">
        <v>145</v>
      </c>
      <c r="F72" s="463">
        <v>1271</v>
      </c>
      <c r="G72" s="463">
        <v>358</v>
      </c>
      <c r="H72" s="463">
        <v>272</v>
      </c>
      <c r="I72" s="463">
        <v>147</v>
      </c>
      <c r="J72" s="463">
        <v>5.44</v>
      </c>
      <c r="K72" s="463">
        <v>28.73</v>
      </c>
      <c r="L72" s="463">
        <v>777</v>
      </c>
      <c r="M72" s="463">
        <v>818</v>
      </c>
      <c r="N72" s="463">
        <v>766</v>
      </c>
      <c r="O72" s="463">
        <v>644</v>
      </c>
      <c r="P72" s="463">
        <v>930</v>
      </c>
      <c r="Q72" s="463">
        <v>216</v>
      </c>
      <c r="R72" s="463">
        <v>204</v>
      </c>
      <c r="S72" s="463">
        <v>74</v>
      </c>
      <c r="T72" s="462"/>
    </row>
    <row r="73" spans="1:20" hidden="1">
      <c r="A73" s="462" t="s">
        <v>272</v>
      </c>
      <c r="B73" s="463">
        <v>1284</v>
      </c>
      <c r="C73" s="463">
        <v>357</v>
      </c>
      <c r="D73" s="463">
        <v>271</v>
      </c>
      <c r="E73" s="463">
        <v>144</v>
      </c>
      <c r="F73" s="463">
        <v>1286</v>
      </c>
      <c r="G73" s="463">
        <v>356</v>
      </c>
      <c r="H73" s="463">
        <v>272</v>
      </c>
      <c r="I73" s="463">
        <v>146</v>
      </c>
      <c r="J73" s="463">
        <v>5.45</v>
      </c>
      <c r="K73" s="463">
        <v>29.63</v>
      </c>
      <c r="L73" s="463">
        <v>784</v>
      </c>
      <c r="M73" s="463">
        <v>827</v>
      </c>
      <c r="N73" s="463">
        <v>773</v>
      </c>
      <c r="O73" s="463">
        <v>649</v>
      </c>
      <c r="P73" s="463">
        <v>934</v>
      </c>
      <c r="Q73" s="463">
        <v>216</v>
      </c>
      <c r="R73" s="463">
        <v>204</v>
      </c>
      <c r="S73" s="463">
        <v>73</v>
      </c>
      <c r="T73" s="462"/>
    </row>
    <row r="74" spans="1:20" hidden="1">
      <c r="A74" s="462" t="s">
        <v>273</v>
      </c>
      <c r="B74" s="463">
        <v>1285</v>
      </c>
      <c r="C74" s="463">
        <v>355</v>
      </c>
      <c r="D74" s="463">
        <v>273</v>
      </c>
      <c r="E74" s="463">
        <v>143</v>
      </c>
      <c r="F74" s="463">
        <v>1288</v>
      </c>
      <c r="G74" s="463">
        <v>353</v>
      </c>
      <c r="H74" s="463">
        <v>273</v>
      </c>
      <c r="I74" s="463">
        <v>146</v>
      </c>
      <c r="J74" s="463">
        <v>5.5</v>
      </c>
      <c r="K74" s="463">
        <v>30.25</v>
      </c>
      <c r="L74" s="463">
        <v>782</v>
      </c>
      <c r="M74" s="463">
        <v>831</v>
      </c>
      <c r="N74" s="463">
        <v>771</v>
      </c>
      <c r="O74" s="463">
        <v>640</v>
      </c>
      <c r="P74" s="463">
        <v>920</v>
      </c>
      <c r="Q74" s="463">
        <v>214</v>
      </c>
      <c r="R74" s="463">
        <v>205</v>
      </c>
      <c r="S74" s="463">
        <v>74</v>
      </c>
      <c r="T74" s="462"/>
    </row>
    <row r="75" spans="1:20" hidden="1">
      <c r="A75" s="462" t="s">
        <v>274</v>
      </c>
      <c r="B75" s="463">
        <v>1280</v>
      </c>
      <c r="C75" s="463">
        <v>371</v>
      </c>
      <c r="D75" s="463">
        <v>272</v>
      </c>
      <c r="E75" s="463">
        <v>143</v>
      </c>
      <c r="F75" s="463">
        <v>1283</v>
      </c>
      <c r="G75" s="463">
        <v>367</v>
      </c>
      <c r="H75" s="463">
        <v>272</v>
      </c>
      <c r="I75" s="463">
        <v>145</v>
      </c>
      <c r="J75" s="463">
        <v>5.48</v>
      </c>
      <c r="K75" s="463">
        <v>28.55</v>
      </c>
      <c r="L75" s="463">
        <v>778</v>
      </c>
      <c r="M75" s="463">
        <v>829</v>
      </c>
      <c r="N75" s="463">
        <v>769</v>
      </c>
      <c r="O75" s="463">
        <v>622</v>
      </c>
      <c r="P75" s="463">
        <v>901</v>
      </c>
      <c r="Q75" s="463">
        <v>227</v>
      </c>
      <c r="R75" s="463">
        <v>203</v>
      </c>
      <c r="S75" s="463">
        <v>73</v>
      </c>
      <c r="T75" s="462"/>
    </row>
    <row r="76" spans="1:20" hidden="1">
      <c r="A76" s="462" t="s">
        <v>275</v>
      </c>
      <c r="B76" s="463">
        <v>1284</v>
      </c>
      <c r="C76" s="463">
        <v>365</v>
      </c>
      <c r="D76" s="463">
        <v>272</v>
      </c>
      <c r="E76" s="463">
        <v>140</v>
      </c>
      <c r="F76" s="463">
        <v>1287</v>
      </c>
      <c r="G76" s="463">
        <v>364</v>
      </c>
      <c r="H76" s="463">
        <v>272</v>
      </c>
      <c r="I76" s="463">
        <v>142</v>
      </c>
      <c r="J76" s="463">
        <v>5.49</v>
      </c>
      <c r="K76" s="463">
        <v>26.82</v>
      </c>
      <c r="L76" s="463">
        <v>783</v>
      </c>
      <c r="M76" s="463">
        <v>840</v>
      </c>
      <c r="N76" s="463">
        <v>775</v>
      </c>
      <c r="O76" s="463">
        <v>617</v>
      </c>
      <c r="P76" s="463">
        <v>893</v>
      </c>
      <c r="Q76" s="463">
        <v>226</v>
      </c>
      <c r="R76" s="463">
        <v>203</v>
      </c>
      <c r="S76" s="463">
        <v>72</v>
      </c>
      <c r="T76" s="462"/>
    </row>
    <row r="77" spans="1:20" hidden="1">
      <c r="A77" s="462" t="s">
        <v>276</v>
      </c>
      <c r="B77" s="463">
        <v>1280</v>
      </c>
      <c r="C77" s="463">
        <v>370</v>
      </c>
      <c r="D77" s="463">
        <v>269</v>
      </c>
      <c r="E77" s="463">
        <v>138</v>
      </c>
      <c r="F77" s="463">
        <v>1283</v>
      </c>
      <c r="G77" s="463">
        <v>368</v>
      </c>
      <c r="H77" s="463">
        <v>269</v>
      </c>
      <c r="I77" s="463">
        <v>139</v>
      </c>
      <c r="J77" s="463">
        <v>5.5</v>
      </c>
      <c r="K77" s="463">
        <v>26.91</v>
      </c>
      <c r="L77" s="463">
        <v>784</v>
      </c>
      <c r="M77" s="463">
        <v>838</v>
      </c>
      <c r="N77" s="463">
        <v>772</v>
      </c>
      <c r="O77" s="463">
        <v>618</v>
      </c>
      <c r="P77" s="463">
        <v>886</v>
      </c>
      <c r="Q77" s="463">
        <v>227</v>
      </c>
      <c r="R77" s="463">
        <v>200</v>
      </c>
      <c r="S77" s="463">
        <v>70</v>
      </c>
      <c r="T77" s="462"/>
    </row>
    <row r="78" spans="1:20" hidden="1">
      <c r="A78" s="462" t="s">
        <v>277</v>
      </c>
      <c r="B78" s="463">
        <v>1275</v>
      </c>
      <c r="C78" s="463">
        <v>363</v>
      </c>
      <c r="D78" s="463">
        <v>265</v>
      </c>
      <c r="E78" s="463">
        <v>135</v>
      </c>
      <c r="F78" s="463">
        <v>1277</v>
      </c>
      <c r="G78" s="463">
        <v>359</v>
      </c>
      <c r="H78" s="463">
        <v>265</v>
      </c>
      <c r="I78" s="463">
        <v>136</v>
      </c>
      <c r="J78" s="463">
        <v>5.41</v>
      </c>
      <c r="K78" s="463">
        <v>27.13</v>
      </c>
      <c r="L78" s="463">
        <v>784</v>
      </c>
      <c r="M78" s="463">
        <v>835</v>
      </c>
      <c r="N78" s="463">
        <v>763</v>
      </c>
      <c r="O78" s="463">
        <v>616</v>
      </c>
      <c r="P78" s="463">
        <v>893</v>
      </c>
      <c r="Q78" s="463">
        <v>220</v>
      </c>
      <c r="R78" s="463">
        <v>198</v>
      </c>
      <c r="S78" s="463">
        <v>69</v>
      </c>
      <c r="T78" s="462"/>
    </row>
    <row r="79" spans="1:20" hidden="1">
      <c r="A79" s="462" t="s">
        <v>278</v>
      </c>
      <c r="B79" s="463">
        <v>1266</v>
      </c>
      <c r="C79" s="463">
        <v>347</v>
      </c>
      <c r="D79" s="463">
        <v>262</v>
      </c>
      <c r="E79" s="463">
        <v>134</v>
      </c>
      <c r="F79" s="463">
        <v>1268</v>
      </c>
      <c r="G79" s="463">
        <v>345</v>
      </c>
      <c r="H79" s="463">
        <v>263</v>
      </c>
      <c r="I79" s="463">
        <v>136</v>
      </c>
      <c r="J79" s="463">
        <v>5.28</v>
      </c>
      <c r="K79" s="463">
        <v>26.59</v>
      </c>
      <c r="L79" s="463">
        <v>781</v>
      </c>
      <c r="M79" s="463">
        <v>829</v>
      </c>
      <c r="N79" s="463">
        <v>757</v>
      </c>
      <c r="O79" s="463">
        <v>618</v>
      </c>
      <c r="P79" s="463">
        <v>901</v>
      </c>
      <c r="Q79" s="463">
        <v>212</v>
      </c>
      <c r="R79" s="463">
        <v>196</v>
      </c>
      <c r="S79" s="463">
        <v>68</v>
      </c>
      <c r="T79" s="462"/>
    </row>
    <row r="80" spans="1:20" hidden="1">
      <c r="A80" s="462" t="s">
        <v>279</v>
      </c>
      <c r="B80" s="463">
        <v>1254</v>
      </c>
      <c r="C80" s="463">
        <v>350</v>
      </c>
      <c r="D80" s="463">
        <v>264</v>
      </c>
      <c r="E80" s="463">
        <v>134</v>
      </c>
      <c r="F80" s="463">
        <v>1255</v>
      </c>
      <c r="G80" s="463">
        <v>349</v>
      </c>
      <c r="H80" s="463">
        <v>265</v>
      </c>
      <c r="I80" s="463">
        <v>135</v>
      </c>
      <c r="J80" s="463">
        <v>5.27</v>
      </c>
      <c r="K80" s="463">
        <v>27.55</v>
      </c>
      <c r="L80" s="463">
        <v>772</v>
      </c>
      <c r="M80" s="463">
        <v>821</v>
      </c>
      <c r="N80" s="463">
        <v>747</v>
      </c>
      <c r="O80" s="463">
        <v>617</v>
      </c>
      <c r="P80" s="463">
        <v>903</v>
      </c>
      <c r="Q80" s="463">
        <v>219</v>
      </c>
      <c r="R80" s="463">
        <v>198</v>
      </c>
      <c r="S80" s="463">
        <v>68</v>
      </c>
      <c r="T80" s="462"/>
    </row>
    <row r="81" spans="1:20" ht="9.75" hidden="1" customHeight="1">
      <c r="A81" s="462" t="s">
        <v>280</v>
      </c>
      <c r="B81" s="463">
        <v>1245</v>
      </c>
      <c r="C81" s="463">
        <v>369</v>
      </c>
      <c r="D81" s="463">
        <v>268</v>
      </c>
      <c r="E81" s="463">
        <v>138</v>
      </c>
      <c r="F81" s="463">
        <v>1247</v>
      </c>
      <c r="G81" s="463">
        <v>366</v>
      </c>
      <c r="H81" s="463">
        <v>269</v>
      </c>
      <c r="I81" s="463">
        <v>139</v>
      </c>
      <c r="J81" s="463">
        <v>5.33</v>
      </c>
      <c r="K81" s="463">
        <v>28.19</v>
      </c>
      <c r="L81" s="463">
        <v>764</v>
      </c>
      <c r="M81" s="463">
        <v>810</v>
      </c>
      <c r="N81" s="463">
        <v>735</v>
      </c>
      <c r="O81" s="463">
        <v>617</v>
      </c>
      <c r="P81" s="463">
        <v>923</v>
      </c>
      <c r="Q81" s="463">
        <v>226</v>
      </c>
      <c r="R81" s="463">
        <v>201</v>
      </c>
      <c r="S81" s="463">
        <v>70</v>
      </c>
      <c r="T81" s="462"/>
    </row>
    <row r="82" spans="1:20" hidden="1">
      <c r="A82" s="462" t="s">
        <v>281</v>
      </c>
      <c r="B82" s="463">
        <v>1222</v>
      </c>
      <c r="C82" s="463">
        <v>376</v>
      </c>
      <c r="D82" s="463">
        <v>270</v>
      </c>
      <c r="E82" s="463">
        <v>143</v>
      </c>
      <c r="F82" s="463">
        <v>1224</v>
      </c>
      <c r="G82" s="463">
        <v>375</v>
      </c>
      <c r="H82" s="463">
        <v>270</v>
      </c>
      <c r="I82" s="463">
        <v>144</v>
      </c>
      <c r="J82" s="463">
        <v>5.36</v>
      </c>
      <c r="K82" s="463">
        <v>28.4</v>
      </c>
      <c r="L82" s="463">
        <v>748</v>
      </c>
      <c r="M82" s="463">
        <v>791</v>
      </c>
      <c r="N82" s="463">
        <v>721</v>
      </c>
      <c r="O82" s="463">
        <v>617</v>
      </c>
      <c r="P82" s="463">
        <v>917</v>
      </c>
      <c r="Q82" s="463">
        <v>230</v>
      </c>
      <c r="R82" s="463">
        <v>202</v>
      </c>
      <c r="S82" s="463">
        <v>72</v>
      </c>
      <c r="T82" s="462"/>
    </row>
    <row r="83" spans="1:20" hidden="1">
      <c r="A83" s="462" t="s">
        <v>282</v>
      </c>
      <c r="B83" s="463">
        <v>1218</v>
      </c>
      <c r="C83" s="463">
        <v>353</v>
      </c>
      <c r="D83" s="463">
        <v>271</v>
      </c>
      <c r="E83" s="463">
        <v>141</v>
      </c>
      <c r="F83" s="463">
        <v>1220</v>
      </c>
      <c r="G83" s="463">
        <v>351</v>
      </c>
      <c r="H83" s="463">
        <v>271</v>
      </c>
      <c r="I83" s="463">
        <v>145</v>
      </c>
      <c r="J83" s="463">
        <v>5.37</v>
      </c>
      <c r="K83" s="463">
        <v>28.81</v>
      </c>
      <c r="L83" s="463">
        <v>743</v>
      </c>
      <c r="M83" s="463">
        <v>784</v>
      </c>
      <c r="N83" s="463">
        <v>723</v>
      </c>
      <c r="O83" s="463">
        <v>618</v>
      </c>
      <c r="P83" s="463">
        <v>911</v>
      </c>
      <c r="Q83" s="463">
        <v>214</v>
      </c>
      <c r="R83" s="463">
        <v>203</v>
      </c>
      <c r="S83" s="463">
        <v>73</v>
      </c>
      <c r="T83" s="462"/>
    </row>
    <row r="84" spans="1:20" hidden="1">
      <c r="A84" s="462" t="s">
        <v>283</v>
      </c>
      <c r="B84" s="463">
        <v>1237</v>
      </c>
      <c r="C84" s="463">
        <v>328</v>
      </c>
      <c r="D84" s="463">
        <v>271</v>
      </c>
      <c r="E84" s="463">
        <v>139</v>
      </c>
      <c r="F84" s="463">
        <v>1239</v>
      </c>
      <c r="G84" s="463">
        <v>327</v>
      </c>
      <c r="H84" s="463">
        <v>271</v>
      </c>
      <c r="I84" s="463">
        <v>140</v>
      </c>
      <c r="J84" s="463">
        <v>5.31</v>
      </c>
      <c r="K84" s="463">
        <v>28.98</v>
      </c>
      <c r="L84" s="463">
        <v>756</v>
      </c>
      <c r="M84" s="463">
        <v>797</v>
      </c>
      <c r="N84" s="463">
        <v>740</v>
      </c>
      <c r="O84" s="463">
        <v>629</v>
      </c>
      <c r="P84" s="463">
        <v>906</v>
      </c>
      <c r="Q84" s="463">
        <v>199</v>
      </c>
      <c r="R84" s="463">
        <v>203</v>
      </c>
      <c r="S84" s="463">
        <v>70</v>
      </c>
      <c r="T84" s="462"/>
    </row>
    <row r="85" spans="1:20" hidden="1">
      <c r="A85" s="462" t="s">
        <v>284</v>
      </c>
      <c r="B85" s="463">
        <v>1253</v>
      </c>
      <c r="C85" s="463">
        <v>327</v>
      </c>
      <c r="D85" s="463">
        <v>270</v>
      </c>
      <c r="E85" s="463">
        <v>140</v>
      </c>
      <c r="F85" s="463">
        <v>1257</v>
      </c>
      <c r="G85" s="463">
        <v>325</v>
      </c>
      <c r="H85" s="463">
        <v>270</v>
      </c>
      <c r="I85" s="463">
        <v>142</v>
      </c>
      <c r="J85" s="463">
        <v>5.33</v>
      </c>
      <c r="K85" s="463">
        <v>29.2</v>
      </c>
      <c r="L85" s="463">
        <v>761</v>
      </c>
      <c r="M85" s="463">
        <v>807</v>
      </c>
      <c r="N85" s="463">
        <v>749</v>
      </c>
      <c r="O85" s="463">
        <v>632</v>
      </c>
      <c r="P85" s="463">
        <v>912</v>
      </c>
      <c r="Q85" s="463">
        <v>199</v>
      </c>
      <c r="R85" s="463">
        <v>202</v>
      </c>
      <c r="S85" s="463">
        <v>72</v>
      </c>
      <c r="T85" s="462"/>
    </row>
    <row r="86" spans="1:20" hidden="1">
      <c r="A86" s="462" t="s">
        <v>285</v>
      </c>
      <c r="B86" s="463">
        <v>1262</v>
      </c>
      <c r="C86" s="463">
        <v>329</v>
      </c>
      <c r="D86" s="463">
        <v>270</v>
      </c>
      <c r="E86" s="463">
        <v>138</v>
      </c>
      <c r="F86" s="463">
        <v>1265</v>
      </c>
      <c r="G86" s="463">
        <v>326</v>
      </c>
      <c r="H86" s="463">
        <v>270</v>
      </c>
      <c r="I86" s="463">
        <v>140</v>
      </c>
      <c r="J86" s="463">
        <v>5.37</v>
      </c>
      <c r="K86" s="463">
        <v>29.67</v>
      </c>
      <c r="L86" s="463">
        <v>765</v>
      </c>
      <c r="M86" s="463">
        <v>815</v>
      </c>
      <c r="N86" s="463">
        <v>755</v>
      </c>
      <c r="O86" s="463">
        <v>624</v>
      </c>
      <c r="P86" s="463">
        <v>916</v>
      </c>
      <c r="Q86" s="463">
        <v>199</v>
      </c>
      <c r="R86" s="463">
        <v>202</v>
      </c>
      <c r="S86" s="463">
        <v>70</v>
      </c>
      <c r="T86" s="462"/>
    </row>
    <row r="87" spans="1:20" ht="15.75">
      <c r="A87" s="464">
        <v>2010</v>
      </c>
      <c r="B87" s="465">
        <f>AVERAGE(B15:B26)</f>
        <v>1279.4166666666667</v>
      </c>
      <c r="C87" s="465">
        <f t="shared" ref="C87:S87" si="0">AVERAGE(C15:C26)</f>
        <v>263.16666666666669</v>
      </c>
      <c r="D87" s="465">
        <f t="shared" si="0"/>
        <v>272.25</v>
      </c>
      <c r="E87" s="465">
        <f t="shared" si="0"/>
        <v>133.83333333333334</v>
      </c>
      <c r="F87" s="465">
        <f t="shared" si="0"/>
        <v>1281.6666666666667</v>
      </c>
      <c r="G87" s="465">
        <f t="shared" si="0"/>
        <v>260.5</v>
      </c>
      <c r="H87" s="465">
        <f t="shared" si="0"/>
        <v>272.58333333333331</v>
      </c>
      <c r="I87" s="465">
        <f t="shared" si="0"/>
        <v>136.91666666666666</v>
      </c>
      <c r="J87" s="465">
        <f t="shared" si="0"/>
        <v>5.7016666666666671</v>
      </c>
      <c r="K87" s="465">
        <f t="shared" si="0"/>
        <v>29.170833333333334</v>
      </c>
      <c r="L87" s="465">
        <f t="shared" si="0"/>
        <v>772.66666666666663</v>
      </c>
      <c r="M87" s="465">
        <f t="shared" si="0"/>
        <v>835.16666666666663</v>
      </c>
      <c r="N87" s="465">
        <f t="shared" si="0"/>
        <v>768.33333333333337</v>
      </c>
      <c r="O87" s="465">
        <f t="shared" si="0"/>
        <v>607.25</v>
      </c>
      <c r="P87" s="465">
        <f t="shared" si="0"/>
        <v>874.66666666666663</v>
      </c>
      <c r="Q87" s="465">
        <f t="shared" si="0"/>
        <v>154</v>
      </c>
      <c r="R87" s="465">
        <f t="shared" si="0"/>
        <v>204</v>
      </c>
      <c r="S87" s="465">
        <f t="shared" si="0"/>
        <v>68.333333333333329</v>
      </c>
      <c r="T87" s="462"/>
    </row>
    <row r="88" spans="1:20" ht="15.75">
      <c r="A88" s="466">
        <v>2009</v>
      </c>
      <c r="B88" s="467">
        <f>AVERAGE(B27:B38)</f>
        <v>1293.4166666666667</v>
      </c>
      <c r="C88" s="467">
        <f t="shared" ref="C88:S88" si="1">AVERAGE(C27:C38)</f>
        <v>250.75</v>
      </c>
      <c r="D88" s="467">
        <f t="shared" si="1"/>
        <v>270.58333333333331</v>
      </c>
      <c r="E88" s="467">
        <f t="shared" si="1"/>
        <v>136.08333333333334</v>
      </c>
      <c r="F88" s="467">
        <f t="shared" si="1"/>
        <v>1296.1666666666667</v>
      </c>
      <c r="G88" s="467">
        <f t="shared" si="1"/>
        <v>248.41666666666666</v>
      </c>
      <c r="H88" s="467">
        <f t="shared" si="1"/>
        <v>270.83333333333331</v>
      </c>
      <c r="I88" s="467">
        <f t="shared" si="1"/>
        <v>139.41666666666666</v>
      </c>
      <c r="J88" s="467">
        <f t="shared" si="1"/>
        <v>5.5883333333333338</v>
      </c>
      <c r="K88" s="467">
        <f t="shared" si="1"/>
        <v>28.931666666666668</v>
      </c>
      <c r="L88" s="467">
        <f t="shared" si="1"/>
        <v>783.91666666666663</v>
      </c>
      <c r="M88" s="467">
        <f t="shared" si="1"/>
        <v>847.08333333333337</v>
      </c>
      <c r="N88" s="467">
        <f t="shared" si="1"/>
        <v>781.58333333333337</v>
      </c>
      <c r="O88" s="467">
        <f t="shared" si="1"/>
        <v>609.91666666666663</v>
      </c>
      <c r="P88" s="467">
        <f t="shared" si="1"/>
        <v>877.91666666666663</v>
      </c>
      <c r="Q88" s="467">
        <f t="shared" si="1"/>
        <v>147.25</v>
      </c>
      <c r="R88" s="467">
        <f t="shared" si="1"/>
        <v>202.91666666666666</v>
      </c>
      <c r="S88" s="467">
        <f t="shared" si="1"/>
        <v>69.666666666666671</v>
      </c>
      <c r="T88" s="462"/>
    </row>
    <row r="89" spans="1:20" ht="15.75">
      <c r="A89" s="468">
        <v>2008</v>
      </c>
      <c r="B89" s="467">
        <f>AVERAGE(B39:B50)</f>
        <v>1282.0833333333333</v>
      </c>
      <c r="C89" s="467">
        <f t="shared" ref="C89:S89" si="2">AVERAGE(C39:C50)</f>
        <v>258.41666666666669</v>
      </c>
      <c r="D89" s="467">
        <f t="shared" si="2"/>
        <v>268.08333333333331</v>
      </c>
      <c r="E89" s="467">
        <f t="shared" si="2"/>
        <v>136.25</v>
      </c>
      <c r="F89" s="467">
        <f t="shared" si="2"/>
        <v>1284.5</v>
      </c>
      <c r="G89" s="467">
        <f t="shared" si="2"/>
        <v>256.25</v>
      </c>
      <c r="H89" s="467">
        <f t="shared" si="2"/>
        <v>268.41666666666669</v>
      </c>
      <c r="I89" s="467">
        <f t="shared" si="2"/>
        <v>138.41666666666666</v>
      </c>
      <c r="J89" s="467">
        <f t="shared" si="2"/>
        <v>5.580000000000001</v>
      </c>
      <c r="K89" s="467">
        <f t="shared" si="2"/>
        <v>28.989166666666666</v>
      </c>
      <c r="L89" s="467">
        <f t="shared" si="2"/>
        <v>777.91666666666663</v>
      </c>
      <c r="M89" s="467">
        <f t="shared" si="2"/>
        <v>838.41666666666663</v>
      </c>
      <c r="N89" s="467">
        <f t="shared" si="2"/>
        <v>771.83333333333337</v>
      </c>
      <c r="O89" s="467">
        <f t="shared" si="2"/>
        <v>609.5</v>
      </c>
      <c r="P89" s="467">
        <f t="shared" si="2"/>
        <v>887.08333333333337</v>
      </c>
      <c r="Q89" s="467">
        <f t="shared" si="2"/>
        <v>151.25</v>
      </c>
      <c r="R89" s="467">
        <f t="shared" si="2"/>
        <v>200.91666666666666</v>
      </c>
      <c r="S89" s="467">
        <f t="shared" si="2"/>
        <v>69.25</v>
      </c>
      <c r="T89" s="462"/>
    </row>
    <row r="90" spans="1:20" ht="15.75">
      <c r="A90" s="469">
        <v>2007</v>
      </c>
      <c r="B90" s="467">
        <f>AVERAGE(B51:B62)</f>
        <v>1273.75</v>
      </c>
      <c r="C90" s="467">
        <f t="shared" ref="C90:S90" si="3">AVERAGE(C51:C62)</f>
        <v>305.41666666666669</v>
      </c>
      <c r="D90" s="467">
        <f t="shared" si="3"/>
        <v>268.58333333333331</v>
      </c>
      <c r="E90" s="467">
        <f t="shared" si="3"/>
        <v>135.66666666666666</v>
      </c>
      <c r="F90" s="467">
        <f t="shared" si="3"/>
        <v>1275.75</v>
      </c>
      <c r="G90" s="467">
        <f t="shared" si="3"/>
        <v>303.58333333333331</v>
      </c>
      <c r="H90" s="467">
        <f t="shared" si="3"/>
        <v>269.08333333333331</v>
      </c>
      <c r="I90" s="467">
        <f t="shared" si="3"/>
        <v>137.75</v>
      </c>
      <c r="J90" s="467">
        <f t="shared" si="3"/>
        <v>5.5125000000000002</v>
      </c>
      <c r="K90" s="467">
        <f t="shared" si="3"/>
        <v>28.385833333333327</v>
      </c>
      <c r="L90" s="467">
        <f t="shared" si="3"/>
        <v>775.75</v>
      </c>
      <c r="M90" s="467">
        <f t="shared" si="3"/>
        <v>830.08333333333337</v>
      </c>
      <c r="N90" s="467">
        <f t="shared" si="3"/>
        <v>764.16666666666663</v>
      </c>
      <c r="O90" s="467">
        <f t="shared" si="3"/>
        <v>617</v>
      </c>
      <c r="P90" s="467">
        <f t="shared" si="3"/>
        <v>893.5</v>
      </c>
      <c r="Q90" s="467">
        <f t="shared" si="3"/>
        <v>181.91666666666666</v>
      </c>
      <c r="R90" s="467">
        <f t="shared" si="3"/>
        <v>201.5</v>
      </c>
      <c r="S90" s="467">
        <f t="shared" si="3"/>
        <v>69.25</v>
      </c>
      <c r="T90" s="462"/>
    </row>
    <row r="91" spans="1:20" ht="15.75">
      <c r="A91" s="466">
        <v>2006</v>
      </c>
      <c r="B91" s="467">
        <f>AVERAGE(B63:B74)</f>
        <v>1275.5</v>
      </c>
      <c r="C91" s="467">
        <f t="shared" ref="C91:S91" si="4">AVERAGE(C63:C74)</f>
        <v>346.08333333333331</v>
      </c>
      <c r="D91" s="467">
        <f t="shared" si="4"/>
        <v>268.91666666666669</v>
      </c>
      <c r="E91" s="467">
        <f t="shared" si="4"/>
        <v>136.41666666666666</v>
      </c>
      <c r="F91" s="467">
        <f t="shared" si="4"/>
        <v>1277.6666666666667</v>
      </c>
      <c r="G91" s="467">
        <f t="shared" si="4"/>
        <v>344.83333333333331</v>
      </c>
      <c r="H91" s="467">
        <f t="shared" si="4"/>
        <v>269.33333333333331</v>
      </c>
      <c r="I91" s="467">
        <f t="shared" si="4"/>
        <v>138.33333333333334</v>
      </c>
      <c r="J91" s="467">
        <f t="shared" si="4"/>
        <v>5.4700000000000015</v>
      </c>
      <c r="K91" s="467">
        <f t="shared" si="4"/>
        <v>28.238333333333333</v>
      </c>
      <c r="L91" s="467">
        <f t="shared" si="4"/>
        <v>780.91666666666663</v>
      </c>
      <c r="M91" s="467">
        <f t="shared" si="4"/>
        <v>832.58333333333337</v>
      </c>
      <c r="N91" s="467">
        <f t="shared" si="4"/>
        <v>766.91666666666663</v>
      </c>
      <c r="O91" s="467">
        <f t="shared" si="4"/>
        <v>623.08333333333337</v>
      </c>
      <c r="P91" s="467">
        <f t="shared" si="4"/>
        <v>914.58333333333337</v>
      </c>
      <c r="Q91" s="467">
        <f t="shared" si="4"/>
        <v>208.08333333333334</v>
      </c>
      <c r="R91" s="467">
        <f t="shared" si="4"/>
        <v>201.66666666666666</v>
      </c>
      <c r="S91" s="467">
        <f t="shared" si="4"/>
        <v>69.583333333333329</v>
      </c>
      <c r="T91" s="462"/>
    </row>
    <row r="92" spans="1:20" ht="15.75">
      <c r="A92" s="466">
        <v>2005</v>
      </c>
      <c r="B92" s="467">
        <f>AVERAGE(B75:B86)</f>
        <v>1256.3333333333333</v>
      </c>
      <c r="C92" s="467">
        <f t="shared" ref="C92:S92" si="5">AVERAGE(C75:C86)</f>
        <v>354</v>
      </c>
      <c r="D92" s="467">
        <f t="shared" si="5"/>
        <v>268.66666666666669</v>
      </c>
      <c r="E92" s="467">
        <f t="shared" si="5"/>
        <v>138.58333333333334</v>
      </c>
      <c r="F92" s="467">
        <f t="shared" si="5"/>
        <v>1258.75</v>
      </c>
      <c r="G92" s="467">
        <f t="shared" si="5"/>
        <v>351.83333333333331</v>
      </c>
      <c r="H92" s="467">
        <f t="shared" si="5"/>
        <v>268.91666666666669</v>
      </c>
      <c r="I92" s="467">
        <f t="shared" si="5"/>
        <v>140.25</v>
      </c>
      <c r="J92" s="467">
        <f t="shared" si="5"/>
        <v>5.375</v>
      </c>
      <c r="K92" s="467">
        <f t="shared" si="5"/>
        <v>28.066666666666666</v>
      </c>
      <c r="L92" s="467">
        <f t="shared" si="5"/>
        <v>768.25</v>
      </c>
      <c r="M92" s="467">
        <f t="shared" si="5"/>
        <v>816.33333333333337</v>
      </c>
      <c r="N92" s="467">
        <f t="shared" si="5"/>
        <v>750.5</v>
      </c>
      <c r="O92" s="467">
        <f t="shared" si="5"/>
        <v>620.41666666666663</v>
      </c>
      <c r="P92" s="467">
        <f t="shared" si="5"/>
        <v>905.16666666666663</v>
      </c>
      <c r="Q92" s="467">
        <f t="shared" si="5"/>
        <v>216.5</v>
      </c>
      <c r="R92" s="467">
        <f t="shared" si="5"/>
        <v>200.91666666666666</v>
      </c>
      <c r="S92" s="467">
        <f t="shared" si="5"/>
        <v>70.583333333333329</v>
      </c>
      <c r="T92" s="462"/>
    </row>
    <row r="93" spans="1:20" ht="18">
      <c r="A93" s="470" t="s">
        <v>221</v>
      </c>
      <c r="B93" s="471">
        <f>AVERAGE(B87:B92)</f>
        <v>1276.75</v>
      </c>
      <c r="C93" s="471">
        <f t="shared" ref="C93:S93" si="6">AVERAGE(C87:C92)</f>
        <v>296.3055555555556</v>
      </c>
      <c r="D93" s="471">
        <f t="shared" si="6"/>
        <v>269.51388888888886</v>
      </c>
      <c r="E93" s="471">
        <f t="shared" si="6"/>
        <v>136.13888888888889</v>
      </c>
      <c r="F93" s="471">
        <f t="shared" si="6"/>
        <v>1279.0833333333335</v>
      </c>
      <c r="G93" s="471">
        <f t="shared" si="6"/>
        <v>294.23611111111109</v>
      </c>
      <c r="H93" s="471">
        <f t="shared" si="6"/>
        <v>269.86111111111109</v>
      </c>
      <c r="I93" s="471">
        <f t="shared" si="6"/>
        <v>138.51388888888889</v>
      </c>
      <c r="J93" s="471">
        <f t="shared" si="6"/>
        <v>5.5379166666666677</v>
      </c>
      <c r="K93" s="471">
        <f t="shared" si="6"/>
        <v>28.630416666666665</v>
      </c>
      <c r="L93" s="471">
        <f t="shared" si="6"/>
        <v>776.56944444444434</v>
      </c>
      <c r="M93" s="471">
        <f t="shared" si="6"/>
        <v>833.27777777777771</v>
      </c>
      <c r="N93" s="471">
        <f t="shared" si="6"/>
        <v>767.22222222222217</v>
      </c>
      <c r="O93" s="471">
        <f t="shared" si="6"/>
        <v>614.52777777777771</v>
      </c>
      <c r="P93" s="471">
        <f t="shared" si="6"/>
        <v>892.15277777777783</v>
      </c>
      <c r="Q93" s="471">
        <f t="shared" si="6"/>
        <v>176.5</v>
      </c>
      <c r="R93" s="471">
        <f t="shared" si="6"/>
        <v>201.98611111111109</v>
      </c>
      <c r="S93" s="471">
        <f t="shared" si="6"/>
        <v>69.444444444444443</v>
      </c>
      <c r="T93" s="462"/>
    </row>
    <row r="94" spans="1:20" ht="18">
      <c r="A94" s="472" t="s">
        <v>222</v>
      </c>
      <c r="B94" s="473">
        <f>STDEV(B87:B92)</f>
        <v>12.171574352655588</v>
      </c>
      <c r="C94" s="473">
        <f t="shared" ref="C94:S94" si="7">STDEV(C87:C92)</f>
        <v>45.82259470157917</v>
      </c>
      <c r="D94" s="473">
        <f t="shared" si="7"/>
        <v>1.5885149132537686</v>
      </c>
      <c r="E94" s="473">
        <f t="shared" si="7"/>
        <v>1.5235800918548055</v>
      </c>
      <c r="F94" s="473">
        <f t="shared" si="7"/>
        <v>12.283457710813103</v>
      </c>
      <c r="G94" s="473">
        <f t="shared" si="7"/>
        <v>46.141913239563614</v>
      </c>
      <c r="H94" s="473">
        <f t="shared" si="7"/>
        <v>1.5631757797888508</v>
      </c>
      <c r="I94" s="473">
        <f t="shared" si="7"/>
        <v>1.1837049494732248</v>
      </c>
      <c r="J94" s="473">
        <f t="shared" si="7"/>
        <v>0.11218505297547941</v>
      </c>
      <c r="K94" s="473">
        <f t="shared" si="7"/>
        <v>0.45669852382799275</v>
      </c>
      <c r="L94" s="473">
        <f t="shared" si="7"/>
        <v>5.6535182425210566</v>
      </c>
      <c r="M94" s="473">
        <f t="shared" si="7"/>
        <v>10.182046654483266</v>
      </c>
      <c r="N94" s="473">
        <f t="shared" si="7"/>
        <v>10.176452485281182</v>
      </c>
      <c r="O94" s="473">
        <f t="shared" si="7"/>
        <v>6.5344528519283225</v>
      </c>
      <c r="P94" s="473">
        <f t="shared" si="7"/>
        <v>15.546294366134942</v>
      </c>
      <c r="Q94" s="473">
        <f t="shared" si="7"/>
        <v>30.41783102794221</v>
      </c>
      <c r="R94" s="473">
        <f t="shared" si="7"/>
        <v>1.2286133406164637</v>
      </c>
      <c r="S94" s="473">
        <f t="shared" si="7"/>
        <v>0.73156352095028998</v>
      </c>
      <c r="T94" s="462"/>
    </row>
    <row r="95" spans="1:20" ht="36.75" thickBot="1">
      <c r="A95" s="472" t="s">
        <v>0</v>
      </c>
      <c r="B95" s="474">
        <f>2*B94/B93</f>
        <v>1.9066495950899688E-2</v>
      </c>
      <c r="C95" s="474">
        <f t="shared" ref="C95:S95" si="8">2*C94/C93</f>
        <v>0.30929284883413327</v>
      </c>
      <c r="D95" s="474">
        <f t="shared" si="8"/>
        <v>1.1788000386938557E-2</v>
      </c>
      <c r="E95" s="474">
        <f t="shared" si="8"/>
        <v>2.2382731404518668E-2</v>
      </c>
      <c r="F95" s="474">
        <f t="shared" si="8"/>
        <v>1.9206657440843992E-2</v>
      </c>
      <c r="G95" s="474">
        <f t="shared" si="8"/>
        <v>0.31363868333713291</v>
      </c>
      <c r="H95" s="474">
        <f t="shared" si="8"/>
        <v>1.1585039232609087E-2</v>
      </c>
      <c r="I95" s="474">
        <f t="shared" si="8"/>
        <v>1.7091498317872694E-2</v>
      </c>
      <c r="J95" s="474">
        <f t="shared" si="8"/>
        <v>4.0515255005816049E-2</v>
      </c>
      <c r="K95" s="474">
        <f t="shared" si="8"/>
        <v>3.1903030203518479E-2</v>
      </c>
      <c r="L95" s="474">
        <f t="shared" si="8"/>
        <v>1.4560238708762403E-2</v>
      </c>
      <c r="M95" s="474">
        <f t="shared" si="8"/>
        <v>2.4438541206840296E-2</v>
      </c>
      <c r="N95" s="474">
        <f t="shared" si="8"/>
        <v>2.6528044132521546E-2</v>
      </c>
      <c r="O95" s="474">
        <f t="shared" si="8"/>
        <v>2.1266582531249797E-2</v>
      </c>
      <c r="P95" s="474">
        <f t="shared" si="8"/>
        <v>3.4851193099142704E-2</v>
      </c>
      <c r="Q95" s="474">
        <f t="shared" si="8"/>
        <v>0.3446779719880137</v>
      </c>
      <c r="R95" s="474">
        <f t="shared" si="8"/>
        <v>1.2165324970691796E-2</v>
      </c>
      <c r="S95" s="474">
        <f t="shared" si="8"/>
        <v>2.1069029403368352E-2</v>
      </c>
      <c r="T95" s="462"/>
    </row>
    <row r="96" spans="1:20" ht="52.35" customHeight="1">
      <c r="A96" s="1146" t="s">
        <v>1</v>
      </c>
      <c r="B96" s="1146"/>
      <c r="C96" s="1146"/>
      <c r="D96" s="1146"/>
      <c r="E96" s="1146"/>
      <c r="F96" s="1146"/>
      <c r="G96" s="1146"/>
      <c r="H96" s="475"/>
      <c r="I96" s="475"/>
      <c r="J96" s="475"/>
      <c r="K96" s="475"/>
      <c r="L96" s="476"/>
      <c r="M96" s="475"/>
      <c r="N96" s="475"/>
      <c r="O96" s="475"/>
      <c r="P96" s="475"/>
      <c r="Q96" s="475"/>
      <c r="R96" s="475"/>
      <c r="S96" s="475"/>
      <c r="T96" s="475"/>
    </row>
    <row r="97" spans="1:20" ht="15" customHeight="1">
      <c r="A97" s="462"/>
      <c r="B97" s="462"/>
      <c r="C97" s="462"/>
      <c r="D97" s="462"/>
      <c r="E97" s="462"/>
      <c r="F97" s="462"/>
      <c r="G97" s="462"/>
      <c r="H97" s="462"/>
      <c r="I97" s="462"/>
      <c r="J97" s="462"/>
      <c r="K97" s="462"/>
      <c r="L97" s="477">
        <f t="shared" ref="L97:Q97" si="9">(1+L95)*L99</f>
        <v>1297.7070919950663</v>
      </c>
      <c r="M97" s="478">
        <f t="shared" si="9"/>
        <v>1406.0289105550164</v>
      </c>
      <c r="N97" s="478">
        <f t="shared" si="9"/>
        <v>1297.2107338846477</v>
      </c>
      <c r="O97" s="478">
        <f t="shared" si="9"/>
        <v>1033.711104189681</v>
      </c>
      <c r="P97" s="478">
        <f t="shared" si="9"/>
        <v>1520.6724515475175</v>
      </c>
      <c r="Q97" s="479">
        <f t="shared" si="9"/>
        <v>390.91428578997056</v>
      </c>
      <c r="R97" s="1147" t="s">
        <v>2</v>
      </c>
      <c r="S97" s="462"/>
      <c r="T97" s="462"/>
    </row>
    <row r="98" spans="1:20" ht="18" customHeight="1">
      <c r="A98" s="462"/>
      <c r="B98" s="462"/>
      <c r="C98" s="462"/>
      <c r="D98" s="462"/>
      <c r="E98" s="462"/>
      <c r="F98" s="462"/>
      <c r="G98" s="462"/>
      <c r="H98" s="462"/>
      <c r="I98" s="462"/>
      <c r="J98" s="462"/>
      <c r="K98" s="462"/>
      <c r="L98" s="480">
        <f t="shared" ref="L98:Q98" si="10">(1-L95)*L99</f>
        <v>1260.4595746716006</v>
      </c>
      <c r="M98" s="481">
        <f t="shared" si="10"/>
        <v>1338.9457345781968</v>
      </c>
      <c r="N98" s="481">
        <f t="shared" si="10"/>
        <v>1230.164414411217</v>
      </c>
      <c r="O98" s="481">
        <f t="shared" si="10"/>
        <v>990.6596563370897</v>
      </c>
      <c r="P98" s="481">
        <f t="shared" si="10"/>
        <v>1418.2475819569156</v>
      </c>
      <c r="Q98" s="482">
        <f t="shared" si="10"/>
        <v>190.51010567534172</v>
      </c>
      <c r="R98" s="1147"/>
      <c r="S98" s="462"/>
      <c r="T98" s="462"/>
    </row>
    <row r="99" spans="1:20" ht="17.100000000000001" customHeight="1">
      <c r="F99" s="1148" t="s">
        <v>3</v>
      </c>
      <c r="G99" s="1149"/>
      <c r="H99" s="1149"/>
      <c r="I99" s="1149"/>
      <c r="J99" s="1149"/>
      <c r="K99" s="483">
        <f>F93/L93</f>
        <v>1.6470945933861538</v>
      </c>
      <c r="L99" s="484">
        <f t="shared" ref="L99:Q99" si="11">L93*$K$99</f>
        <v>1279.0833333333335</v>
      </c>
      <c r="M99" s="485">
        <f t="shared" si="11"/>
        <v>1372.4873225666067</v>
      </c>
      <c r="N99" s="485">
        <f t="shared" si="11"/>
        <v>1263.6875741479323</v>
      </c>
      <c r="O99" s="485">
        <f t="shared" si="11"/>
        <v>1012.1853802633855</v>
      </c>
      <c r="P99" s="485">
        <f t="shared" si="11"/>
        <v>1469.4600167522167</v>
      </c>
      <c r="Q99" s="486">
        <f t="shared" si="11"/>
        <v>290.71219573265614</v>
      </c>
      <c r="R99" s="461" t="s">
        <v>4</v>
      </c>
    </row>
    <row r="100" spans="1:20" ht="18" customHeight="1">
      <c r="L100" s="1150" t="s">
        <v>5</v>
      </c>
      <c r="M100" s="1151"/>
      <c r="N100" s="1151"/>
      <c r="O100" s="1151"/>
      <c r="P100" s="1151"/>
      <c r="Q100" s="1152"/>
    </row>
    <row r="101" spans="1:20" ht="12" customHeight="1" thickBot="1">
      <c r="L101" s="1153"/>
      <c r="M101" s="1154"/>
      <c r="N101" s="1154"/>
      <c r="O101" s="1154"/>
      <c r="P101" s="1154"/>
      <c r="Q101" s="1155"/>
    </row>
    <row r="102" spans="1:20" ht="15" customHeight="1">
      <c r="F102" s="1156" t="s">
        <v>6</v>
      </c>
      <c r="G102" s="1157"/>
      <c r="H102" s="1157"/>
      <c r="I102" s="1157"/>
      <c r="J102" s="1157"/>
      <c r="K102" s="1158"/>
      <c r="L102" s="487"/>
      <c r="M102" s="488">
        <v>0.57248750664178982</v>
      </c>
      <c r="N102" s="488">
        <v>0.32206513725819097</v>
      </c>
      <c r="O102" s="488">
        <v>7.8524333325396128E-2</v>
      </c>
      <c r="P102" s="488">
        <v>2.0785436642734401E-2</v>
      </c>
      <c r="Q102" s="489">
        <v>6.1375861318886627E-3</v>
      </c>
      <c r="R102" s="490"/>
    </row>
    <row r="103" spans="1:20" ht="16.350000000000001" customHeight="1">
      <c r="L103" s="491"/>
      <c r="M103" s="491"/>
      <c r="N103" s="491"/>
      <c r="O103" s="491"/>
      <c r="P103" s="491"/>
      <c r="Q103" s="491"/>
      <c r="R103" s="490"/>
    </row>
    <row r="104" spans="1:20" ht="16.350000000000001" customHeight="1">
      <c r="J104" s="1138" t="s">
        <v>7</v>
      </c>
      <c r="K104" s="1139"/>
      <c r="L104" s="1139"/>
      <c r="M104" s="1139"/>
      <c r="N104" s="1139"/>
      <c r="O104" s="1139"/>
      <c r="P104" s="1140"/>
      <c r="Q104" s="492">
        <f>(L99-O102*O99)/(1-O102)</f>
        <v>1301.8272695963094</v>
      </c>
      <c r="R104" s="490"/>
    </row>
    <row r="105" spans="1:20" ht="16.350000000000001" customHeight="1">
      <c r="J105" s="490"/>
      <c r="K105" s="491"/>
      <c r="L105" s="491"/>
      <c r="M105" s="491"/>
      <c r="N105" s="491"/>
      <c r="O105" s="491"/>
      <c r="P105" s="491"/>
      <c r="Q105" s="493">
        <f>(L98-O102*O98)/(1-O102)</f>
        <v>1283.4508043748424</v>
      </c>
      <c r="R105" s="490"/>
    </row>
    <row r="106" spans="1:20" ht="16.350000000000001" customHeight="1">
      <c r="J106" s="490"/>
      <c r="K106" s="491"/>
      <c r="L106" s="491"/>
      <c r="M106" s="491"/>
      <c r="N106" s="491"/>
      <c r="O106" s="491"/>
      <c r="P106" s="491"/>
      <c r="Q106" s="494">
        <f>(L97-O102*O97)/(1-O102)</f>
        <v>1320.2037348177766</v>
      </c>
      <c r="R106" s="490"/>
    </row>
    <row r="107" spans="1:20" ht="15" customHeight="1">
      <c r="J107" s="490"/>
      <c r="K107" s="491"/>
      <c r="L107" s="495"/>
      <c r="M107" s="495"/>
      <c r="N107" s="495"/>
      <c r="O107" s="495"/>
      <c r="P107" s="495"/>
      <c r="Q107" s="495"/>
      <c r="R107" s="490"/>
    </row>
    <row r="108" spans="1:20" ht="16.350000000000001" customHeight="1">
      <c r="J108" s="490"/>
      <c r="K108" s="491"/>
      <c r="L108" s="495"/>
      <c r="M108" s="495"/>
      <c r="N108" s="495"/>
      <c r="O108" s="495"/>
      <c r="P108" s="495"/>
      <c r="Q108" s="495"/>
      <c r="R108" s="490"/>
    </row>
    <row r="109" spans="1:20" ht="12" customHeight="1">
      <c r="J109" s="490"/>
      <c r="K109" s="491"/>
      <c r="L109" s="491"/>
      <c r="M109" s="491"/>
      <c r="N109" s="491"/>
      <c r="O109" s="491"/>
      <c r="P109" s="491"/>
      <c r="Q109" s="496"/>
      <c r="R109" s="490"/>
    </row>
    <row r="110" spans="1:20" ht="12" customHeight="1">
      <c r="J110" s="490"/>
      <c r="K110" s="491"/>
      <c r="L110" s="491"/>
      <c r="M110" s="491"/>
      <c r="N110" s="491"/>
      <c r="O110" s="491"/>
      <c r="P110" s="491"/>
      <c r="Q110" s="496"/>
      <c r="R110" s="490"/>
    </row>
    <row r="111" spans="1:20">
      <c r="J111" s="490"/>
      <c r="K111" s="490"/>
      <c r="L111" s="490"/>
      <c r="M111" s="490"/>
      <c r="N111" s="490"/>
      <c r="O111" s="490"/>
      <c r="P111" s="490"/>
      <c r="Q111" s="490"/>
      <c r="R111" s="490"/>
    </row>
    <row r="112" spans="1:20">
      <c r="J112" s="490"/>
      <c r="K112" s="490"/>
      <c r="L112" s="490"/>
      <c r="M112" s="490"/>
      <c r="N112" s="490"/>
      <c r="O112" s="490"/>
      <c r="P112" s="490"/>
      <c r="Q112" s="490"/>
      <c r="R112" s="490"/>
    </row>
    <row r="113" spans="10:18">
      <c r="J113" s="490"/>
      <c r="K113" s="490"/>
      <c r="L113" s="490"/>
      <c r="M113" s="490"/>
      <c r="N113" s="490"/>
      <c r="O113" s="490"/>
      <c r="P113" s="490"/>
      <c r="Q113" s="490"/>
      <c r="R113" s="490"/>
    </row>
  </sheetData>
  <mergeCells count="12">
    <mergeCell ref="J104:P104"/>
    <mergeCell ref="A1:T1"/>
    <mergeCell ref="A2:A3"/>
    <mergeCell ref="B2:E2"/>
    <mergeCell ref="F2:I2"/>
    <mergeCell ref="J2:K2"/>
    <mergeCell ref="L2:S2"/>
    <mergeCell ref="A96:G96"/>
    <mergeCell ref="R97:R98"/>
    <mergeCell ref="F99:J99"/>
    <mergeCell ref="L100:Q101"/>
    <mergeCell ref="F102:K102"/>
  </mergeCells>
  <phoneticPr fontId="14" type="noConversion"/>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O85"/>
  <sheetViews>
    <sheetView workbookViewId="0">
      <pane xSplit="1" ySplit="4" topLeftCell="B60" activePane="bottomRight" state="frozen"/>
      <selection pane="topRight" activeCell="B1" sqref="B1"/>
      <selection pane="bottomLeft" activeCell="A5" sqref="A5"/>
      <selection pane="bottomRight" activeCell="L83" sqref="L83"/>
    </sheetView>
  </sheetViews>
  <sheetFormatPr defaultColWidth="7.44140625" defaultRowHeight="12.75"/>
  <cols>
    <col min="1" max="1" width="7.44140625" style="650"/>
    <col min="2" max="8" width="9.5546875" style="649" customWidth="1"/>
    <col min="9" max="9" width="9" style="649" customWidth="1"/>
    <col min="10" max="10" width="9.5546875" style="649" customWidth="1"/>
    <col min="11" max="11" width="11" style="649" customWidth="1"/>
    <col min="12" max="12" width="9.44140625" style="650" bestFit="1" customWidth="1"/>
    <col min="13" max="13" width="7.44140625" style="651"/>
    <col min="14" max="257" width="7.44140625" style="650"/>
    <col min="258" max="264" width="9.5546875" style="650" customWidth="1"/>
    <col min="265" max="265" width="9" style="650" customWidth="1"/>
    <col min="266" max="266" width="9.5546875" style="650" customWidth="1"/>
    <col min="267" max="267" width="11" style="650" customWidth="1"/>
    <col min="268" max="268" width="9.44140625" style="650" bestFit="1" customWidth="1"/>
    <col min="269" max="513" width="7.44140625" style="650"/>
    <col min="514" max="520" width="9.5546875" style="650" customWidth="1"/>
    <col min="521" max="521" width="9" style="650" customWidth="1"/>
    <col min="522" max="522" width="9.5546875" style="650" customWidth="1"/>
    <col min="523" max="523" width="11" style="650" customWidth="1"/>
    <col min="524" max="524" width="9.44140625" style="650" bestFit="1" customWidth="1"/>
    <col min="525" max="769" width="7.44140625" style="650"/>
    <col min="770" max="776" width="9.5546875" style="650" customWidth="1"/>
    <col min="777" max="777" width="9" style="650" customWidth="1"/>
    <col min="778" max="778" width="9.5546875" style="650" customWidth="1"/>
    <col min="779" max="779" width="11" style="650" customWidth="1"/>
    <col min="780" max="780" width="9.44140625" style="650" bestFit="1" customWidth="1"/>
    <col min="781" max="1025" width="7.44140625" style="650"/>
    <col min="1026" max="1032" width="9.5546875" style="650" customWidth="1"/>
    <col min="1033" max="1033" width="9" style="650" customWidth="1"/>
    <col min="1034" max="1034" width="9.5546875" style="650" customWidth="1"/>
    <col min="1035" max="1035" width="11" style="650" customWidth="1"/>
    <col min="1036" max="1036" width="9.44140625" style="650" bestFit="1" customWidth="1"/>
    <col min="1037" max="1281" width="7.44140625" style="650"/>
    <col min="1282" max="1288" width="9.5546875" style="650" customWidth="1"/>
    <col min="1289" max="1289" width="9" style="650" customWidth="1"/>
    <col min="1290" max="1290" width="9.5546875" style="650" customWidth="1"/>
    <col min="1291" max="1291" width="11" style="650" customWidth="1"/>
    <col min="1292" max="1292" width="9.44140625" style="650" bestFit="1" customWidth="1"/>
    <col min="1293" max="1537" width="7.44140625" style="650"/>
    <col min="1538" max="1544" width="9.5546875" style="650" customWidth="1"/>
    <col min="1545" max="1545" width="9" style="650" customWidth="1"/>
    <col min="1546" max="1546" width="9.5546875" style="650" customWidth="1"/>
    <col min="1547" max="1547" width="11" style="650" customWidth="1"/>
    <col min="1548" max="1548" width="9.44140625" style="650" bestFit="1" customWidth="1"/>
    <col min="1549" max="1793" width="7.44140625" style="650"/>
    <col min="1794" max="1800" width="9.5546875" style="650" customWidth="1"/>
    <col min="1801" max="1801" width="9" style="650" customWidth="1"/>
    <col min="1802" max="1802" width="9.5546875" style="650" customWidth="1"/>
    <col min="1803" max="1803" width="11" style="650" customWidth="1"/>
    <col min="1804" max="1804" width="9.44140625" style="650" bestFit="1" customWidth="1"/>
    <col min="1805" max="2049" width="7.44140625" style="650"/>
    <col min="2050" max="2056" width="9.5546875" style="650" customWidth="1"/>
    <col min="2057" max="2057" width="9" style="650" customWidth="1"/>
    <col min="2058" max="2058" width="9.5546875" style="650" customWidth="1"/>
    <col min="2059" max="2059" width="11" style="650" customWidth="1"/>
    <col min="2060" max="2060" width="9.44140625" style="650" bestFit="1" customWidth="1"/>
    <col min="2061" max="2305" width="7.44140625" style="650"/>
    <col min="2306" max="2312" width="9.5546875" style="650" customWidth="1"/>
    <col min="2313" max="2313" width="9" style="650" customWidth="1"/>
    <col min="2314" max="2314" width="9.5546875" style="650" customWidth="1"/>
    <col min="2315" max="2315" width="11" style="650" customWidth="1"/>
    <col min="2316" max="2316" width="9.44140625" style="650" bestFit="1" customWidth="1"/>
    <col min="2317" max="2561" width="7.44140625" style="650"/>
    <col min="2562" max="2568" width="9.5546875" style="650" customWidth="1"/>
    <col min="2569" max="2569" width="9" style="650" customWidth="1"/>
    <col min="2570" max="2570" width="9.5546875" style="650" customWidth="1"/>
    <col min="2571" max="2571" width="11" style="650" customWidth="1"/>
    <col min="2572" max="2572" width="9.44140625" style="650" bestFit="1" customWidth="1"/>
    <col min="2573" max="2817" width="7.44140625" style="650"/>
    <col min="2818" max="2824" width="9.5546875" style="650" customWidth="1"/>
    <col min="2825" max="2825" width="9" style="650" customWidth="1"/>
    <col min="2826" max="2826" width="9.5546875" style="650" customWidth="1"/>
    <col min="2827" max="2827" width="11" style="650" customWidth="1"/>
    <col min="2828" max="2828" width="9.44140625" style="650" bestFit="1" customWidth="1"/>
    <col min="2829" max="3073" width="7.44140625" style="650"/>
    <col min="3074" max="3080" width="9.5546875" style="650" customWidth="1"/>
    <col min="3081" max="3081" width="9" style="650" customWidth="1"/>
    <col min="3082" max="3082" width="9.5546875" style="650" customWidth="1"/>
    <col min="3083" max="3083" width="11" style="650" customWidth="1"/>
    <col min="3084" max="3084" width="9.44140625" style="650" bestFit="1" customWidth="1"/>
    <col min="3085" max="3329" width="7.44140625" style="650"/>
    <col min="3330" max="3336" width="9.5546875" style="650" customWidth="1"/>
    <col min="3337" max="3337" width="9" style="650" customWidth="1"/>
    <col min="3338" max="3338" width="9.5546875" style="650" customWidth="1"/>
    <col min="3339" max="3339" width="11" style="650" customWidth="1"/>
    <col min="3340" max="3340" width="9.44140625" style="650" bestFit="1" customWidth="1"/>
    <col min="3341" max="3585" width="7.44140625" style="650"/>
    <col min="3586" max="3592" width="9.5546875" style="650" customWidth="1"/>
    <col min="3593" max="3593" width="9" style="650" customWidth="1"/>
    <col min="3594" max="3594" width="9.5546875" style="650" customWidth="1"/>
    <col min="3595" max="3595" width="11" style="650" customWidth="1"/>
    <col min="3596" max="3596" width="9.44140625" style="650" bestFit="1" customWidth="1"/>
    <col min="3597" max="3841" width="7.44140625" style="650"/>
    <col min="3842" max="3848" width="9.5546875" style="650" customWidth="1"/>
    <col min="3849" max="3849" width="9" style="650" customWidth="1"/>
    <col min="3850" max="3850" width="9.5546875" style="650" customWidth="1"/>
    <col min="3851" max="3851" width="11" style="650" customWidth="1"/>
    <col min="3852" max="3852" width="9.44140625" style="650" bestFit="1" customWidth="1"/>
    <col min="3853" max="4097" width="7.44140625" style="650"/>
    <col min="4098" max="4104" width="9.5546875" style="650" customWidth="1"/>
    <col min="4105" max="4105" width="9" style="650" customWidth="1"/>
    <col min="4106" max="4106" width="9.5546875" style="650" customWidth="1"/>
    <col min="4107" max="4107" width="11" style="650" customWidth="1"/>
    <col min="4108" max="4108" width="9.44140625" style="650" bestFit="1" customWidth="1"/>
    <col min="4109" max="4353" width="7.44140625" style="650"/>
    <col min="4354" max="4360" width="9.5546875" style="650" customWidth="1"/>
    <col min="4361" max="4361" width="9" style="650" customWidth="1"/>
    <col min="4362" max="4362" width="9.5546875" style="650" customWidth="1"/>
    <col min="4363" max="4363" width="11" style="650" customWidth="1"/>
    <col min="4364" max="4364" width="9.44140625" style="650" bestFit="1" customWidth="1"/>
    <col min="4365" max="4609" width="7.44140625" style="650"/>
    <col min="4610" max="4616" width="9.5546875" style="650" customWidth="1"/>
    <col min="4617" max="4617" width="9" style="650" customWidth="1"/>
    <col min="4618" max="4618" width="9.5546875" style="650" customWidth="1"/>
    <col min="4619" max="4619" width="11" style="650" customWidth="1"/>
    <col min="4620" max="4620" width="9.44140625" style="650" bestFit="1" customWidth="1"/>
    <col min="4621" max="4865" width="7.44140625" style="650"/>
    <col min="4866" max="4872" width="9.5546875" style="650" customWidth="1"/>
    <col min="4873" max="4873" width="9" style="650" customWidth="1"/>
    <col min="4874" max="4874" width="9.5546875" style="650" customWidth="1"/>
    <col min="4875" max="4875" width="11" style="650" customWidth="1"/>
    <col min="4876" max="4876" width="9.44140625" style="650" bestFit="1" customWidth="1"/>
    <col min="4877" max="5121" width="7.44140625" style="650"/>
    <col min="5122" max="5128" width="9.5546875" style="650" customWidth="1"/>
    <col min="5129" max="5129" width="9" style="650" customWidth="1"/>
    <col min="5130" max="5130" width="9.5546875" style="650" customWidth="1"/>
    <col min="5131" max="5131" width="11" style="650" customWidth="1"/>
    <col min="5132" max="5132" width="9.44140625" style="650" bestFit="1" customWidth="1"/>
    <col min="5133" max="5377" width="7.44140625" style="650"/>
    <col min="5378" max="5384" width="9.5546875" style="650" customWidth="1"/>
    <col min="5385" max="5385" width="9" style="650" customWidth="1"/>
    <col min="5386" max="5386" width="9.5546875" style="650" customWidth="1"/>
    <col min="5387" max="5387" width="11" style="650" customWidth="1"/>
    <col min="5388" max="5388" width="9.44140625" style="650" bestFit="1" customWidth="1"/>
    <col min="5389" max="5633" width="7.44140625" style="650"/>
    <col min="5634" max="5640" width="9.5546875" style="650" customWidth="1"/>
    <col min="5641" max="5641" width="9" style="650" customWidth="1"/>
    <col min="5642" max="5642" width="9.5546875" style="650" customWidth="1"/>
    <col min="5643" max="5643" width="11" style="650" customWidth="1"/>
    <col min="5644" max="5644" width="9.44140625" style="650" bestFit="1" customWidth="1"/>
    <col min="5645" max="5889" width="7.44140625" style="650"/>
    <col min="5890" max="5896" width="9.5546875" style="650" customWidth="1"/>
    <col min="5897" max="5897" width="9" style="650" customWidth="1"/>
    <col min="5898" max="5898" width="9.5546875" style="650" customWidth="1"/>
    <col min="5899" max="5899" width="11" style="650" customWidth="1"/>
    <col min="5900" max="5900" width="9.44140625" style="650" bestFit="1" customWidth="1"/>
    <col min="5901" max="6145" width="7.44140625" style="650"/>
    <col min="6146" max="6152" width="9.5546875" style="650" customWidth="1"/>
    <col min="6153" max="6153" width="9" style="650" customWidth="1"/>
    <col min="6154" max="6154" width="9.5546875" style="650" customWidth="1"/>
    <col min="6155" max="6155" width="11" style="650" customWidth="1"/>
    <col min="6156" max="6156" width="9.44140625" style="650" bestFit="1" customWidth="1"/>
    <col min="6157" max="6401" width="7.44140625" style="650"/>
    <col min="6402" max="6408" width="9.5546875" style="650" customWidth="1"/>
    <col min="6409" max="6409" width="9" style="650" customWidth="1"/>
    <col min="6410" max="6410" width="9.5546875" style="650" customWidth="1"/>
    <col min="6411" max="6411" width="11" style="650" customWidth="1"/>
    <col min="6412" max="6412" width="9.44140625" style="650" bestFit="1" customWidth="1"/>
    <col min="6413" max="6657" width="7.44140625" style="650"/>
    <col min="6658" max="6664" width="9.5546875" style="650" customWidth="1"/>
    <col min="6665" max="6665" width="9" style="650" customWidth="1"/>
    <col min="6666" max="6666" width="9.5546875" style="650" customWidth="1"/>
    <col min="6667" max="6667" width="11" style="650" customWidth="1"/>
    <col min="6668" max="6668" width="9.44140625" style="650" bestFit="1" customWidth="1"/>
    <col min="6669" max="6913" width="7.44140625" style="650"/>
    <col min="6914" max="6920" width="9.5546875" style="650" customWidth="1"/>
    <col min="6921" max="6921" width="9" style="650" customWidth="1"/>
    <col min="6922" max="6922" width="9.5546875" style="650" customWidth="1"/>
    <col min="6923" max="6923" width="11" style="650" customWidth="1"/>
    <col min="6924" max="6924" width="9.44140625" style="650" bestFit="1" customWidth="1"/>
    <col min="6925" max="7169" width="7.44140625" style="650"/>
    <col min="7170" max="7176" width="9.5546875" style="650" customWidth="1"/>
    <col min="7177" max="7177" width="9" style="650" customWidth="1"/>
    <col min="7178" max="7178" width="9.5546875" style="650" customWidth="1"/>
    <col min="7179" max="7179" width="11" style="650" customWidth="1"/>
    <col min="7180" max="7180" width="9.44140625" style="650" bestFit="1" customWidth="1"/>
    <col min="7181" max="7425" width="7.44140625" style="650"/>
    <col min="7426" max="7432" width="9.5546875" style="650" customWidth="1"/>
    <col min="7433" max="7433" width="9" style="650" customWidth="1"/>
    <col min="7434" max="7434" width="9.5546875" style="650" customWidth="1"/>
    <col min="7435" max="7435" width="11" style="650" customWidth="1"/>
    <col min="7436" max="7436" width="9.44140625" style="650" bestFit="1" customWidth="1"/>
    <col min="7437" max="7681" width="7.44140625" style="650"/>
    <col min="7682" max="7688" width="9.5546875" style="650" customWidth="1"/>
    <col min="7689" max="7689" width="9" style="650" customWidth="1"/>
    <col min="7690" max="7690" width="9.5546875" style="650" customWidth="1"/>
    <col min="7691" max="7691" width="11" style="650" customWidth="1"/>
    <col min="7692" max="7692" width="9.44140625" style="650" bestFit="1" customWidth="1"/>
    <col min="7693" max="7937" width="7.44140625" style="650"/>
    <col min="7938" max="7944" width="9.5546875" style="650" customWidth="1"/>
    <col min="7945" max="7945" width="9" style="650" customWidth="1"/>
    <col min="7946" max="7946" width="9.5546875" style="650" customWidth="1"/>
    <col min="7947" max="7947" width="11" style="650" customWidth="1"/>
    <col min="7948" max="7948" width="9.44140625" style="650" bestFit="1" customWidth="1"/>
    <col min="7949" max="8193" width="7.44140625" style="650"/>
    <col min="8194" max="8200" width="9.5546875" style="650" customWidth="1"/>
    <col min="8201" max="8201" width="9" style="650" customWidth="1"/>
    <col min="8202" max="8202" width="9.5546875" style="650" customWidth="1"/>
    <col min="8203" max="8203" width="11" style="650" customWidth="1"/>
    <col min="8204" max="8204" width="9.44140625" style="650" bestFit="1" customWidth="1"/>
    <col min="8205" max="8449" width="7.44140625" style="650"/>
    <col min="8450" max="8456" width="9.5546875" style="650" customWidth="1"/>
    <col min="8457" max="8457" width="9" style="650" customWidth="1"/>
    <col min="8458" max="8458" width="9.5546875" style="650" customWidth="1"/>
    <col min="8459" max="8459" width="11" style="650" customWidth="1"/>
    <col min="8460" max="8460" width="9.44140625" style="650" bestFit="1" customWidth="1"/>
    <col min="8461" max="8705" width="7.44140625" style="650"/>
    <col min="8706" max="8712" width="9.5546875" style="650" customWidth="1"/>
    <col min="8713" max="8713" width="9" style="650" customWidth="1"/>
    <col min="8714" max="8714" width="9.5546875" style="650" customWidth="1"/>
    <col min="8715" max="8715" width="11" style="650" customWidth="1"/>
    <col min="8716" max="8716" width="9.44140625" style="650" bestFit="1" customWidth="1"/>
    <col min="8717" max="8961" width="7.44140625" style="650"/>
    <col min="8962" max="8968" width="9.5546875" style="650" customWidth="1"/>
    <col min="8969" max="8969" width="9" style="650" customWidth="1"/>
    <col min="8970" max="8970" width="9.5546875" style="650" customWidth="1"/>
    <col min="8971" max="8971" width="11" style="650" customWidth="1"/>
    <col min="8972" max="8972" width="9.44140625" style="650" bestFit="1" customWidth="1"/>
    <col min="8973" max="9217" width="7.44140625" style="650"/>
    <col min="9218" max="9224" width="9.5546875" style="650" customWidth="1"/>
    <col min="9225" max="9225" width="9" style="650" customWidth="1"/>
    <col min="9226" max="9226" width="9.5546875" style="650" customWidth="1"/>
    <col min="9227" max="9227" width="11" style="650" customWidth="1"/>
    <col min="9228" max="9228" width="9.44140625" style="650" bestFit="1" customWidth="1"/>
    <col min="9229" max="9473" width="7.44140625" style="650"/>
    <col min="9474" max="9480" width="9.5546875" style="650" customWidth="1"/>
    <col min="9481" max="9481" width="9" style="650" customWidth="1"/>
    <col min="9482" max="9482" width="9.5546875" style="650" customWidth="1"/>
    <col min="9483" max="9483" width="11" style="650" customWidth="1"/>
    <col min="9484" max="9484" width="9.44140625" style="650" bestFit="1" customWidth="1"/>
    <col min="9485" max="9729" width="7.44140625" style="650"/>
    <col min="9730" max="9736" width="9.5546875" style="650" customWidth="1"/>
    <col min="9737" max="9737" width="9" style="650" customWidth="1"/>
    <col min="9738" max="9738" width="9.5546875" style="650" customWidth="1"/>
    <col min="9739" max="9739" width="11" style="650" customWidth="1"/>
    <col min="9740" max="9740" width="9.44140625" style="650" bestFit="1" customWidth="1"/>
    <col min="9741" max="9985" width="7.44140625" style="650"/>
    <col min="9986" max="9992" width="9.5546875" style="650" customWidth="1"/>
    <col min="9993" max="9993" width="9" style="650" customWidth="1"/>
    <col min="9994" max="9994" width="9.5546875" style="650" customWidth="1"/>
    <col min="9995" max="9995" width="11" style="650" customWidth="1"/>
    <col min="9996" max="9996" width="9.44140625" style="650" bestFit="1" customWidth="1"/>
    <col min="9997" max="10241" width="7.44140625" style="650"/>
    <col min="10242" max="10248" width="9.5546875" style="650" customWidth="1"/>
    <col min="10249" max="10249" width="9" style="650" customWidth="1"/>
    <col min="10250" max="10250" width="9.5546875" style="650" customWidth="1"/>
    <col min="10251" max="10251" width="11" style="650" customWidth="1"/>
    <col min="10252" max="10252" width="9.44140625" style="650" bestFit="1" customWidth="1"/>
    <col min="10253" max="10497" width="7.44140625" style="650"/>
    <col min="10498" max="10504" width="9.5546875" style="650" customWidth="1"/>
    <col min="10505" max="10505" width="9" style="650" customWidth="1"/>
    <col min="10506" max="10506" width="9.5546875" style="650" customWidth="1"/>
    <col min="10507" max="10507" width="11" style="650" customWidth="1"/>
    <col min="10508" max="10508" width="9.44140625" style="650" bestFit="1" customWidth="1"/>
    <col min="10509" max="10753" width="7.44140625" style="650"/>
    <col min="10754" max="10760" width="9.5546875" style="650" customWidth="1"/>
    <col min="10761" max="10761" width="9" style="650" customWidth="1"/>
    <col min="10762" max="10762" width="9.5546875" style="650" customWidth="1"/>
    <col min="10763" max="10763" width="11" style="650" customWidth="1"/>
    <col min="10764" max="10764" width="9.44140625" style="650" bestFit="1" customWidth="1"/>
    <col min="10765" max="11009" width="7.44140625" style="650"/>
    <col min="11010" max="11016" width="9.5546875" style="650" customWidth="1"/>
    <col min="11017" max="11017" width="9" style="650" customWidth="1"/>
    <col min="11018" max="11018" width="9.5546875" style="650" customWidth="1"/>
    <col min="11019" max="11019" width="11" style="650" customWidth="1"/>
    <col min="11020" max="11020" width="9.44140625" style="650" bestFit="1" customWidth="1"/>
    <col min="11021" max="11265" width="7.44140625" style="650"/>
    <col min="11266" max="11272" width="9.5546875" style="650" customWidth="1"/>
    <col min="11273" max="11273" width="9" style="650" customWidth="1"/>
    <col min="11274" max="11274" width="9.5546875" style="650" customWidth="1"/>
    <col min="11275" max="11275" width="11" style="650" customWidth="1"/>
    <col min="11276" max="11276" width="9.44140625" style="650" bestFit="1" customWidth="1"/>
    <col min="11277" max="11521" width="7.44140625" style="650"/>
    <col min="11522" max="11528" width="9.5546875" style="650" customWidth="1"/>
    <col min="11529" max="11529" width="9" style="650" customWidth="1"/>
    <col min="11530" max="11530" width="9.5546875" style="650" customWidth="1"/>
    <col min="11531" max="11531" width="11" style="650" customWidth="1"/>
    <col min="11532" max="11532" width="9.44140625" style="650" bestFit="1" customWidth="1"/>
    <col min="11533" max="11777" width="7.44140625" style="650"/>
    <col min="11778" max="11784" width="9.5546875" style="650" customWidth="1"/>
    <col min="11785" max="11785" width="9" style="650" customWidth="1"/>
    <col min="11786" max="11786" width="9.5546875" style="650" customWidth="1"/>
    <col min="11787" max="11787" width="11" style="650" customWidth="1"/>
    <col min="11788" max="11788" width="9.44140625" style="650" bestFit="1" customWidth="1"/>
    <col min="11789" max="12033" width="7.44140625" style="650"/>
    <col min="12034" max="12040" width="9.5546875" style="650" customWidth="1"/>
    <col min="12041" max="12041" width="9" style="650" customWidth="1"/>
    <col min="12042" max="12042" width="9.5546875" style="650" customWidth="1"/>
    <col min="12043" max="12043" width="11" style="650" customWidth="1"/>
    <col min="12044" max="12044" width="9.44140625" style="650" bestFit="1" customWidth="1"/>
    <col min="12045" max="12289" width="7.44140625" style="650"/>
    <col min="12290" max="12296" width="9.5546875" style="650" customWidth="1"/>
    <col min="12297" max="12297" width="9" style="650" customWidth="1"/>
    <col min="12298" max="12298" width="9.5546875" style="650" customWidth="1"/>
    <col min="12299" max="12299" width="11" style="650" customWidth="1"/>
    <col min="12300" max="12300" width="9.44140625" style="650" bestFit="1" customWidth="1"/>
    <col min="12301" max="12545" width="7.44140625" style="650"/>
    <col min="12546" max="12552" width="9.5546875" style="650" customWidth="1"/>
    <col min="12553" max="12553" width="9" style="650" customWidth="1"/>
    <col min="12554" max="12554" width="9.5546875" style="650" customWidth="1"/>
    <col min="12555" max="12555" width="11" style="650" customWidth="1"/>
    <col min="12556" max="12556" width="9.44140625" style="650" bestFit="1" customWidth="1"/>
    <col min="12557" max="12801" width="7.44140625" style="650"/>
    <col min="12802" max="12808" width="9.5546875" style="650" customWidth="1"/>
    <col min="12809" max="12809" width="9" style="650" customWidth="1"/>
    <col min="12810" max="12810" width="9.5546875" style="650" customWidth="1"/>
    <col min="12811" max="12811" width="11" style="650" customWidth="1"/>
    <col min="12812" max="12812" width="9.44140625" style="650" bestFit="1" customWidth="1"/>
    <col min="12813" max="13057" width="7.44140625" style="650"/>
    <col min="13058" max="13064" width="9.5546875" style="650" customWidth="1"/>
    <col min="13065" max="13065" width="9" style="650" customWidth="1"/>
    <col min="13066" max="13066" width="9.5546875" style="650" customWidth="1"/>
    <col min="13067" max="13067" width="11" style="650" customWidth="1"/>
    <col min="13068" max="13068" width="9.44140625" style="650" bestFit="1" customWidth="1"/>
    <col min="13069" max="13313" width="7.44140625" style="650"/>
    <col min="13314" max="13320" width="9.5546875" style="650" customWidth="1"/>
    <col min="13321" max="13321" width="9" style="650" customWidth="1"/>
    <col min="13322" max="13322" width="9.5546875" style="650" customWidth="1"/>
    <col min="13323" max="13323" width="11" style="650" customWidth="1"/>
    <col min="13324" max="13324" width="9.44140625" style="650" bestFit="1" customWidth="1"/>
    <col min="13325" max="13569" width="7.44140625" style="650"/>
    <col min="13570" max="13576" width="9.5546875" style="650" customWidth="1"/>
    <col min="13577" max="13577" width="9" style="650" customWidth="1"/>
    <col min="13578" max="13578" width="9.5546875" style="650" customWidth="1"/>
    <col min="13579" max="13579" width="11" style="650" customWidth="1"/>
    <col min="13580" max="13580" width="9.44140625" style="650" bestFit="1" customWidth="1"/>
    <col min="13581" max="13825" width="7.44140625" style="650"/>
    <col min="13826" max="13832" width="9.5546875" style="650" customWidth="1"/>
    <col min="13833" max="13833" width="9" style="650" customWidth="1"/>
    <col min="13834" max="13834" width="9.5546875" style="650" customWidth="1"/>
    <col min="13835" max="13835" width="11" style="650" customWidth="1"/>
    <col min="13836" max="13836" width="9.44140625" style="650" bestFit="1" customWidth="1"/>
    <col min="13837" max="14081" width="7.44140625" style="650"/>
    <col min="14082" max="14088" width="9.5546875" style="650" customWidth="1"/>
    <col min="14089" max="14089" width="9" style="650" customWidth="1"/>
    <col min="14090" max="14090" width="9.5546875" style="650" customWidth="1"/>
    <col min="14091" max="14091" width="11" style="650" customWidth="1"/>
    <col min="14092" max="14092" width="9.44140625" style="650" bestFit="1" customWidth="1"/>
    <col min="14093" max="14337" width="7.44140625" style="650"/>
    <col min="14338" max="14344" width="9.5546875" style="650" customWidth="1"/>
    <col min="14345" max="14345" width="9" style="650" customWidth="1"/>
    <col min="14346" max="14346" width="9.5546875" style="650" customWidth="1"/>
    <col min="14347" max="14347" width="11" style="650" customWidth="1"/>
    <col min="14348" max="14348" width="9.44140625" style="650" bestFit="1" customWidth="1"/>
    <col min="14349" max="14593" width="7.44140625" style="650"/>
    <col min="14594" max="14600" width="9.5546875" style="650" customWidth="1"/>
    <col min="14601" max="14601" width="9" style="650" customWidth="1"/>
    <col min="14602" max="14602" width="9.5546875" style="650" customWidth="1"/>
    <col min="14603" max="14603" width="11" style="650" customWidth="1"/>
    <col min="14604" max="14604" width="9.44140625" style="650" bestFit="1" customWidth="1"/>
    <col min="14605" max="14849" width="7.44140625" style="650"/>
    <col min="14850" max="14856" width="9.5546875" style="650" customWidth="1"/>
    <col min="14857" max="14857" width="9" style="650" customWidth="1"/>
    <col min="14858" max="14858" width="9.5546875" style="650" customWidth="1"/>
    <col min="14859" max="14859" width="11" style="650" customWidth="1"/>
    <col min="14860" max="14860" width="9.44140625" style="650" bestFit="1" customWidth="1"/>
    <col min="14861" max="15105" width="7.44140625" style="650"/>
    <col min="15106" max="15112" width="9.5546875" style="650" customWidth="1"/>
    <col min="15113" max="15113" width="9" style="650" customWidth="1"/>
    <col min="15114" max="15114" width="9.5546875" style="650" customWidth="1"/>
    <col min="15115" max="15115" width="11" style="650" customWidth="1"/>
    <col min="15116" max="15116" width="9.44140625" style="650" bestFit="1" customWidth="1"/>
    <col min="15117" max="15361" width="7.44140625" style="650"/>
    <col min="15362" max="15368" width="9.5546875" style="650" customWidth="1"/>
    <col min="15369" max="15369" width="9" style="650" customWidth="1"/>
    <col min="15370" max="15370" width="9.5546875" style="650" customWidth="1"/>
    <col min="15371" max="15371" width="11" style="650" customWidth="1"/>
    <col min="15372" max="15372" width="9.44140625" style="650" bestFit="1" customWidth="1"/>
    <col min="15373" max="15617" width="7.44140625" style="650"/>
    <col min="15618" max="15624" width="9.5546875" style="650" customWidth="1"/>
    <col min="15625" max="15625" width="9" style="650" customWidth="1"/>
    <col min="15626" max="15626" width="9.5546875" style="650" customWidth="1"/>
    <col min="15627" max="15627" width="11" style="650" customWidth="1"/>
    <col min="15628" max="15628" width="9.44140625" style="650" bestFit="1" customWidth="1"/>
    <col min="15629" max="15873" width="7.44140625" style="650"/>
    <col min="15874" max="15880" width="9.5546875" style="650" customWidth="1"/>
    <col min="15881" max="15881" width="9" style="650" customWidth="1"/>
    <col min="15882" max="15882" width="9.5546875" style="650" customWidth="1"/>
    <col min="15883" max="15883" width="11" style="650" customWidth="1"/>
    <col min="15884" max="15884" width="9.44140625" style="650" bestFit="1" customWidth="1"/>
    <col min="15885" max="16129" width="7.44140625" style="650"/>
    <col min="16130" max="16136" width="9.5546875" style="650" customWidth="1"/>
    <col min="16137" max="16137" width="9" style="650" customWidth="1"/>
    <col min="16138" max="16138" width="9.5546875" style="650" customWidth="1"/>
    <col min="16139" max="16139" width="11" style="650" customWidth="1"/>
    <col min="16140" max="16140" width="9.44140625" style="650" bestFit="1" customWidth="1"/>
    <col min="16141" max="16384" width="7.44140625" style="650"/>
  </cols>
  <sheetData>
    <row r="1" spans="1:13" ht="15.75">
      <c r="A1" s="648" t="s">
        <v>555</v>
      </c>
    </row>
    <row r="2" spans="1:13" ht="15.75" customHeight="1">
      <c r="A2" s="1159" t="s">
        <v>556</v>
      </c>
      <c r="B2" s="1160"/>
      <c r="C2" s="1160"/>
      <c r="D2" s="1160"/>
      <c r="E2" s="1160"/>
      <c r="F2" s="1160"/>
      <c r="G2" s="1160"/>
      <c r="H2" s="1160"/>
      <c r="I2" s="1160"/>
      <c r="J2" s="1160"/>
      <c r="K2" s="1160"/>
    </row>
    <row r="3" spans="1:13" s="657" customFormat="1" ht="36" customHeight="1">
      <c r="A3" s="652" t="s">
        <v>184</v>
      </c>
      <c r="B3" s="653" t="s">
        <v>557</v>
      </c>
      <c r="C3" s="654" t="s">
        <v>558</v>
      </c>
      <c r="D3" s="654" t="s">
        <v>559</v>
      </c>
      <c r="E3" s="654" t="s">
        <v>560</v>
      </c>
      <c r="F3" s="654" t="s">
        <v>561</v>
      </c>
      <c r="G3" s="654" t="s">
        <v>562</v>
      </c>
      <c r="H3" s="654" t="s">
        <v>563</v>
      </c>
      <c r="I3" s="655" t="s">
        <v>564</v>
      </c>
      <c r="J3" s="655" t="s">
        <v>353</v>
      </c>
      <c r="K3" s="656" t="s">
        <v>565</v>
      </c>
      <c r="M3" s="658"/>
    </row>
    <row r="4" spans="1:13" s="661" customFormat="1" ht="18" customHeight="1">
      <c r="A4" s="1161" t="s">
        <v>566</v>
      </c>
      <c r="B4" s="1162"/>
      <c r="C4" s="1162"/>
      <c r="D4" s="1162"/>
      <c r="E4" s="1162"/>
      <c r="F4" s="1162"/>
      <c r="G4" s="1162"/>
      <c r="H4" s="1162"/>
      <c r="I4" s="1162"/>
      <c r="J4" s="1162"/>
      <c r="K4" s="1163"/>
      <c r="L4" s="659"/>
      <c r="M4" s="660"/>
    </row>
    <row r="5" spans="1:13" ht="12.75" customHeight="1">
      <c r="A5" s="662">
        <v>25569</v>
      </c>
      <c r="B5" s="663">
        <v>112369</v>
      </c>
      <c r="C5" s="663">
        <v>12091</v>
      </c>
      <c r="D5" s="663">
        <v>3880</v>
      </c>
      <c r="E5" s="663">
        <v>36689</v>
      </c>
      <c r="F5" s="663">
        <v>6431</v>
      </c>
      <c r="G5" s="663">
        <v>6132</v>
      </c>
      <c r="H5" s="663">
        <v>15265</v>
      </c>
      <c r="I5" s="663">
        <v>2272</v>
      </c>
      <c r="J5" s="663">
        <v>29609</v>
      </c>
      <c r="K5" s="664">
        <v>45871</v>
      </c>
      <c r="L5" s="665"/>
      <c r="M5" s="666"/>
    </row>
    <row r="6" spans="1:13" ht="12.75" customHeight="1">
      <c r="A6" s="667">
        <v>25934</v>
      </c>
      <c r="B6" s="668">
        <v>114578</v>
      </c>
      <c r="C6" s="668">
        <v>11909</v>
      </c>
      <c r="D6" s="668">
        <v>3843</v>
      </c>
      <c r="E6" s="668">
        <v>37878</v>
      </c>
      <c r="F6" s="668">
        <v>6664</v>
      </c>
      <c r="G6" s="668">
        <v>6113</v>
      </c>
      <c r="H6" s="668">
        <v>15610</v>
      </c>
      <c r="I6" s="668">
        <v>2328</v>
      </c>
      <c r="J6" s="668">
        <v>30235</v>
      </c>
      <c r="K6" s="669">
        <v>46738</v>
      </c>
      <c r="L6" s="665"/>
      <c r="M6" s="666"/>
    </row>
    <row r="7" spans="1:13" ht="12.75" customHeight="1">
      <c r="A7" s="667">
        <v>26299</v>
      </c>
      <c r="B7" s="668">
        <v>117862</v>
      </c>
      <c r="C7" s="668">
        <v>11776</v>
      </c>
      <c r="D7" s="668">
        <v>3828</v>
      </c>
      <c r="E7" s="668">
        <v>38810</v>
      </c>
      <c r="F7" s="668">
        <v>6987</v>
      </c>
      <c r="G7" s="668">
        <v>6399</v>
      </c>
      <c r="H7" s="668">
        <v>15999</v>
      </c>
      <c r="I7" s="668">
        <v>2377</v>
      </c>
      <c r="J7" s="668">
        <v>31688</v>
      </c>
      <c r="K7" s="669">
        <v>47682</v>
      </c>
      <c r="L7" s="665"/>
      <c r="M7" s="666"/>
    </row>
    <row r="8" spans="1:13" ht="12.75" customHeight="1">
      <c r="A8" s="667">
        <v>26665</v>
      </c>
      <c r="B8" s="668">
        <v>121539</v>
      </c>
      <c r="C8" s="668">
        <v>11622</v>
      </c>
      <c r="D8" s="668">
        <v>3872</v>
      </c>
      <c r="E8" s="668">
        <v>40932</v>
      </c>
      <c r="F8" s="668">
        <v>7434</v>
      </c>
      <c r="G8" s="668">
        <v>6432</v>
      </c>
      <c r="H8" s="668">
        <v>16553</v>
      </c>
      <c r="I8" s="668">
        <v>2467</v>
      </c>
      <c r="J8" s="668">
        <v>32229</v>
      </c>
      <c r="K8" s="669">
        <v>49194</v>
      </c>
      <c r="L8" s="665"/>
      <c r="M8" s="666"/>
    </row>
    <row r="9" spans="1:13" ht="12.75" customHeight="1">
      <c r="A9" s="667">
        <v>27030</v>
      </c>
      <c r="B9" s="668">
        <v>127788</v>
      </c>
      <c r="C9" s="668">
        <v>11297</v>
      </c>
      <c r="D9" s="668">
        <v>3941</v>
      </c>
      <c r="E9" s="668">
        <v>43182</v>
      </c>
      <c r="F9" s="668">
        <v>8193</v>
      </c>
      <c r="G9" s="668">
        <v>6852</v>
      </c>
      <c r="H9" s="668">
        <v>17760</v>
      </c>
      <c r="I9" s="668">
        <v>2643</v>
      </c>
      <c r="J9" s="668">
        <v>33922</v>
      </c>
      <c r="K9" s="669">
        <v>50873</v>
      </c>
      <c r="L9" s="665"/>
      <c r="M9" s="666"/>
    </row>
    <row r="10" spans="1:13" ht="12.75" customHeight="1">
      <c r="A10" s="667">
        <v>27395</v>
      </c>
      <c r="B10" s="668">
        <v>132028</v>
      </c>
      <c r="C10" s="668">
        <v>11220</v>
      </c>
      <c r="D10" s="668">
        <v>4087</v>
      </c>
      <c r="E10" s="668">
        <v>45712</v>
      </c>
      <c r="F10" s="668">
        <v>8884</v>
      </c>
      <c r="G10" s="668">
        <v>6518</v>
      </c>
      <c r="H10" s="668">
        <v>16333</v>
      </c>
      <c r="I10" s="668">
        <v>2985</v>
      </c>
      <c r="J10" s="668">
        <v>36291</v>
      </c>
      <c r="K10" s="669">
        <v>50183</v>
      </c>
      <c r="L10" s="665"/>
      <c r="M10" s="666"/>
    </row>
    <row r="11" spans="1:13" ht="12.75" customHeight="1">
      <c r="A11" s="667">
        <v>27760</v>
      </c>
      <c r="B11" s="668">
        <v>127980</v>
      </c>
      <c r="C11" s="668">
        <v>11071</v>
      </c>
      <c r="D11" s="668">
        <v>3956</v>
      </c>
      <c r="E11" s="668">
        <v>43901</v>
      </c>
      <c r="F11" s="668">
        <v>7192</v>
      </c>
      <c r="G11" s="668">
        <v>7391</v>
      </c>
      <c r="H11" s="668">
        <v>17094</v>
      </c>
      <c r="I11" s="668">
        <v>2845</v>
      </c>
      <c r="J11" s="668">
        <v>34531</v>
      </c>
      <c r="K11" s="669">
        <v>47384</v>
      </c>
      <c r="L11" s="665"/>
      <c r="M11" s="666"/>
    </row>
    <row r="12" spans="1:13" ht="12.75" customHeight="1">
      <c r="A12" s="667">
        <v>28126</v>
      </c>
      <c r="B12" s="668">
        <v>122810</v>
      </c>
      <c r="C12" s="668">
        <v>10998</v>
      </c>
      <c r="D12" s="668">
        <v>3887</v>
      </c>
      <c r="E12" s="668">
        <v>41443</v>
      </c>
      <c r="F12" s="668">
        <v>6527</v>
      </c>
      <c r="G12" s="668">
        <v>8048</v>
      </c>
      <c r="H12" s="668">
        <v>16884</v>
      </c>
      <c r="I12" s="668">
        <v>2664</v>
      </c>
      <c r="J12" s="668">
        <v>32360</v>
      </c>
      <c r="K12" s="669">
        <v>45931</v>
      </c>
      <c r="L12" s="665"/>
      <c r="M12" s="666"/>
    </row>
    <row r="13" spans="1:13" ht="12.75" customHeight="1">
      <c r="A13" s="667">
        <v>28491</v>
      </c>
      <c r="B13" s="668">
        <v>116375</v>
      </c>
      <c r="C13" s="668">
        <v>10896</v>
      </c>
      <c r="D13" s="668">
        <v>3886</v>
      </c>
      <c r="E13" s="668">
        <v>38738</v>
      </c>
      <c r="F13" s="668">
        <v>5858</v>
      </c>
      <c r="G13" s="668">
        <v>7949</v>
      </c>
      <c r="H13" s="668">
        <v>16868</v>
      </c>
      <c r="I13" s="668">
        <v>2538</v>
      </c>
      <c r="J13" s="668">
        <v>29643</v>
      </c>
      <c r="K13" s="669">
        <v>43818</v>
      </c>
      <c r="L13" s="665"/>
      <c r="M13" s="666"/>
    </row>
    <row r="14" spans="1:13" ht="12.75" customHeight="1">
      <c r="A14" s="667">
        <v>28856</v>
      </c>
      <c r="B14" s="668">
        <v>110864</v>
      </c>
      <c r="C14" s="668">
        <v>10790</v>
      </c>
      <c r="D14" s="668">
        <v>3932</v>
      </c>
      <c r="E14" s="668">
        <v>37062</v>
      </c>
      <c r="F14" s="668">
        <v>5527</v>
      </c>
      <c r="G14" s="668">
        <v>7445</v>
      </c>
      <c r="H14" s="668">
        <v>16442</v>
      </c>
      <c r="I14" s="668">
        <v>2403</v>
      </c>
      <c r="J14" s="668">
        <v>27263</v>
      </c>
      <c r="K14" s="669">
        <v>42596</v>
      </c>
      <c r="L14" s="665"/>
      <c r="M14" s="666"/>
    </row>
    <row r="15" spans="1:13" ht="12.75" customHeight="1">
      <c r="A15" s="667">
        <v>29221</v>
      </c>
      <c r="B15" s="668">
        <v>111242</v>
      </c>
      <c r="C15" s="668">
        <v>10758</v>
      </c>
      <c r="D15" s="668">
        <v>4159</v>
      </c>
      <c r="E15" s="668">
        <v>37107</v>
      </c>
      <c r="F15" s="668">
        <v>5942</v>
      </c>
      <c r="G15" s="668">
        <v>7132</v>
      </c>
      <c r="H15" s="668">
        <v>16049</v>
      </c>
      <c r="I15" s="668">
        <v>2492</v>
      </c>
      <c r="J15" s="668">
        <v>27603</v>
      </c>
      <c r="K15" s="669">
        <v>44938</v>
      </c>
      <c r="L15" s="665"/>
      <c r="M15" s="666"/>
    </row>
    <row r="16" spans="1:13" ht="12.75" customHeight="1">
      <c r="A16" s="667">
        <v>29587</v>
      </c>
      <c r="B16" s="668">
        <v>114351</v>
      </c>
      <c r="C16" s="668">
        <v>10849</v>
      </c>
      <c r="D16" s="668">
        <v>4342</v>
      </c>
      <c r="E16" s="668">
        <v>38773</v>
      </c>
      <c r="F16" s="668">
        <v>6137</v>
      </c>
      <c r="G16" s="668">
        <v>7280</v>
      </c>
      <c r="H16" s="668">
        <v>15521</v>
      </c>
      <c r="I16" s="668">
        <v>2547</v>
      </c>
      <c r="J16" s="668">
        <v>28903</v>
      </c>
      <c r="K16" s="669">
        <v>44666</v>
      </c>
      <c r="L16" s="665"/>
      <c r="M16" s="666"/>
    </row>
    <row r="17" spans="1:14" ht="12.75" customHeight="1">
      <c r="A17" s="667">
        <v>29952</v>
      </c>
      <c r="B17" s="668">
        <v>115444</v>
      </c>
      <c r="C17" s="668">
        <v>10986</v>
      </c>
      <c r="D17" s="668">
        <v>4547</v>
      </c>
      <c r="E17" s="668">
        <v>39230</v>
      </c>
      <c r="F17" s="668">
        <v>6607</v>
      </c>
      <c r="G17" s="668">
        <v>7190</v>
      </c>
      <c r="H17" s="668">
        <v>15497</v>
      </c>
      <c r="I17" s="668">
        <v>2611</v>
      </c>
      <c r="J17" s="668">
        <v>28777</v>
      </c>
      <c r="K17" s="669">
        <v>44200</v>
      </c>
      <c r="L17" s="665"/>
      <c r="M17" s="666"/>
    </row>
    <row r="18" spans="1:14" ht="12.75" customHeight="1">
      <c r="A18" s="667">
        <v>30317</v>
      </c>
      <c r="B18" s="668">
        <v>115001</v>
      </c>
      <c r="C18" s="668">
        <v>11047</v>
      </c>
      <c r="D18" s="668">
        <v>4545</v>
      </c>
      <c r="E18" s="668">
        <v>37940</v>
      </c>
      <c r="F18" s="668">
        <v>6336</v>
      </c>
      <c r="G18" s="668">
        <v>7965</v>
      </c>
      <c r="H18" s="668">
        <v>16214</v>
      </c>
      <c r="I18" s="668">
        <v>2609</v>
      </c>
      <c r="J18" s="668">
        <v>28346</v>
      </c>
      <c r="K18" s="669">
        <v>43885</v>
      </c>
      <c r="L18" s="665"/>
      <c r="M18" s="666"/>
    </row>
    <row r="19" spans="1:14" ht="12.75" customHeight="1">
      <c r="A19" s="667">
        <v>30682</v>
      </c>
      <c r="B19" s="668">
        <v>113360</v>
      </c>
      <c r="C19" s="668">
        <v>11059</v>
      </c>
      <c r="D19" s="668">
        <v>4533</v>
      </c>
      <c r="E19" s="668">
        <v>37484</v>
      </c>
      <c r="F19" s="668">
        <v>6181</v>
      </c>
      <c r="G19" s="668">
        <v>7817</v>
      </c>
      <c r="H19" s="668">
        <v>16202</v>
      </c>
      <c r="I19" s="668">
        <v>2544</v>
      </c>
      <c r="J19" s="668">
        <v>27540</v>
      </c>
      <c r="K19" s="669">
        <v>42470</v>
      </c>
      <c r="L19" s="665"/>
      <c r="M19" s="666"/>
    </row>
    <row r="20" spans="1:14" ht="12.75" customHeight="1">
      <c r="A20" s="667">
        <v>31048</v>
      </c>
      <c r="B20" s="668">
        <v>109582</v>
      </c>
      <c r="C20" s="668">
        <v>10777</v>
      </c>
      <c r="D20" s="668">
        <v>4770</v>
      </c>
      <c r="E20" s="668">
        <v>35406</v>
      </c>
      <c r="F20" s="668">
        <v>5548</v>
      </c>
      <c r="G20" s="668">
        <v>8081</v>
      </c>
      <c r="H20" s="668">
        <v>16214</v>
      </c>
      <c r="I20" s="668">
        <v>2413</v>
      </c>
      <c r="J20" s="668">
        <v>26373</v>
      </c>
      <c r="K20" s="669">
        <v>41050</v>
      </c>
      <c r="L20" s="665"/>
      <c r="M20" s="666"/>
    </row>
    <row r="21" spans="1:14" ht="12.75" customHeight="1">
      <c r="A21" s="667">
        <v>31413</v>
      </c>
      <c r="B21" s="668">
        <v>105378</v>
      </c>
      <c r="C21" s="668">
        <v>11116</v>
      </c>
      <c r="D21" s="668">
        <v>4709</v>
      </c>
      <c r="E21" s="668">
        <v>33753</v>
      </c>
      <c r="F21" s="668">
        <v>5165</v>
      </c>
      <c r="G21" s="668">
        <v>8111</v>
      </c>
      <c r="H21" s="668">
        <v>15862</v>
      </c>
      <c r="I21" s="668">
        <v>2266</v>
      </c>
      <c r="J21" s="668">
        <v>24397</v>
      </c>
      <c r="K21" s="669">
        <v>41182</v>
      </c>
      <c r="L21" s="665"/>
      <c r="M21" s="666"/>
    </row>
    <row r="22" spans="1:14" ht="12.75" customHeight="1">
      <c r="A22" s="667">
        <v>31778</v>
      </c>
      <c r="B22" s="668">
        <v>102118</v>
      </c>
      <c r="C22" s="668">
        <v>10466</v>
      </c>
      <c r="D22" s="668">
        <v>4305</v>
      </c>
      <c r="E22" s="668">
        <v>33945</v>
      </c>
      <c r="F22" s="668">
        <v>5214</v>
      </c>
      <c r="G22" s="668">
        <v>7638</v>
      </c>
      <c r="H22" s="668">
        <v>15345</v>
      </c>
      <c r="I22" s="668">
        <v>2209</v>
      </c>
      <c r="J22" s="668">
        <v>22995</v>
      </c>
      <c r="K22" s="669">
        <v>40152</v>
      </c>
      <c r="L22" s="665"/>
      <c r="M22" s="666"/>
    </row>
    <row r="23" spans="1:14" ht="12.75" customHeight="1">
      <c r="A23" s="667">
        <v>32143</v>
      </c>
      <c r="B23" s="668">
        <v>99622</v>
      </c>
      <c r="C23" s="668">
        <v>10311</v>
      </c>
      <c r="D23" s="668">
        <v>4122</v>
      </c>
      <c r="E23" s="668">
        <v>33183</v>
      </c>
      <c r="F23" s="668">
        <v>5249</v>
      </c>
      <c r="G23" s="668">
        <v>7869</v>
      </c>
      <c r="H23" s="668">
        <v>15704</v>
      </c>
      <c r="I23" s="668">
        <v>2175</v>
      </c>
      <c r="J23" s="668">
        <v>21008</v>
      </c>
      <c r="K23" s="669">
        <v>39318</v>
      </c>
      <c r="L23" s="665"/>
      <c r="M23" s="666"/>
    </row>
    <row r="24" spans="1:14" ht="12.75" customHeight="1">
      <c r="A24" s="667">
        <v>32509</v>
      </c>
      <c r="B24" s="668">
        <v>96740</v>
      </c>
      <c r="C24" s="668">
        <v>10137</v>
      </c>
      <c r="D24" s="668">
        <v>4117</v>
      </c>
      <c r="E24" s="668">
        <v>32488</v>
      </c>
      <c r="F24" s="668">
        <v>5325</v>
      </c>
      <c r="G24" s="668">
        <v>7631</v>
      </c>
      <c r="H24" s="668">
        <v>15431</v>
      </c>
      <c r="I24" s="668">
        <v>2150</v>
      </c>
      <c r="J24" s="668">
        <v>19461</v>
      </c>
      <c r="K24" s="669">
        <v>38817</v>
      </c>
      <c r="L24" s="665"/>
      <c r="M24" s="666"/>
    </row>
    <row r="25" spans="1:14" ht="12.75" customHeight="1">
      <c r="A25" s="667">
        <v>32874</v>
      </c>
      <c r="B25" s="668">
        <v>95816</v>
      </c>
      <c r="C25" s="668">
        <v>10015</v>
      </c>
      <c r="D25" s="668">
        <v>4171</v>
      </c>
      <c r="E25" s="668">
        <v>32454</v>
      </c>
      <c r="F25" s="668">
        <v>5283</v>
      </c>
      <c r="G25" s="668">
        <v>7803</v>
      </c>
      <c r="H25" s="668">
        <v>15512</v>
      </c>
      <c r="I25" s="668">
        <v>2160</v>
      </c>
      <c r="J25" s="668">
        <v>18418</v>
      </c>
      <c r="K25" s="669">
        <v>38613</v>
      </c>
      <c r="L25" s="665"/>
      <c r="M25" s="666"/>
    </row>
    <row r="26" spans="1:14" ht="12.75" customHeight="1">
      <c r="A26" s="667">
        <v>33239</v>
      </c>
      <c r="B26" s="668">
        <v>96393</v>
      </c>
      <c r="C26" s="668">
        <v>9965</v>
      </c>
      <c r="D26" s="668">
        <v>4093</v>
      </c>
      <c r="E26" s="668">
        <v>32520</v>
      </c>
      <c r="F26" s="668">
        <v>5443</v>
      </c>
      <c r="G26" s="668">
        <v>8102</v>
      </c>
      <c r="H26" s="668">
        <v>15967</v>
      </c>
      <c r="I26" s="668">
        <v>2196</v>
      </c>
      <c r="J26" s="668">
        <v>18107</v>
      </c>
      <c r="K26" s="669">
        <v>38583</v>
      </c>
      <c r="L26" s="665"/>
      <c r="M26" s="666"/>
    </row>
    <row r="27" spans="1:14" ht="12.75" customHeight="1">
      <c r="A27" s="667">
        <v>33604</v>
      </c>
      <c r="B27" s="668">
        <v>97556</v>
      </c>
      <c r="C27" s="668">
        <v>9728</v>
      </c>
      <c r="D27" s="668">
        <v>4131</v>
      </c>
      <c r="E27" s="668">
        <v>33007</v>
      </c>
      <c r="F27" s="668">
        <v>5643</v>
      </c>
      <c r="G27" s="668">
        <v>8048</v>
      </c>
      <c r="H27" s="668">
        <v>16424</v>
      </c>
      <c r="I27" s="668">
        <v>2239</v>
      </c>
      <c r="J27" s="668">
        <v>18336</v>
      </c>
      <c r="K27" s="669">
        <v>38933</v>
      </c>
      <c r="L27" s="665"/>
      <c r="M27" s="666"/>
    </row>
    <row r="28" spans="1:14" ht="12.75" customHeight="1">
      <c r="A28" s="667">
        <v>33970</v>
      </c>
      <c r="B28" s="668">
        <v>99176</v>
      </c>
      <c r="C28" s="668">
        <v>9658</v>
      </c>
      <c r="D28" s="668">
        <v>4176</v>
      </c>
      <c r="E28" s="668">
        <v>33365</v>
      </c>
      <c r="F28" s="668">
        <v>6092</v>
      </c>
      <c r="G28" s="668">
        <v>8550</v>
      </c>
      <c r="H28" s="668">
        <v>16940</v>
      </c>
      <c r="I28" s="668">
        <v>2278</v>
      </c>
      <c r="J28" s="668">
        <v>18117</v>
      </c>
      <c r="K28" s="669">
        <v>39369</v>
      </c>
      <c r="L28" s="665"/>
      <c r="M28" s="666"/>
    </row>
    <row r="29" spans="1:14" ht="12.75" customHeight="1">
      <c r="A29" s="667">
        <v>34335</v>
      </c>
      <c r="B29" s="668">
        <v>100974</v>
      </c>
      <c r="C29" s="668">
        <v>9507</v>
      </c>
      <c r="D29" s="668">
        <v>4125</v>
      </c>
      <c r="E29" s="668">
        <v>34603</v>
      </c>
      <c r="F29" s="668">
        <v>6364</v>
      </c>
      <c r="G29" s="668">
        <v>9104</v>
      </c>
      <c r="H29" s="668">
        <v>17086</v>
      </c>
      <c r="I29" s="668">
        <v>2312</v>
      </c>
      <c r="J29" s="668">
        <v>17873</v>
      </c>
      <c r="K29" s="669">
        <v>40105</v>
      </c>
      <c r="L29" s="665"/>
      <c r="M29" s="666"/>
    </row>
    <row r="30" spans="1:14" ht="12.75" customHeight="1">
      <c r="A30" s="667">
        <v>34700</v>
      </c>
      <c r="B30" s="668">
        <v>102785</v>
      </c>
      <c r="C30" s="668">
        <v>9482</v>
      </c>
      <c r="D30" s="668">
        <v>4121</v>
      </c>
      <c r="E30" s="668">
        <v>35190</v>
      </c>
      <c r="F30" s="668">
        <v>6452</v>
      </c>
      <c r="G30" s="668">
        <v>9302</v>
      </c>
      <c r="H30" s="668">
        <v>17513</v>
      </c>
      <c r="I30" s="668">
        <v>2385</v>
      </c>
      <c r="J30" s="668">
        <v>18341</v>
      </c>
      <c r="K30" s="669">
        <v>40264</v>
      </c>
      <c r="L30" s="665"/>
      <c r="M30" s="666"/>
    </row>
    <row r="31" spans="1:14" ht="12.75" customHeight="1">
      <c r="A31" s="667">
        <v>35065</v>
      </c>
      <c r="B31" s="668">
        <v>103548</v>
      </c>
      <c r="C31" s="668">
        <v>9420</v>
      </c>
      <c r="D31" s="668">
        <v>4090</v>
      </c>
      <c r="E31" s="668">
        <v>35319</v>
      </c>
      <c r="F31" s="668">
        <v>6189</v>
      </c>
      <c r="G31" s="668">
        <v>9948</v>
      </c>
      <c r="H31" s="668">
        <v>17815</v>
      </c>
      <c r="I31" s="668">
        <v>2384</v>
      </c>
      <c r="J31" s="668">
        <v>18384</v>
      </c>
      <c r="K31" s="669">
        <v>39823</v>
      </c>
      <c r="L31" s="665"/>
      <c r="M31" s="666"/>
      <c r="N31" s="657"/>
    </row>
    <row r="32" spans="1:14" ht="12.75" customHeight="1">
      <c r="A32" s="667">
        <v>35431</v>
      </c>
      <c r="B32" s="668">
        <v>101656</v>
      </c>
      <c r="C32" s="668">
        <v>9318</v>
      </c>
      <c r="D32" s="668">
        <v>4058</v>
      </c>
      <c r="E32" s="668">
        <v>34458</v>
      </c>
      <c r="F32" s="668">
        <v>6042</v>
      </c>
      <c r="G32" s="668">
        <v>10212</v>
      </c>
      <c r="H32" s="668">
        <v>17392</v>
      </c>
      <c r="I32" s="668">
        <v>2350</v>
      </c>
      <c r="J32" s="668">
        <v>17826</v>
      </c>
      <c r="K32" s="669">
        <v>38961</v>
      </c>
      <c r="L32" s="670" t="s">
        <v>455</v>
      </c>
      <c r="M32" s="671" t="s">
        <v>455</v>
      </c>
    </row>
    <row r="33" spans="1:15" ht="12.75" customHeight="1">
      <c r="A33" s="667">
        <v>35796</v>
      </c>
      <c r="B33" s="668">
        <v>99744</v>
      </c>
      <c r="C33" s="668">
        <v>9199</v>
      </c>
      <c r="D33" s="668">
        <v>3986</v>
      </c>
      <c r="E33" s="668">
        <v>33885</v>
      </c>
      <c r="F33" s="668">
        <v>5764</v>
      </c>
      <c r="G33" s="668">
        <v>10051</v>
      </c>
      <c r="H33" s="668">
        <v>17189</v>
      </c>
      <c r="I33" s="668">
        <v>2270</v>
      </c>
      <c r="J33" s="668">
        <v>17401</v>
      </c>
      <c r="K33" s="669">
        <v>38812.1</v>
      </c>
      <c r="L33" s="672" t="s">
        <v>456</v>
      </c>
      <c r="M33" s="673" t="s">
        <v>457</v>
      </c>
    </row>
    <row r="34" spans="1:15" ht="12.75" customHeight="1">
      <c r="A34" s="667">
        <v>36161</v>
      </c>
      <c r="B34" s="668">
        <v>99115</v>
      </c>
      <c r="C34" s="668">
        <v>9128</v>
      </c>
      <c r="D34" s="668">
        <v>4069</v>
      </c>
      <c r="E34" s="668">
        <v>33750</v>
      </c>
      <c r="F34" s="668">
        <v>5535</v>
      </c>
      <c r="G34" s="668">
        <v>10170</v>
      </c>
      <c r="H34" s="668">
        <v>16891</v>
      </c>
      <c r="I34" s="668">
        <v>2281</v>
      </c>
      <c r="J34" s="668">
        <v>17290</v>
      </c>
      <c r="K34" s="669">
        <v>38796.400000000001</v>
      </c>
      <c r="L34" s="674" t="s">
        <v>458</v>
      </c>
      <c r="M34" s="675" t="s">
        <v>456</v>
      </c>
    </row>
    <row r="35" spans="1:15" ht="12.75" customHeight="1">
      <c r="A35" s="667">
        <v>36526</v>
      </c>
      <c r="B35" s="668">
        <v>98199</v>
      </c>
      <c r="C35" s="668">
        <v>9183</v>
      </c>
      <c r="D35" s="668">
        <v>4000</v>
      </c>
      <c r="E35" s="668">
        <v>33575</v>
      </c>
      <c r="F35" s="668">
        <v>5503</v>
      </c>
      <c r="G35" s="668">
        <v>10147</v>
      </c>
      <c r="H35" s="668">
        <v>16682</v>
      </c>
      <c r="I35" s="668">
        <v>2293</v>
      </c>
      <c r="J35" s="668">
        <v>16816</v>
      </c>
      <c r="K35" s="669">
        <v>38630.6</v>
      </c>
      <c r="L35" s="665">
        <f t="shared" ref="L35:L39" si="0">SUM(E35:J35)</f>
        <v>85016</v>
      </c>
      <c r="M35" s="665">
        <f t="shared" ref="M35:M39" si="1">L35-E35</f>
        <v>51441</v>
      </c>
    </row>
    <row r="36" spans="1:15" ht="12.75" customHeight="1">
      <c r="A36" s="667">
        <v>36892</v>
      </c>
      <c r="B36" s="668">
        <v>97298</v>
      </c>
      <c r="C36" s="668">
        <v>9172</v>
      </c>
      <c r="D36" s="668">
        <v>4057</v>
      </c>
      <c r="E36" s="668">
        <v>33398</v>
      </c>
      <c r="F36" s="668">
        <v>5588</v>
      </c>
      <c r="G36" s="668">
        <v>10131</v>
      </c>
      <c r="H36" s="668">
        <v>16461</v>
      </c>
      <c r="I36" s="668">
        <v>2274</v>
      </c>
      <c r="J36" s="668">
        <v>16216</v>
      </c>
      <c r="K36" s="669">
        <v>38300.400000000001</v>
      </c>
      <c r="L36" s="665">
        <f t="shared" si="0"/>
        <v>84068</v>
      </c>
      <c r="M36" s="665">
        <f t="shared" si="1"/>
        <v>50670</v>
      </c>
    </row>
    <row r="37" spans="1:15" ht="12.75" customHeight="1">
      <c r="A37" s="667">
        <v>37257</v>
      </c>
      <c r="B37" s="668">
        <v>96723</v>
      </c>
      <c r="C37" s="668">
        <v>9106</v>
      </c>
      <c r="D37" s="668">
        <v>4055</v>
      </c>
      <c r="E37" s="668">
        <v>33134</v>
      </c>
      <c r="F37" s="668">
        <v>5571</v>
      </c>
      <c r="G37" s="668">
        <v>10057</v>
      </c>
      <c r="H37" s="668">
        <v>16804</v>
      </c>
      <c r="I37" s="668">
        <v>2244</v>
      </c>
      <c r="J37" s="668">
        <v>15753</v>
      </c>
      <c r="K37" s="669">
        <v>38223.699999999997</v>
      </c>
      <c r="L37" s="665">
        <f t="shared" si="0"/>
        <v>83563</v>
      </c>
      <c r="M37" s="665">
        <f t="shared" si="1"/>
        <v>50429</v>
      </c>
    </row>
    <row r="38" spans="1:15" ht="12.75" customHeight="1">
      <c r="A38" s="667">
        <v>37622</v>
      </c>
      <c r="B38" s="668">
        <v>96100</v>
      </c>
      <c r="C38" s="668">
        <v>9142</v>
      </c>
      <c r="D38" s="668">
        <v>4114</v>
      </c>
      <c r="E38" s="668">
        <v>32983</v>
      </c>
      <c r="F38" s="668">
        <v>5624</v>
      </c>
      <c r="G38" s="668">
        <v>9891</v>
      </c>
      <c r="H38" s="668">
        <v>16554</v>
      </c>
      <c r="I38" s="668">
        <v>2248</v>
      </c>
      <c r="J38" s="668">
        <v>15545</v>
      </c>
      <c r="K38" s="669">
        <v>37902.800000000003</v>
      </c>
      <c r="L38" s="665">
        <f t="shared" si="0"/>
        <v>82845</v>
      </c>
      <c r="M38" s="665">
        <f t="shared" si="1"/>
        <v>49862</v>
      </c>
    </row>
    <row r="39" spans="1:15" ht="12.75" customHeight="1">
      <c r="A39" s="667">
        <v>37987</v>
      </c>
      <c r="B39" s="668">
        <v>94888</v>
      </c>
      <c r="C39" s="668">
        <v>8990</v>
      </c>
      <c r="D39" s="668">
        <v>4020</v>
      </c>
      <c r="E39" s="668">
        <v>32861</v>
      </c>
      <c r="F39" s="668">
        <v>5518</v>
      </c>
      <c r="G39" s="668">
        <v>9806</v>
      </c>
      <c r="H39" s="668">
        <v>16277</v>
      </c>
      <c r="I39" s="668">
        <v>2206</v>
      </c>
      <c r="J39" s="668">
        <v>15210</v>
      </c>
      <c r="K39" s="669">
        <v>37625.4</v>
      </c>
      <c r="L39" s="665">
        <f t="shared" si="0"/>
        <v>81878</v>
      </c>
      <c r="M39" s="665">
        <f t="shared" si="1"/>
        <v>49017</v>
      </c>
    </row>
    <row r="40" spans="1:15">
      <c r="A40" s="667">
        <v>38353</v>
      </c>
      <c r="B40" s="676">
        <v>95848</v>
      </c>
      <c r="C40" s="676">
        <v>9005</v>
      </c>
      <c r="D40" s="676">
        <v>4133</v>
      </c>
      <c r="E40" s="676">
        <v>33055</v>
      </c>
      <c r="F40" s="676">
        <v>5746</v>
      </c>
      <c r="G40" s="676">
        <v>9793</v>
      </c>
      <c r="H40" s="676">
        <v>16511</v>
      </c>
      <c r="I40" s="676">
        <v>2219</v>
      </c>
      <c r="J40" s="676">
        <v>15385</v>
      </c>
      <c r="K40" s="677" t="e">
        <v>#N/A</v>
      </c>
      <c r="L40" s="665">
        <f>SUM(E40:J40)</f>
        <v>82709</v>
      </c>
      <c r="M40" s="665">
        <f>L40-E40</f>
        <v>49654</v>
      </c>
    </row>
    <row r="41" spans="1:15">
      <c r="A41" s="678" t="s">
        <v>459</v>
      </c>
      <c r="B41" s="679"/>
      <c r="C41" s="679"/>
      <c r="D41" s="679"/>
      <c r="E41" s="679"/>
      <c r="F41" s="679"/>
      <c r="G41" s="679"/>
      <c r="H41" s="679"/>
      <c r="I41" s="679"/>
      <c r="J41" s="679"/>
      <c r="K41" s="679"/>
      <c r="M41" s="665"/>
    </row>
    <row r="42" spans="1:15" s="680" customFormat="1">
      <c r="A42" s="678"/>
      <c r="B42" s="679"/>
      <c r="C42" s="679"/>
      <c r="D42" s="679"/>
      <c r="E42" s="679"/>
      <c r="F42" s="679"/>
      <c r="G42" s="679"/>
      <c r="H42" s="679"/>
      <c r="I42" s="679"/>
      <c r="J42" s="679"/>
      <c r="K42" s="679"/>
      <c r="M42" s="665"/>
    </row>
    <row r="43" spans="1:15" s="680" customFormat="1">
      <c r="A43" s="681" t="s">
        <v>460</v>
      </c>
      <c r="B43" s="679">
        <f t="shared" ref="B43:J43" si="2">AVERAGE(B35:B40)</f>
        <v>96509.333333333328</v>
      </c>
      <c r="C43" s="679">
        <f t="shared" si="2"/>
        <v>9099.6666666666661</v>
      </c>
      <c r="D43" s="679">
        <f>AVERAGE(D35:D40)</f>
        <v>4063.1666666666665</v>
      </c>
      <c r="E43" s="679">
        <f t="shared" si="2"/>
        <v>33167.666666666664</v>
      </c>
      <c r="F43" s="679">
        <f t="shared" si="2"/>
        <v>5591.666666666667</v>
      </c>
      <c r="G43" s="679">
        <f t="shared" si="2"/>
        <v>9970.8333333333339</v>
      </c>
      <c r="H43" s="679">
        <f t="shared" si="2"/>
        <v>16548.166666666668</v>
      </c>
      <c r="I43" s="679">
        <f t="shared" si="2"/>
        <v>2247.3333333333335</v>
      </c>
      <c r="J43" s="679">
        <f t="shared" si="2"/>
        <v>15820.833333333334</v>
      </c>
      <c r="K43" s="679"/>
      <c r="L43" s="679">
        <f>AVERAGE(L35:L40)</f>
        <v>83346.5</v>
      </c>
      <c r="M43" s="679">
        <f>AVERAGE(M35:M40)</f>
        <v>50178.833333333336</v>
      </c>
    </row>
    <row r="44" spans="1:15" s="680" customFormat="1">
      <c r="A44" s="681" t="s">
        <v>461</v>
      </c>
      <c r="B44" s="679">
        <f>AVERAGE(B78:B83)</f>
        <v>104866.66666666667</v>
      </c>
      <c r="C44" s="679">
        <f t="shared" ref="C44:J44" si="3">AVERAGE(C78:C83)</f>
        <v>9108.3333333333339</v>
      </c>
      <c r="D44" s="679">
        <f>AVERAGE(D78:D83)</f>
        <v>3650</v>
      </c>
      <c r="E44" s="679">
        <f t="shared" si="3"/>
        <v>33741.666666666664</v>
      </c>
      <c r="F44" s="679">
        <f t="shared" si="3"/>
        <v>4716.666666666667</v>
      </c>
      <c r="G44" s="679">
        <f t="shared" si="3"/>
        <v>7825</v>
      </c>
      <c r="H44" s="679">
        <f t="shared" si="3"/>
        <v>14366.666666666666</v>
      </c>
      <c r="I44" s="679">
        <f t="shared" si="3"/>
        <v>2091.6666666666665</v>
      </c>
      <c r="J44" s="679">
        <f t="shared" si="3"/>
        <v>29366.666666666668</v>
      </c>
      <c r="K44" s="679"/>
      <c r="L44" s="679">
        <f>AVERAGE(L78:L83)</f>
        <v>92108.333333333328</v>
      </c>
      <c r="M44" s="679">
        <f>AVERAGE(M78:M83)</f>
        <v>58366.666666666664</v>
      </c>
    </row>
    <row r="45" spans="1:15">
      <c r="A45" s="682" t="s">
        <v>462</v>
      </c>
      <c r="B45" s="649">
        <f>AVERAGE(B43:B44)</f>
        <v>100688</v>
      </c>
      <c r="C45" s="649">
        <f t="shared" ref="C45:M45" si="4">AVERAGE(C43:C44)</f>
        <v>9104</v>
      </c>
      <c r="D45" s="649">
        <f>AVERAGE(D43:D44)</f>
        <v>3856.583333333333</v>
      </c>
      <c r="E45" s="649">
        <f t="shared" si="4"/>
        <v>33454.666666666664</v>
      </c>
      <c r="F45" s="649">
        <f t="shared" si="4"/>
        <v>5154.166666666667</v>
      </c>
      <c r="G45" s="649">
        <f t="shared" si="4"/>
        <v>8897.9166666666679</v>
      </c>
      <c r="H45" s="649">
        <f t="shared" si="4"/>
        <v>15457.416666666668</v>
      </c>
      <c r="I45" s="649">
        <f t="shared" si="4"/>
        <v>2169.5</v>
      </c>
      <c r="J45" s="649">
        <f t="shared" si="4"/>
        <v>22593.75</v>
      </c>
      <c r="L45" s="649">
        <f t="shared" si="4"/>
        <v>87727.416666666657</v>
      </c>
      <c r="M45" s="649">
        <f t="shared" si="4"/>
        <v>54272.75</v>
      </c>
      <c r="N45" s="683" t="s">
        <v>463</v>
      </c>
    </row>
    <row r="46" spans="1:15">
      <c r="A46" s="682"/>
      <c r="D46" s="649">
        <f>STDEV(D35:D40,D78:D83)</f>
        <v>221.67521628533831</v>
      </c>
      <c r="M46" s="665"/>
    </row>
    <row r="47" spans="1:15" ht="15.75" customHeight="1">
      <c r="A47" s="682"/>
      <c r="C47" s="684"/>
      <c r="D47" s="684"/>
      <c r="E47" s="684"/>
      <c r="F47" s="684"/>
      <c r="G47" s="684"/>
      <c r="H47" s="684"/>
      <c r="I47" s="684"/>
      <c r="J47" s="684"/>
      <c r="M47" s="665"/>
    </row>
    <row r="48" spans="1:15" s="657" customFormat="1" ht="21" customHeight="1">
      <c r="A48" s="1164" t="s">
        <v>464</v>
      </c>
      <c r="B48" s="1164"/>
      <c r="C48" s="1164"/>
      <c r="D48" s="1164"/>
      <c r="E48" s="1164"/>
      <c r="F48" s="1164"/>
      <c r="G48" s="1164"/>
      <c r="H48" s="1164"/>
      <c r="I48" s="1164"/>
      <c r="J48" s="1164"/>
      <c r="K48" s="1164"/>
      <c r="M48" s="665"/>
      <c r="N48" s="650"/>
      <c r="O48" s="650"/>
    </row>
    <row r="49" spans="1:15" s="661" customFormat="1" ht="18" customHeight="1">
      <c r="A49" s="685" t="s">
        <v>184</v>
      </c>
      <c r="B49" s="686" t="s">
        <v>557</v>
      </c>
      <c r="C49" s="687" t="s">
        <v>558</v>
      </c>
      <c r="D49" s="687" t="s">
        <v>559</v>
      </c>
      <c r="E49" s="687" t="s">
        <v>560</v>
      </c>
      <c r="F49" s="687" t="s">
        <v>561</v>
      </c>
      <c r="G49" s="687" t="s">
        <v>562</v>
      </c>
      <c r="H49" s="687" t="s">
        <v>563</v>
      </c>
      <c r="I49" s="688" t="s">
        <v>564</v>
      </c>
      <c r="J49" s="688" t="s">
        <v>353</v>
      </c>
      <c r="K49" s="689" t="s">
        <v>465</v>
      </c>
      <c r="M49" s="665"/>
      <c r="N49" s="650"/>
      <c r="O49" s="650"/>
    </row>
    <row r="50" spans="1:15" ht="12.75" customHeight="1">
      <c r="A50" s="1165" t="s">
        <v>566</v>
      </c>
      <c r="B50" s="1162"/>
      <c r="C50" s="1162"/>
      <c r="D50" s="1162"/>
      <c r="E50" s="1162"/>
      <c r="F50" s="1162"/>
      <c r="G50" s="1162"/>
      <c r="H50" s="1162"/>
      <c r="I50" s="1162"/>
      <c r="J50" s="1162"/>
      <c r="K50" s="1163"/>
      <c r="M50" s="665"/>
    </row>
    <row r="51" spans="1:15" ht="12.75" customHeight="1">
      <c r="A51" s="690">
        <v>26846</v>
      </c>
      <c r="B51" s="668">
        <v>131467</v>
      </c>
      <c r="C51" s="668">
        <v>11393</v>
      </c>
      <c r="D51" s="668">
        <v>3923</v>
      </c>
      <c r="E51" s="668">
        <v>42644</v>
      </c>
      <c r="F51" s="668">
        <v>7221</v>
      </c>
      <c r="G51" s="668">
        <v>7285</v>
      </c>
      <c r="H51" s="668">
        <v>17850</v>
      </c>
      <c r="I51" s="668">
        <v>2647</v>
      </c>
      <c r="J51" s="668">
        <v>38504</v>
      </c>
      <c r="K51" s="669" t="e">
        <v>#N/A</v>
      </c>
      <c r="M51" s="665"/>
    </row>
    <row r="52" spans="1:15" ht="12.75" customHeight="1">
      <c r="A52" s="690">
        <v>27211</v>
      </c>
      <c r="B52" s="668">
        <v>139378</v>
      </c>
      <c r="C52" s="668">
        <v>11215</v>
      </c>
      <c r="D52" s="668">
        <v>3871</v>
      </c>
      <c r="E52" s="668">
        <v>45745</v>
      </c>
      <c r="F52" s="668">
        <v>7909</v>
      </c>
      <c r="G52" s="668">
        <v>7350</v>
      </c>
      <c r="H52" s="668">
        <v>18423</v>
      </c>
      <c r="I52" s="668">
        <v>2913</v>
      </c>
      <c r="J52" s="668">
        <v>41952</v>
      </c>
      <c r="K52" s="669" t="e">
        <v>#N/A</v>
      </c>
      <c r="M52" s="665"/>
    </row>
    <row r="53" spans="1:15" ht="12.75" customHeight="1">
      <c r="A53" s="690">
        <v>27576</v>
      </c>
      <c r="B53" s="668">
        <v>140201</v>
      </c>
      <c r="C53" s="668">
        <v>11148</v>
      </c>
      <c r="D53" s="668">
        <v>3924</v>
      </c>
      <c r="E53" s="668">
        <v>46905</v>
      </c>
      <c r="F53" s="668">
        <v>7382</v>
      </c>
      <c r="G53" s="668">
        <v>7658</v>
      </c>
      <c r="H53" s="668">
        <v>17323</v>
      </c>
      <c r="I53" s="668">
        <v>3068</v>
      </c>
      <c r="J53" s="668">
        <v>42793</v>
      </c>
      <c r="K53" s="669" t="e">
        <v>#N/A</v>
      </c>
      <c r="M53" s="665"/>
    </row>
    <row r="54" spans="1:15" ht="12.75" customHeight="1">
      <c r="A54" s="690">
        <v>27942</v>
      </c>
      <c r="B54" s="668">
        <v>133659</v>
      </c>
      <c r="C54" s="668">
        <v>11023</v>
      </c>
      <c r="D54" s="668">
        <v>3948</v>
      </c>
      <c r="E54" s="668">
        <v>42915</v>
      </c>
      <c r="F54" s="668">
        <v>6527</v>
      </c>
      <c r="G54" s="668">
        <v>8454</v>
      </c>
      <c r="H54" s="668">
        <v>18671</v>
      </c>
      <c r="I54" s="668">
        <v>2760</v>
      </c>
      <c r="J54" s="668">
        <v>39361</v>
      </c>
      <c r="K54" s="669" t="e">
        <v>#N/A</v>
      </c>
      <c r="M54" s="665"/>
    </row>
    <row r="55" spans="1:15" ht="12.75" customHeight="1">
      <c r="A55" s="690">
        <v>28307</v>
      </c>
      <c r="B55" s="668">
        <v>130255</v>
      </c>
      <c r="C55" s="668">
        <v>10946</v>
      </c>
      <c r="D55" s="668">
        <v>4004</v>
      </c>
      <c r="E55" s="668">
        <v>41244</v>
      </c>
      <c r="F55" s="668">
        <v>5842</v>
      </c>
      <c r="G55" s="668">
        <v>8514</v>
      </c>
      <c r="H55" s="668">
        <v>18689</v>
      </c>
      <c r="I55" s="668">
        <v>2687</v>
      </c>
      <c r="J55" s="668">
        <v>38329</v>
      </c>
      <c r="K55" s="669">
        <v>12431</v>
      </c>
      <c r="M55" s="665"/>
    </row>
    <row r="56" spans="1:15" ht="12.75" customHeight="1">
      <c r="A56" s="690">
        <v>28672</v>
      </c>
      <c r="B56" s="668">
        <v>121695</v>
      </c>
      <c r="C56" s="668">
        <v>10761</v>
      </c>
      <c r="D56" s="668">
        <v>3955</v>
      </c>
      <c r="E56" s="668">
        <v>37652</v>
      </c>
      <c r="F56" s="668">
        <v>5385</v>
      </c>
      <c r="G56" s="668">
        <v>8809</v>
      </c>
      <c r="H56" s="668">
        <v>17867</v>
      </c>
      <c r="I56" s="668">
        <v>2459</v>
      </c>
      <c r="J56" s="668">
        <v>34807</v>
      </c>
      <c r="K56" s="669">
        <v>12795</v>
      </c>
      <c r="M56" s="665"/>
    </row>
    <row r="57" spans="1:15" ht="12.75" customHeight="1">
      <c r="A57" s="690">
        <v>29037</v>
      </c>
      <c r="B57" s="668">
        <v>118437</v>
      </c>
      <c r="C57" s="668">
        <v>10700</v>
      </c>
      <c r="D57" s="668">
        <v>4115</v>
      </c>
      <c r="E57" s="668">
        <v>37115</v>
      </c>
      <c r="F57" s="668">
        <v>5770</v>
      </c>
      <c r="G57" s="668">
        <v>7727</v>
      </c>
      <c r="H57" s="668">
        <v>16796</v>
      </c>
      <c r="I57" s="668">
        <v>2456</v>
      </c>
      <c r="J57" s="668">
        <v>33758</v>
      </c>
      <c r="K57" s="669">
        <v>12821</v>
      </c>
      <c r="M57" s="665"/>
    </row>
    <row r="58" spans="1:15" ht="12.75" customHeight="1">
      <c r="A58" s="690">
        <v>29403</v>
      </c>
      <c r="B58" s="668">
        <v>122821</v>
      </c>
      <c r="C58" s="668">
        <v>10780</v>
      </c>
      <c r="D58" s="668">
        <v>4377</v>
      </c>
      <c r="E58" s="668">
        <v>39161</v>
      </c>
      <c r="F58" s="668">
        <v>5837</v>
      </c>
      <c r="G58" s="668">
        <v>7611</v>
      </c>
      <c r="H58" s="668">
        <v>16582</v>
      </c>
      <c r="I58" s="668">
        <v>2611</v>
      </c>
      <c r="J58" s="668">
        <v>35862</v>
      </c>
      <c r="K58" s="669">
        <v>12807</v>
      </c>
      <c r="M58" s="665"/>
    </row>
    <row r="59" spans="1:15" ht="12.75" customHeight="1">
      <c r="A59" s="690">
        <v>29768</v>
      </c>
      <c r="B59" s="668">
        <v>124670</v>
      </c>
      <c r="C59" s="668">
        <v>10880</v>
      </c>
      <c r="D59" s="668">
        <v>4623</v>
      </c>
      <c r="E59" s="668">
        <v>40054</v>
      </c>
      <c r="F59" s="668">
        <v>6233</v>
      </c>
      <c r="G59" s="668">
        <v>7488</v>
      </c>
      <c r="H59" s="668">
        <v>16230</v>
      </c>
      <c r="I59" s="668">
        <v>2638</v>
      </c>
      <c r="J59" s="668">
        <v>36524</v>
      </c>
      <c r="K59" s="669">
        <v>12953</v>
      </c>
      <c r="M59" s="665"/>
    </row>
    <row r="60" spans="1:15" ht="12.75" customHeight="1">
      <c r="A60" s="690">
        <v>30133</v>
      </c>
      <c r="B60" s="668">
        <v>124140</v>
      </c>
      <c r="C60" s="668">
        <v>11000</v>
      </c>
      <c r="D60" s="668">
        <v>4780</v>
      </c>
      <c r="E60" s="668">
        <v>38990</v>
      </c>
      <c r="F60" s="668">
        <v>6120</v>
      </c>
      <c r="G60" s="668">
        <v>7650</v>
      </c>
      <c r="H60" s="668">
        <v>16340</v>
      </c>
      <c r="I60" s="668">
        <v>2610</v>
      </c>
      <c r="J60" s="668">
        <v>36650</v>
      </c>
      <c r="K60" s="669">
        <v>13039</v>
      </c>
      <c r="M60" s="665"/>
    </row>
    <row r="61" spans="1:15" ht="12.75" customHeight="1">
      <c r="A61" s="690">
        <v>30498</v>
      </c>
      <c r="B61" s="668">
        <v>123540</v>
      </c>
      <c r="C61" s="668">
        <v>11100</v>
      </c>
      <c r="D61" s="668">
        <v>4880</v>
      </c>
      <c r="E61" s="668">
        <v>38500</v>
      </c>
      <c r="F61" s="668">
        <v>5800</v>
      </c>
      <c r="G61" s="668">
        <v>7890</v>
      </c>
      <c r="H61" s="668">
        <v>16840</v>
      </c>
      <c r="I61" s="668">
        <v>2560</v>
      </c>
      <c r="J61" s="668">
        <v>35970</v>
      </c>
      <c r="K61" s="669">
        <v>12735</v>
      </c>
      <c r="M61" s="665"/>
    </row>
    <row r="62" spans="1:15" ht="12.75" customHeight="1">
      <c r="A62" s="690">
        <v>30864</v>
      </c>
      <c r="B62" s="668">
        <v>121000</v>
      </c>
      <c r="C62" s="668">
        <v>10800</v>
      </c>
      <c r="D62" s="668">
        <v>4950</v>
      </c>
      <c r="E62" s="668">
        <v>37700</v>
      </c>
      <c r="F62" s="668">
        <v>5500</v>
      </c>
      <c r="G62" s="668">
        <v>8050</v>
      </c>
      <c r="H62" s="668">
        <v>16400</v>
      </c>
      <c r="I62" s="668">
        <v>2500</v>
      </c>
      <c r="J62" s="668">
        <v>35100</v>
      </c>
      <c r="K62" s="669">
        <v>12070</v>
      </c>
      <c r="M62" s="665"/>
    </row>
    <row r="63" spans="1:15" ht="12.75" customHeight="1">
      <c r="A63" s="690">
        <v>31229</v>
      </c>
      <c r="B63" s="668">
        <v>116300</v>
      </c>
      <c r="C63" s="668">
        <v>11050</v>
      </c>
      <c r="D63" s="668">
        <v>5000</v>
      </c>
      <c r="E63" s="668">
        <v>35250</v>
      </c>
      <c r="F63" s="668">
        <v>4900</v>
      </c>
      <c r="G63" s="668">
        <v>8300</v>
      </c>
      <c r="H63" s="668">
        <v>15900</v>
      </c>
      <c r="I63" s="668">
        <v>2300</v>
      </c>
      <c r="J63" s="668">
        <v>33600</v>
      </c>
      <c r="K63" s="669">
        <v>11700</v>
      </c>
      <c r="M63" s="665"/>
    </row>
    <row r="64" spans="1:15" ht="12.75" customHeight="1">
      <c r="A64" s="690">
        <v>31594</v>
      </c>
      <c r="B64" s="668">
        <v>112200</v>
      </c>
      <c r="C64" s="668">
        <v>10850</v>
      </c>
      <c r="D64" s="668">
        <v>4700</v>
      </c>
      <c r="E64" s="668">
        <v>34150</v>
      </c>
      <c r="F64" s="668">
        <v>4800</v>
      </c>
      <c r="G64" s="668">
        <v>8000</v>
      </c>
      <c r="H64" s="668">
        <v>15300</v>
      </c>
      <c r="I64" s="668">
        <v>2200</v>
      </c>
      <c r="J64" s="668">
        <v>32200</v>
      </c>
      <c r="K64" s="669">
        <v>11732</v>
      </c>
      <c r="M64" s="665"/>
    </row>
    <row r="65" spans="1:13" ht="12.75" customHeight="1">
      <c r="A65" s="690">
        <v>31959</v>
      </c>
      <c r="B65" s="668">
        <v>109500</v>
      </c>
      <c r="C65" s="668">
        <v>10400</v>
      </c>
      <c r="D65" s="668">
        <v>4600</v>
      </c>
      <c r="E65" s="668">
        <v>34000</v>
      </c>
      <c r="F65" s="668">
        <v>4800</v>
      </c>
      <c r="G65" s="668">
        <v>7600</v>
      </c>
      <c r="H65" s="668">
        <v>14800</v>
      </c>
      <c r="I65" s="668">
        <v>2200</v>
      </c>
      <c r="J65" s="668">
        <v>31100</v>
      </c>
      <c r="K65" s="669">
        <v>11402</v>
      </c>
      <c r="M65" s="665"/>
    </row>
    <row r="66" spans="1:13" ht="12.75" customHeight="1">
      <c r="A66" s="690">
        <v>32325</v>
      </c>
      <c r="B66" s="668">
        <v>107600</v>
      </c>
      <c r="C66" s="668">
        <v>10250</v>
      </c>
      <c r="D66" s="668">
        <v>4400</v>
      </c>
      <c r="E66" s="668">
        <v>33650</v>
      </c>
      <c r="F66" s="668">
        <v>4800</v>
      </c>
      <c r="G66" s="668">
        <v>7200</v>
      </c>
      <c r="H66" s="668">
        <v>14450</v>
      </c>
      <c r="I66" s="668">
        <v>2200</v>
      </c>
      <c r="J66" s="668">
        <v>30650</v>
      </c>
      <c r="K66" s="669">
        <v>11218</v>
      </c>
      <c r="M66" s="665"/>
    </row>
    <row r="67" spans="1:13" ht="12.75" customHeight="1">
      <c r="A67" s="690">
        <v>32690</v>
      </c>
      <c r="B67" s="668">
        <v>105400</v>
      </c>
      <c r="C67" s="668">
        <v>10000</v>
      </c>
      <c r="D67" s="668">
        <v>4400</v>
      </c>
      <c r="E67" s="668">
        <v>33000</v>
      </c>
      <c r="F67" s="668">
        <v>4800</v>
      </c>
      <c r="G67" s="668">
        <v>7000</v>
      </c>
      <c r="H67" s="668">
        <v>14100</v>
      </c>
      <c r="I67" s="668">
        <v>2200</v>
      </c>
      <c r="J67" s="668">
        <v>29900</v>
      </c>
      <c r="K67" s="669">
        <v>10517</v>
      </c>
      <c r="M67" s="665"/>
    </row>
    <row r="68" spans="1:13" ht="12.75" customHeight="1">
      <c r="A68" s="690">
        <v>33055</v>
      </c>
      <c r="B68" s="668">
        <v>104600</v>
      </c>
      <c r="C68" s="668">
        <v>10000</v>
      </c>
      <c r="D68" s="668">
        <v>4100</v>
      </c>
      <c r="E68" s="668">
        <v>32900</v>
      </c>
      <c r="F68" s="668">
        <v>5000</v>
      </c>
      <c r="G68" s="668">
        <v>6900</v>
      </c>
      <c r="H68" s="668">
        <v>14100</v>
      </c>
      <c r="I68" s="668">
        <v>2200</v>
      </c>
      <c r="J68" s="668">
        <v>29400</v>
      </c>
      <c r="K68" s="669">
        <v>10413</v>
      </c>
      <c r="M68" s="665"/>
    </row>
    <row r="69" spans="1:13" ht="12.75" customHeight="1">
      <c r="A69" s="690">
        <v>33420</v>
      </c>
      <c r="B69" s="668">
        <v>106100</v>
      </c>
      <c r="C69" s="668">
        <v>9800</v>
      </c>
      <c r="D69" s="668">
        <v>4100</v>
      </c>
      <c r="E69" s="668">
        <v>33400</v>
      </c>
      <c r="F69" s="668">
        <v>5200</v>
      </c>
      <c r="G69" s="668">
        <v>7200</v>
      </c>
      <c r="H69" s="668">
        <v>14600</v>
      </c>
      <c r="I69" s="668">
        <v>2200</v>
      </c>
      <c r="J69" s="668">
        <v>29600</v>
      </c>
      <c r="K69" s="669">
        <v>10183</v>
      </c>
      <c r="M69" s="665"/>
    </row>
    <row r="70" spans="1:13" ht="12.75" customHeight="1">
      <c r="A70" s="690">
        <v>33786</v>
      </c>
      <c r="B70" s="668">
        <v>107200</v>
      </c>
      <c r="C70" s="668">
        <v>9700</v>
      </c>
      <c r="D70" s="668">
        <v>4100</v>
      </c>
      <c r="E70" s="668">
        <v>33900</v>
      </c>
      <c r="F70" s="668">
        <v>5600</v>
      </c>
      <c r="G70" s="668">
        <v>7000</v>
      </c>
      <c r="H70" s="668">
        <v>14800</v>
      </c>
      <c r="I70" s="668">
        <v>2200</v>
      </c>
      <c r="J70" s="668">
        <v>29900</v>
      </c>
      <c r="K70" s="669">
        <v>10433</v>
      </c>
      <c r="M70" s="665"/>
    </row>
    <row r="71" spans="1:13" ht="12.75" customHeight="1">
      <c r="A71" s="690">
        <v>34151</v>
      </c>
      <c r="B71" s="668">
        <v>109000</v>
      </c>
      <c r="C71" s="668">
        <v>9700</v>
      </c>
      <c r="D71" s="668">
        <v>4000</v>
      </c>
      <c r="E71" s="668">
        <v>34900</v>
      </c>
      <c r="F71" s="668">
        <v>5700</v>
      </c>
      <c r="G71" s="668">
        <v>7300</v>
      </c>
      <c r="H71" s="668">
        <v>14900</v>
      </c>
      <c r="I71" s="668">
        <v>2200</v>
      </c>
      <c r="J71" s="668">
        <v>30300</v>
      </c>
      <c r="K71" s="669">
        <v>10569</v>
      </c>
      <c r="M71" s="665"/>
    </row>
    <row r="72" spans="1:13" ht="12.75" customHeight="1">
      <c r="A72" s="690">
        <v>34516</v>
      </c>
      <c r="B72" s="668">
        <v>111300</v>
      </c>
      <c r="C72" s="668">
        <v>9500</v>
      </c>
      <c r="D72" s="668">
        <v>4000</v>
      </c>
      <c r="E72" s="668">
        <v>35600</v>
      </c>
      <c r="F72" s="668">
        <v>5900</v>
      </c>
      <c r="G72" s="668">
        <v>7500</v>
      </c>
      <c r="H72" s="668">
        <v>15200</v>
      </c>
      <c r="I72" s="668">
        <v>2300</v>
      </c>
      <c r="J72" s="668">
        <v>31300</v>
      </c>
      <c r="K72" s="669">
        <v>10805</v>
      </c>
      <c r="M72" s="665"/>
    </row>
    <row r="73" spans="1:13" ht="12.75" customHeight="1">
      <c r="A73" s="690">
        <v>34881</v>
      </c>
      <c r="B73" s="668">
        <v>113000</v>
      </c>
      <c r="C73" s="668">
        <v>9500</v>
      </c>
      <c r="D73" s="668">
        <v>3900</v>
      </c>
      <c r="E73" s="668">
        <v>36100</v>
      </c>
      <c r="F73" s="668">
        <v>5700</v>
      </c>
      <c r="G73" s="668">
        <v>8000</v>
      </c>
      <c r="H73" s="668">
        <v>15400</v>
      </c>
      <c r="I73" s="668">
        <v>2400</v>
      </c>
      <c r="J73" s="668">
        <v>32000</v>
      </c>
      <c r="K73" s="669">
        <v>10764</v>
      </c>
      <c r="M73" s="665"/>
    </row>
    <row r="74" spans="1:13" ht="12.75" customHeight="1">
      <c r="A74" s="690">
        <v>35247</v>
      </c>
      <c r="B74" s="668">
        <v>111600</v>
      </c>
      <c r="C74" s="668">
        <v>9400</v>
      </c>
      <c r="D74" s="668">
        <v>3700</v>
      </c>
      <c r="E74" s="668">
        <v>35700</v>
      </c>
      <c r="F74" s="668">
        <v>5500</v>
      </c>
      <c r="G74" s="668">
        <v>8100</v>
      </c>
      <c r="H74" s="668">
        <v>15100</v>
      </c>
      <c r="I74" s="668">
        <v>2400</v>
      </c>
      <c r="J74" s="668">
        <v>31700</v>
      </c>
      <c r="K74" s="669">
        <v>10523</v>
      </c>
      <c r="M74" s="665"/>
    </row>
    <row r="75" spans="1:13" ht="12.75" customHeight="1">
      <c r="A75" s="690">
        <v>35612</v>
      </c>
      <c r="B75" s="668">
        <v>109200</v>
      </c>
      <c r="C75" s="668">
        <v>9300</v>
      </c>
      <c r="D75" s="668">
        <v>3600</v>
      </c>
      <c r="E75" s="668">
        <v>34800</v>
      </c>
      <c r="F75" s="668">
        <v>5300</v>
      </c>
      <c r="G75" s="668">
        <v>8200</v>
      </c>
      <c r="H75" s="668">
        <v>14800</v>
      </c>
      <c r="I75" s="668">
        <v>2300</v>
      </c>
      <c r="J75" s="668">
        <v>30900</v>
      </c>
      <c r="K75" s="669">
        <v>10361</v>
      </c>
      <c r="M75" s="665"/>
    </row>
    <row r="76" spans="1:13" ht="12.75" customHeight="1">
      <c r="A76" s="690">
        <v>35977</v>
      </c>
      <c r="B76" s="668">
        <v>107700</v>
      </c>
      <c r="C76" s="668">
        <v>9200</v>
      </c>
      <c r="D76" s="668">
        <v>3600</v>
      </c>
      <c r="E76" s="668">
        <v>34400</v>
      </c>
      <c r="F76" s="668">
        <v>5000</v>
      </c>
      <c r="G76" s="668">
        <v>8100</v>
      </c>
      <c r="H76" s="668">
        <v>14600</v>
      </c>
      <c r="I76" s="668">
        <v>2200</v>
      </c>
      <c r="J76" s="668">
        <v>30600</v>
      </c>
      <c r="K76" s="669">
        <v>10312.1</v>
      </c>
      <c r="M76" s="665"/>
    </row>
    <row r="77" spans="1:13" ht="12.75" customHeight="1">
      <c r="A77" s="690">
        <v>36342</v>
      </c>
      <c r="B77" s="668">
        <v>107000</v>
      </c>
      <c r="C77" s="668">
        <v>9150</v>
      </c>
      <c r="D77" s="668">
        <v>3700</v>
      </c>
      <c r="E77" s="668">
        <v>34150</v>
      </c>
      <c r="F77" s="668">
        <v>4800</v>
      </c>
      <c r="G77" s="668">
        <v>8100</v>
      </c>
      <c r="H77" s="668">
        <v>14400</v>
      </c>
      <c r="I77" s="668">
        <v>2200</v>
      </c>
      <c r="J77" s="668">
        <v>30500</v>
      </c>
      <c r="K77" s="669">
        <v>10296.4</v>
      </c>
      <c r="M77" s="665"/>
    </row>
    <row r="78" spans="1:13" ht="12.75" customHeight="1">
      <c r="A78" s="690">
        <v>36708</v>
      </c>
      <c r="B78" s="668">
        <v>106300</v>
      </c>
      <c r="C78" s="668">
        <v>9250</v>
      </c>
      <c r="D78" s="668">
        <v>3700</v>
      </c>
      <c r="E78" s="668">
        <v>33950</v>
      </c>
      <c r="F78" s="668">
        <v>4700</v>
      </c>
      <c r="G78" s="668">
        <v>8100</v>
      </c>
      <c r="H78" s="668">
        <v>14300</v>
      </c>
      <c r="I78" s="668">
        <v>2100</v>
      </c>
      <c r="J78" s="668">
        <v>30200</v>
      </c>
      <c r="K78" s="669">
        <v>10230.6</v>
      </c>
      <c r="L78" s="665">
        <f t="shared" ref="L78:L82" si="5">SUM(E78:J78)</f>
        <v>93350</v>
      </c>
      <c r="M78" s="665">
        <f t="shared" ref="M78:M83" si="6">L78-E78</f>
        <v>59400</v>
      </c>
    </row>
    <row r="79" spans="1:13" ht="12.75" customHeight="1">
      <c r="A79" s="690">
        <v>37073</v>
      </c>
      <c r="B79" s="668">
        <v>105800</v>
      </c>
      <c r="C79" s="668">
        <v>9100</v>
      </c>
      <c r="D79" s="668">
        <v>3600</v>
      </c>
      <c r="E79" s="668">
        <v>33900</v>
      </c>
      <c r="F79" s="668">
        <v>4600</v>
      </c>
      <c r="G79" s="668">
        <v>8200</v>
      </c>
      <c r="H79" s="668">
        <v>14600</v>
      </c>
      <c r="I79" s="668">
        <v>2100</v>
      </c>
      <c r="J79" s="668">
        <v>29700</v>
      </c>
      <c r="K79" s="669">
        <v>10200.4</v>
      </c>
      <c r="L79" s="665">
        <f t="shared" si="5"/>
        <v>93100</v>
      </c>
      <c r="M79" s="665">
        <f t="shared" si="6"/>
        <v>59200</v>
      </c>
    </row>
    <row r="80" spans="1:13" ht="12.75" customHeight="1">
      <c r="A80" s="690">
        <v>37438</v>
      </c>
      <c r="B80" s="668">
        <v>105100</v>
      </c>
      <c r="C80" s="668">
        <v>9150</v>
      </c>
      <c r="D80" s="668">
        <v>3700</v>
      </c>
      <c r="E80" s="668">
        <v>33750</v>
      </c>
      <c r="F80" s="668">
        <v>4600</v>
      </c>
      <c r="G80" s="668">
        <v>7900</v>
      </c>
      <c r="H80" s="668">
        <v>14500</v>
      </c>
      <c r="I80" s="668">
        <v>2100</v>
      </c>
      <c r="J80" s="668">
        <v>29400</v>
      </c>
      <c r="K80" s="669">
        <v>10323.700000000001</v>
      </c>
      <c r="L80" s="665">
        <f t="shared" si="5"/>
        <v>92250</v>
      </c>
      <c r="M80" s="665">
        <f t="shared" si="6"/>
        <v>58500</v>
      </c>
    </row>
    <row r="81" spans="1:13" ht="12.75" customHeight="1">
      <c r="A81" s="690">
        <v>37803</v>
      </c>
      <c r="B81" s="668">
        <v>103900</v>
      </c>
      <c r="C81" s="668">
        <v>9100</v>
      </c>
      <c r="D81" s="668">
        <v>3600</v>
      </c>
      <c r="E81" s="668">
        <v>33600</v>
      </c>
      <c r="F81" s="668">
        <v>4600</v>
      </c>
      <c r="G81" s="668">
        <v>7700</v>
      </c>
      <c r="H81" s="668">
        <v>14200</v>
      </c>
      <c r="I81" s="668">
        <v>2100</v>
      </c>
      <c r="J81" s="668">
        <v>29000</v>
      </c>
      <c r="K81" s="669">
        <v>10202.799999999999</v>
      </c>
      <c r="L81" s="665">
        <f t="shared" si="5"/>
        <v>91200</v>
      </c>
      <c r="M81" s="665">
        <f t="shared" si="6"/>
        <v>57600</v>
      </c>
    </row>
    <row r="82" spans="1:13" ht="12.75" customHeight="1">
      <c r="A82" s="690">
        <v>38169</v>
      </c>
      <c r="B82" s="668">
        <v>103600</v>
      </c>
      <c r="C82" s="668">
        <v>9000</v>
      </c>
      <c r="D82" s="668">
        <v>3600</v>
      </c>
      <c r="E82" s="668">
        <v>33500</v>
      </c>
      <c r="F82" s="668">
        <v>4800</v>
      </c>
      <c r="G82" s="668">
        <v>7550</v>
      </c>
      <c r="H82" s="668">
        <v>14200</v>
      </c>
      <c r="I82" s="668">
        <v>2050</v>
      </c>
      <c r="J82" s="668">
        <v>28900</v>
      </c>
      <c r="K82" s="669">
        <v>10225.4</v>
      </c>
      <c r="L82" s="665">
        <f t="shared" si="5"/>
        <v>91000</v>
      </c>
      <c r="M82" s="665">
        <f t="shared" si="6"/>
        <v>57500</v>
      </c>
    </row>
    <row r="83" spans="1:13" ht="12.75" customHeight="1">
      <c r="A83" s="690">
        <v>38534</v>
      </c>
      <c r="B83" s="676">
        <v>104500</v>
      </c>
      <c r="C83" s="676">
        <v>9050</v>
      </c>
      <c r="D83" s="676">
        <v>3700</v>
      </c>
      <c r="E83" s="676">
        <v>33750</v>
      </c>
      <c r="F83" s="676">
        <v>5000</v>
      </c>
      <c r="G83" s="676">
        <v>7500</v>
      </c>
      <c r="H83" s="676">
        <v>14400</v>
      </c>
      <c r="I83" s="676">
        <v>2100</v>
      </c>
      <c r="J83" s="676">
        <v>29000</v>
      </c>
      <c r="K83" s="677" t="e">
        <v>#N/A</v>
      </c>
      <c r="L83" s="665">
        <f>SUM(E83:J83)</f>
        <v>91750</v>
      </c>
      <c r="M83" s="665">
        <f t="shared" si="6"/>
        <v>58000</v>
      </c>
    </row>
    <row r="84" spans="1:13" ht="12.75" customHeight="1">
      <c r="A84" s="678" t="s">
        <v>459</v>
      </c>
      <c r="B84" s="679"/>
      <c r="C84" s="679"/>
      <c r="D84" s="679">
        <f>AVERAGE(D78:D83)</f>
        <v>3650</v>
      </c>
      <c r="E84" s="679"/>
      <c r="F84" s="679"/>
      <c r="G84" s="691" t="s">
        <v>466</v>
      </c>
      <c r="H84" s="679"/>
      <c r="I84" s="679"/>
      <c r="J84" s="679"/>
      <c r="K84" s="679"/>
    </row>
    <row r="85" spans="1:13">
      <c r="A85" s="692"/>
      <c r="I85" s="679"/>
    </row>
  </sheetData>
  <mergeCells count="4">
    <mergeCell ref="A2:K2"/>
    <mergeCell ref="A4:K4"/>
    <mergeCell ref="A48:K48"/>
    <mergeCell ref="A50:K50"/>
  </mergeCells>
  <phoneticPr fontId="14" type="noConversion"/>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N68"/>
  <sheetViews>
    <sheetView workbookViewId="0">
      <selection activeCell="M15" sqref="M15"/>
    </sheetView>
  </sheetViews>
  <sheetFormatPr defaultColWidth="6.6640625" defaultRowHeight="15"/>
  <cols>
    <col min="1" max="2" width="6.6640625" style="461"/>
    <col min="3" max="3" width="18.109375" style="461" customWidth="1"/>
    <col min="4" max="4" width="31.88671875" style="461" customWidth="1"/>
    <col min="5" max="5" width="20.33203125" style="461" customWidth="1"/>
    <col min="6" max="6" width="6.6640625" style="461"/>
    <col min="7" max="7" width="11.44140625" style="461" customWidth="1"/>
    <col min="8" max="8" width="11.5546875" style="461" customWidth="1"/>
    <col min="9" max="11" width="6.6640625" style="461"/>
    <col min="12" max="12" width="12.109375" style="461" customWidth="1"/>
    <col min="13" max="13" width="12.44140625" style="461" customWidth="1"/>
    <col min="14" max="14" width="10" style="461" bestFit="1" customWidth="1"/>
    <col min="15" max="259" width="6.6640625" style="461"/>
    <col min="260" max="260" width="24.44140625" style="461" customWidth="1"/>
    <col min="261" max="261" width="14.5546875" style="461" customWidth="1"/>
    <col min="262" max="267" width="6.6640625" style="461"/>
    <col min="268" max="268" width="9.5546875" style="461" customWidth="1"/>
    <col min="269" max="269" width="12.44140625" style="461" customWidth="1"/>
    <col min="270" max="515" width="6.6640625" style="461"/>
    <col min="516" max="516" width="24.44140625" style="461" customWidth="1"/>
    <col min="517" max="517" width="14.5546875" style="461" customWidth="1"/>
    <col min="518" max="523" width="6.6640625" style="461"/>
    <col min="524" max="524" width="9.5546875" style="461" customWidth="1"/>
    <col min="525" max="525" width="12.44140625" style="461" customWidth="1"/>
    <col min="526" max="771" width="6.6640625" style="461"/>
    <col min="772" max="772" width="24.44140625" style="461" customWidth="1"/>
    <col min="773" max="773" width="14.5546875" style="461" customWidth="1"/>
    <col min="774" max="779" width="6.6640625" style="461"/>
    <col min="780" max="780" width="9.5546875" style="461" customWidth="1"/>
    <col min="781" max="781" width="12.44140625" style="461" customWidth="1"/>
    <col min="782" max="1027" width="6.6640625" style="461"/>
    <col min="1028" max="1028" width="24.44140625" style="461" customWidth="1"/>
    <col min="1029" max="1029" width="14.5546875" style="461" customWidth="1"/>
    <col min="1030" max="1035" width="6.6640625" style="461"/>
    <col min="1036" max="1036" width="9.5546875" style="461" customWidth="1"/>
    <col min="1037" max="1037" width="12.44140625" style="461" customWidth="1"/>
    <col min="1038" max="1283" width="6.6640625" style="461"/>
    <col min="1284" max="1284" width="24.44140625" style="461" customWidth="1"/>
    <col min="1285" max="1285" width="14.5546875" style="461" customWidth="1"/>
    <col min="1286" max="1291" width="6.6640625" style="461"/>
    <col min="1292" max="1292" width="9.5546875" style="461" customWidth="1"/>
    <col min="1293" max="1293" width="12.44140625" style="461" customWidth="1"/>
    <col min="1294" max="1539" width="6.6640625" style="461"/>
    <col min="1540" max="1540" width="24.44140625" style="461" customWidth="1"/>
    <col min="1541" max="1541" width="14.5546875" style="461" customWidth="1"/>
    <col min="1542" max="1547" width="6.6640625" style="461"/>
    <col min="1548" max="1548" width="9.5546875" style="461" customWidth="1"/>
    <col min="1549" max="1549" width="12.44140625" style="461" customWidth="1"/>
    <col min="1550" max="1795" width="6.6640625" style="461"/>
    <col min="1796" max="1796" width="24.44140625" style="461" customWidth="1"/>
    <col min="1797" max="1797" width="14.5546875" style="461" customWidth="1"/>
    <col min="1798" max="1803" width="6.6640625" style="461"/>
    <col min="1804" max="1804" width="9.5546875" style="461" customWidth="1"/>
    <col min="1805" max="1805" width="12.44140625" style="461" customWidth="1"/>
    <col min="1806" max="2051" width="6.6640625" style="461"/>
    <col min="2052" max="2052" width="24.44140625" style="461" customWidth="1"/>
    <col min="2053" max="2053" width="14.5546875" style="461" customWidth="1"/>
    <col min="2054" max="2059" width="6.6640625" style="461"/>
    <col min="2060" max="2060" width="9.5546875" style="461" customWidth="1"/>
    <col min="2061" max="2061" width="12.44140625" style="461" customWidth="1"/>
    <col min="2062" max="2307" width="6.6640625" style="461"/>
    <col min="2308" max="2308" width="24.44140625" style="461" customWidth="1"/>
    <col min="2309" max="2309" width="14.5546875" style="461" customWidth="1"/>
    <col min="2310" max="2315" width="6.6640625" style="461"/>
    <col min="2316" max="2316" width="9.5546875" style="461" customWidth="1"/>
    <col min="2317" max="2317" width="12.44140625" style="461" customWidth="1"/>
    <col min="2318" max="2563" width="6.6640625" style="461"/>
    <col min="2564" max="2564" width="24.44140625" style="461" customWidth="1"/>
    <col min="2565" max="2565" width="14.5546875" style="461" customWidth="1"/>
    <col min="2566" max="2571" width="6.6640625" style="461"/>
    <col min="2572" max="2572" width="9.5546875" style="461" customWidth="1"/>
    <col min="2573" max="2573" width="12.44140625" style="461" customWidth="1"/>
    <col min="2574" max="2819" width="6.6640625" style="461"/>
    <col min="2820" max="2820" width="24.44140625" style="461" customWidth="1"/>
    <col min="2821" max="2821" width="14.5546875" style="461" customWidth="1"/>
    <col min="2822" max="2827" width="6.6640625" style="461"/>
    <col min="2828" max="2828" width="9.5546875" style="461" customWidth="1"/>
    <col min="2829" max="2829" width="12.44140625" style="461" customWidth="1"/>
    <col min="2830" max="3075" width="6.6640625" style="461"/>
    <col min="3076" max="3076" width="24.44140625" style="461" customWidth="1"/>
    <col min="3077" max="3077" width="14.5546875" style="461" customWidth="1"/>
    <col min="3078" max="3083" width="6.6640625" style="461"/>
    <col min="3084" max="3084" width="9.5546875" style="461" customWidth="1"/>
    <col min="3085" max="3085" width="12.44140625" style="461" customWidth="1"/>
    <col min="3086" max="3331" width="6.6640625" style="461"/>
    <col min="3332" max="3332" width="24.44140625" style="461" customWidth="1"/>
    <col min="3333" max="3333" width="14.5546875" style="461" customWidth="1"/>
    <col min="3334" max="3339" width="6.6640625" style="461"/>
    <col min="3340" max="3340" width="9.5546875" style="461" customWidth="1"/>
    <col min="3341" max="3341" width="12.44140625" style="461" customWidth="1"/>
    <col min="3342" max="3587" width="6.6640625" style="461"/>
    <col min="3588" max="3588" width="24.44140625" style="461" customWidth="1"/>
    <col min="3589" max="3589" width="14.5546875" style="461" customWidth="1"/>
    <col min="3590" max="3595" width="6.6640625" style="461"/>
    <col min="3596" max="3596" width="9.5546875" style="461" customWidth="1"/>
    <col min="3597" max="3597" width="12.44140625" style="461" customWidth="1"/>
    <col min="3598" max="3843" width="6.6640625" style="461"/>
    <col min="3844" max="3844" width="24.44140625" style="461" customWidth="1"/>
    <col min="3845" max="3845" width="14.5546875" style="461" customWidth="1"/>
    <col min="3846" max="3851" width="6.6640625" style="461"/>
    <col min="3852" max="3852" width="9.5546875" style="461" customWidth="1"/>
    <col min="3853" max="3853" width="12.44140625" style="461" customWidth="1"/>
    <col min="3854" max="4099" width="6.6640625" style="461"/>
    <col min="4100" max="4100" width="24.44140625" style="461" customWidth="1"/>
    <col min="4101" max="4101" width="14.5546875" style="461" customWidth="1"/>
    <col min="4102" max="4107" width="6.6640625" style="461"/>
    <col min="4108" max="4108" width="9.5546875" style="461" customWidth="1"/>
    <col min="4109" max="4109" width="12.44140625" style="461" customWidth="1"/>
    <col min="4110" max="4355" width="6.6640625" style="461"/>
    <col min="4356" max="4356" width="24.44140625" style="461" customWidth="1"/>
    <col min="4357" max="4357" width="14.5546875" style="461" customWidth="1"/>
    <col min="4358" max="4363" width="6.6640625" style="461"/>
    <col min="4364" max="4364" width="9.5546875" style="461" customWidth="1"/>
    <col min="4365" max="4365" width="12.44140625" style="461" customWidth="1"/>
    <col min="4366" max="4611" width="6.6640625" style="461"/>
    <col min="4612" max="4612" width="24.44140625" style="461" customWidth="1"/>
    <col min="4613" max="4613" width="14.5546875" style="461" customWidth="1"/>
    <col min="4614" max="4619" width="6.6640625" style="461"/>
    <col min="4620" max="4620" width="9.5546875" style="461" customWidth="1"/>
    <col min="4621" max="4621" width="12.44140625" style="461" customWidth="1"/>
    <col min="4622" max="4867" width="6.6640625" style="461"/>
    <col min="4868" max="4868" width="24.44140625" style="461" customWidth="1"/>
    <col min="4869" max="4869" width="14.5546875" style="461" customWidth="1"/>
    <col min="4870" max="4875" width="6.6640625" style="461"/>
    <col min="4876" max="4876" width="9.5546875" style="461" customWidth="1"/>
    <col min="4877" max="4877" width="12.44140625" style="461" customWidth="1"/>
    <col min="4878" max="5123" width="6.6640625" style="461"/>
    <col min="5124" max="5124" width="24.44140625" style="461" customWidth="1"/>
    <col min="5125" max="5125" width="14.5546875" style="461" customWidth="1"/>
    <col min="5126" max="5131" width="6.6640625" style="461"/>
    <col min="5132" max="5132" width="9.5546875" style="461" customWidth="1"/>
    <col min="5133" max="5133" width="12.44140625" style="461" customWidth="1"/>
    <col min="5134" max="5379" width="6.6640625" style="461"/>
    <col min="5380" max="5380" width="24.44140625" style="461" customWidth="1"/>
    <col min="5381" max="5381" width="14.5546875" style="461" customWidth="1"/>
    <col min="5382" max="5387" width="6.6640625" style="461"/>
    <col min="5388" max="5388" width="9.5546875" style="461" customWidth="1"/>
    <col min="5389" max="5389" width="12.44140625" style="461" customWidth="1"/>
    <col min="5390" max="5635" width="6.6640625" style="461"/>
    <col min="5636" max="5636" width="24.44140625" style="461" customWidth="1"/>
    <col min="5637" max="5637" width="14.5546875" style="461" customWidth="1"/>
    <col min="5638" max="5643" width="6.6640625" style="461"/>
    <col min="5644" max="5644" width="9.5546875" style="461" customWidth="1"/>
    <col min="5645" max="5645" width="12.44140625" style="461" customWidth="1"/>
    <col min="5646" max="5891" width="6.6640625" style="461"/>
    <col min="5892" max="5892" width="24.44140625" style="461" customWidth="1"/>
    <col min="5893" max="5893" width="14.5546875" style="461" customWidth="1"/>
    <col min="5894" max="5899" width="6.6640625" style="461"/>
    <col min="5900" max="5900" width="9.5546875" style="461" customWidth="1"/>
    <col min="5901" max="5901" width="12.44140625" style="461" customWidth="1"/>
    <col min="5902" max="6147" width="6.6640625" style="461"/>
    <col min="6148" max="6148" width="24.44140625" style="461" customWidth="1"/>
    <col min="6149" max="6149" width="14.5546875" style="461" customWidth="1"/>
    <col min="6150" max="6155" width="6.6640625" style="461"/>
    <col min="6156" max="6156" width="9.5546875" style="461" customWidth="1"/>
    <col min="6157" max="6157" width="12.44140625" style="461" customWidth="1"/>
    <col min="6158" max="6403" width="6.6640625" style="461"/>
    <col min="6404" max="6404" width="24.44140625" style="461" customWidth="1"/>
    <col min="6405" max="6405" width="14.5546875" style="461" customWidth="1"/>
    <col min="6406" max="6411" width="6.6640625" style="461"/>
    <col min="6412" max="6412" width="9.5546875" style="461" customWidth="1"/>
    <col min="6413" max="6413" width="12.44140625" style="461" customWidth="1"/>
    <col min="6414" max="6659" width="6.6640625" style="461"/>
    <col min="6660" max="6660" width="24.44140625" style="461" customWidth="1"/>
    <col min="6661" max="6661" width="14.5546875" style="461" customWidth="1"/>
    <col min="6662" max="6667" width="6.6640625" style="461"/>
    <col min="6668" max="6668" width="9.5546875" style="461" customWidth="1"/>
    <col min="6669" max="6669" width="12.44140625" style="461" customWidth="1"/>
    <col min="6670" max="6915" width="6.6640625" style="461"/>
    <col min="6916" max="6916" width="24.44140625" style="461" customWidth="1"/>
    <col min="6917" max="6917" width="14.5546875" style="461" customWidth="1"/>
    <col min="6918" max="6923" width="6.6640625" style="461"/>
    <col min="6924" max="6924" width="9.5546875" style="461" customWidth="1"/>
    <col min="6925" max="6925" width="12.44140625" style="461" customWidth="1"/>
    <col min="6926" max="7171" width="6.6640625" style="461"/>
    <col min="7172" max="7172" width="24.44140625" style="461" customWidth="1"/>
    <col min="7173" max="7173" width="14.5546875" style="461" customWidth="1"/>
    <col min="7174" max="7179" width="6.6640625" style="461"/>
    <col min="7180" max="7180" width="9.5546875" style="461" customWidth="1"/>
    <col min="7181" max="7181" width="12.44140625" style="461" customWidth="1"/>
    <col min="7182" max="7427" width="6.6640625" style="461"/>
    <col min="7428" max="7428" width="24.44140625" style="461" customWidth="1"/>
    <col min="7429" max="7429" width="14.5546875" style="461" customWidth="1"/>
    <col min="7430" max="7435" width="6.6640625" style="461"/>
    <col min="7436" max="7436" width="9.5546875" style="461" customWidth="1"/>
    <col min="7437" max="7437" width="12.44140625" style="461" customWidth="1"/>
    <col min="7438" max="7683" width="6.6640625" style="461"/>
    <col min="7684" max="7684" width="24.44140625" style="461" customWidth="1"/>
    <col min="7685" max="7685" width="14.5546875" style="461" customWidth="1"/>
    <col min="7686" max="7691" width="6.6640625" style="461"/>
    <col min="7692" max="7692" width="9.5546875" style="461" customWidth="1"/>
    <col min="7693" max="7693" width="12.44140625" style="461" customWidth="1"/>
    <col min="7694" max="7939" width="6.6640625" style="461"/>
    <col min="7940" max="7940" width="24.44140625" style="461" customWidth="1"/>
    <col min="7941" max="7941" width="14.5546875" style="461" customWidth="1"/>
    <col min="7942" max="7947" width="6.6640625" style="461"/>
    <col min="7948" max="7948" width="9.5546875" style="461" customWidth="1"/>
    <col min="7949" max="7949" width="12.44140625" style="461" customWidth="1"/>
    <col min="7950" max="8195" width="6.6640625" style="461"/>
    <col min="8196" max="8196" width="24.44140625" style="461" customWidth="1"/>
    <col min="8197" max="8197" width="14.5546875" style="461" customWidth="1"/>
    <col min="8198" max="8203" width="6.6640625" style="461"/>
    <col min="8204" max="8204" width="9.5546875" style="461" customWidth="1"/>
    <col min="8205" max="8205" width="12.44140625" style="461" customWidth="1"/>
    <col min="8206" max="8451" width="6.6640625" style="461"/>
    <col min="8452" max="8452" width="24.44140625" style="461" customWidth="1"/>
    <col min="8453" max="8453" width="14.5546875" style="461" customWidth="1"/>
    <col min="8454" max="8459" width="6.6640625" style="461"/>
    <col min="8460" max="8460" width="9.5546875" style="461" customWidth="1"/>
    <col min="8461" max="8461" width="12.44140625" style="461" customWidth="1"/>
    <col min="8462" max="8707" width="6.6640625" style="461"/>
    <col min="8708" max="8708" width="24.44140625" style="461" customWidth="1"/>
    <col min="8709" max="8709" width="14.5546875" style="461" customWidth="1"/>
    <col min="8710" max="8715" width="6.6640625" style="461"/>
    <col min="8716" max="8716" width="9.5546875" style="461" customWidth="1"/>
    <col min="8717" max="8717" width="12.44140625" style="461" customWidth="1"/>
    <col min="8718" max="8963" width="6.6640625" style="461"/>
    <col min="8964" max="8964" width="24.44140625" style="461" customWidth="1"/>
    <col min="8965" max="8965" width="14.5546875" style="461" customWidth="1"/>
    <col min="8966" max="8971" width="6.6640625" style="461"/>
    <col min="8972" max="8972" width="9.5546875" style="461" customWidth="1"/>
    <col min="8973" max="8973" width="12.44140625" style="461" customWidth="1"/>
    <col min="8974" max="9219" width="6.6640625" style="461"/>
    <col min="9220" max="9220" width="24.44140625" style="461" customWidth="1"/>
    <col min="9221" max="9221" width="14.5546875" style="461" customWidth="1"/>
    <col min="9222" max="9227" width="6.6640625" style="461"/>
    <col min="9228" max="9228" width="9.5546875" style="461" customWidth="1"/>
    <col min="9229" max="9229" width="12.44140625" style="461" customWidth="1"/>
    <col min="9230" max="9475" width="6.6640625" style="461"/>
    <col min="9476" max="9476" width="24.44140625" style="461" customWidth="1"/>
    <col min="9477" max="9477" width="14.5546875" style="461" customWidth="1"/>
    <col min="9478" max="9483" width="6.6640625" style="461"/>
    <col min="9484" max="9484" width="9.5546875" style="461" customWidth="1"/>
    <col min="9485" max="9485" width="12.44140625" style="461" customWidth="1"/>
    <col min="9486" max="9731" width="6.6640625" style="461"/>
    <col min="9732" max="9732" width="24.44140625" style="461" customWidth="1"/>
    <col min="9733" max="9733" width="14.5546875" style="461" customWidth="1"/>
    <col min="9734" max="9739" width="6.6640625" style="461"/>
    <col min="9740" max="9740" width="9.5546875" style="461" customWidth="1"/>
    <col min="9741" max="9741" width="12.44140625" style="461" customWidth="1"/>
    <col min="9742" max="9987" width="6.6640625" style="461"/>
    <col min="9988" max="9988" width="24.44140625" style="461" customWidth="1"/>
    <col min="9989" max="9989" width="14.5546875" style="461" customWidth="1"/>
    <col min="9990" max="9995" width="6.6640625" style="461"/>
    <col min="9996" max="9996" width="9.5546875" style="461" customWidth="1"/>
    <col min="9997" max="9997" width="12.44140625" style="461" customWidth="1"/>
    <col min="9998" max="10243" width="6.6640625" style="461"/>
    <col min="10244" max="10244" width="24.44140625" style="461" customWidth="1"/>
    <col min="10245" max="10245" width="14.5546875" style="461" customWidth="1"/>
    <col min="10246" max="10251" width="6.6640625" style="461"/>
    <col min="10252" max="10252" width="9.5546875" style="461" customWidth="1"/>
    <col min="10253" max="10253" width="12.44140625" style="461" customWidth="1"/>
    <col min="10254" max="10499" width="6.6640625" style="461"/>
    <col min="10500" max="10500" width="24.44140625" style="461" customWidth="1"/>
    <col min="10501" max="10501" width="14.5546875" style="461" customWidth="1"/>
    <col min="10502" max="10507" width="6.6640625" style="461"/>
    <col min="10508" max="10508" width="9.5546875" style="461" customWidth="1"/>
    <col min="10509" max="10509" width="12.44140625" style="461" customWidth="1"/>
    <col min="10510" max="10755" width="6.6640625" style="461"/>
    <col min="10756" max="10756" width="24.44140625" style="461" customWidth="1"/>
    <col min="10757" max="10757" width="14.5546875" style="461" customWidth="1"/>
    <col min="10758" max="10763" width="6.6640625" style="461"/>
    <col min="10764" max="10764" width="9.5546875" style="461" customWidth="1"/>
    <col min="10765" max="10765" width="12.44140625" style="461" customWidth="1"/>
    <col min="10766" max="11011" width="6.6640625" style="461"/>
    <col min="11012" max="11012" width="24.44140625" style="461" customWidth="1"/>
    <col min="11013" max="11013" width="14.5546875" style="461" customWidth="1"/>
    <col min="11014" max="11019" width="6.6640625" style="461"/>
    <col min="11020" max="11020" width="9.5546875" style="461" customWidth="1"/>
    <col min="11021" max="11021" width="12.44140625" style="461" customWidth="1"/>
    <col min="11022" max="11267" width="6.6640625" style="461"/>
    <col min="11268" max="11268" width="24.44140625" style="461" customWidth="1"/>
    <col min="11269" max="11269" width="14.5546875" style="461" customWidth="1"/>
    <col min="11270" max="11275" width="6.6640625" style="461"/>
    <col min="11276" max="11276" width="9.5546875" style="461" customWidth="1"/>
    <col min="11277" max="11277" width="12.44140625" style="461" customWidth="1"/>
    <col min="11278" max="11523" width="6.6640625" style="461"/>
    <col min="11524" max="11524" width="24.44140625" style="461" customWidth="1"/>
    <col min="11525" max="11525" width="14.5546875" style="461" customWidth="1"/>
    <col min="11526" max="11531" width="6.6640625" style="461"/>
    <col min="11532" max="11532" width="9.5546875" style="461" customWidth="1"/>
    <col min="11533" max="11533" width="12.44140625" style="461" customWidth="1"/>
    <col min="11534" max="11779" width="6.6640625" style="461"/>
    <col min="11780" max="11780" width="24.44140625" style="461" customWidth="1"/>
    <col min="11781" max="11781" width="14.5546875" style="461" customWidth="1"/>
    <col min="11782" max="11787" width="6.6640625" style="461"/>
    <col min="11788" max="11788" width="9.5546875" style="461" customWidth="1"/>
    <col min="11789" max="11789" width="12.44140625" style="461" customWidth="1"/>
    <col min="11790" max="12035" width="6.6640625" style="461"/>
    <col min="12036" max="12036" width="24.44140625" style="461" customWidth="1"/>
    <col min="12037" max="12037" width="14.5546875" style="461" customWidth="1"/>
    <col min="12038" max="12043" width="6.6640625" style="461"/>
    <col min="12044" max="12044" width="9.5546875" style="461" customWidth="1"/>
    <col min="12045" max="12045" width="12.44140625" style="461" customWidth="1"/>
    <col min="12046" max="12291" width="6.6640625" style="461"/>
    <col min="12292" max="12292" width="24.44140625" style="461" customWidth="1"/>
    <col min="12293" max="12293" width="14.5546875" style="461" customWidth="1"/>
    <col min="12294" max="12299" width="6.6640625" style="461"/>
    <col min="12300" max="12300" width="9.5546875" style="461" customWidth="1"/>
    <col min="12301" max="12301" width="12.44140625" style="461" customWidth="1"/>
    <col min="12302" max="12547" width="6.6640625" style="461"/>
    <col min="12548" max="12548" width="24.44140625" style="461" customWidth="1"/>
    <col min="12549" max="12549" width="14.5546875" style="461" customWidth="1"/>
    <col min="12550" max="12555" width="6.6640625" style="461"/>
    <col min="12556" max="12556" width="9.5546875" style="461" customWidth="1"/>
    <col min="12557" max="12557" width="12.44140625" style="461" customWidth="1"/>
    <col min="12558" max="12803" width="6.6640625" style="461"/>
    <col min="12804" max="12804" width="24.44140625" style="461" customWidth="1"/>
    <col min="12805" max="12805" width="14.5546875" style="461" customWidth="1"/>
    <col min="12806" max="12811" width="6.6640625" style="461"/>
    <col min="12812" max="12812" width="9.5546875" style="461" customWidth="1"/>
    <col min="12813" max="12813" width="12.44140625" style="461" customWidth="1"/>
    <col min="12814" max="13059" width="6.6640625" style="461"/>
    <col min="13060" max="13060" width="24.44140625" style="461" customWidth="1"/>
    <col min="13061" max="13061" width="14.5546875" style="461" customWidth="1"/>
    <col min="13062" max="13067" width="6.6640625" style="461"/>
    <col min="13068" max="13068" width="9.5546875" style="461" customWidth="1"/>
    <col min="13069" max="13069" width="12.44140625" style="461" customWidth="1"/>
    <col min="13070" max="13315" width="6.6640625" style="461"/>
    <col min="13316" max="13316" width="24.44140625" style="461" customWidth="1"/>
    <col min="13317" max="13317" width="14.5546875" style="461" customWidth="1"/>
    <col min="13318" max="13323" width="6.6640625" style="461"/>
    <col min="13324" max="13324" width="9.5546875" style="461" customWidth="1"/>
    <col min="13325" max="13325" width="12.44140625" style="461" customWidth="1"/>
    <col min="13326" max="13571" width="6.6640625" style="461"/>
    <col min="13572" max="13572" width="24.44140625" style="461" customWidth="1"/>
    <col min="13573" max="13573" width="14.5546875" style="461" customWidth="1"/>
    <col min="13574" max="13579" width="6.6640625" style="461"/>
    <col min="13580" max="13580" width="9.5546875" style="461" customWidth="1"/>
    <col min="13581" max="13581" width="12.44140625" style="461" customWidth="1"/>
    <col min="13582" max="13827" width="6.6640625" style="461"/>
    <col min="13828" max="13828" width="24.44140625" style="461" customWidth="1"/>
    <col min="13829" max="13829" width="14.5546875" style="461" customWidth="1"/>
    <col min="13830" max="13835" width="6.6640625" style="461"/>
    <col min="13836" max="13836" width="9.5546875" style="461" customWidth="1"/>
    <col min="13837" max="13837" width="12.44140625" style="461" customWidth="1"/>
    <col min="13838" max="14083" width="6.6640625" style="461"/>
    <col min="14084" max="14084" width="24.44140625" style="461" customWidth="1"/>
    <col min="14085" max="14085" width="14.5546875" style="461" customWidth="1"/>
    <col min="14086" max="14091" width="6.6640625" style="461"/>
    <col min="14092" max="14092" width="9.5546875" style="461" customWidth="1"/>
    <col min="14093" max="14093" width="12.44140625" style="461" customWidth="1"/>
    <col min="14094" max="14339" width="6.6640625" style="461"/>
    <col min="14340" max="14340" width="24.44140625" style="461" customWidth="1"/>
    <col min="14341" max="14341" width="14.5546875" style="461" customWidth="1"/>
    <col min="14342" max="14347" width="6.6640625" style="461"/>
    <col min="14348" max="14348" width="9.5546875" style="461" customWidth="1"/>
    <col min="14349" max="14349" width="12.44140625" style="461" customWidth="1"/>
    <col min="14350" max="14595" width="6.6640625" style="461"/>
    <col min="14596" max="14596" width="24.44140625" style="461" customWidth="1"/>
    <col min="14597" max="14597" width="14.5546875" style="461" customWidth="1"/>
    <col min="14598" max="14603" width="6.6640625" style="461"/>
    <col min="14604" max="14604" width="9.5546875" style="461" customWidth="1"/>
    <col min="14605" max="14605" width="12.44140625" style="461" customWidth="1"/>
    <col min="14606" max="14851" width="6.6640625" style="461"/>
    <col min="14852" max="14852" width="24.44140625" style="461" customWidth="1"/>
    <col min="14853" max="14853" width="14.5546875" style="461" customWidth="1"/>
    <col min="14854" max="14859" width="6.6640625" style="461"/>
    <col min="14860" max="14860" width="9.5546875" style="461" customWidth="1"/>
    <col min="14861" max="14861" width="12.44140625" style="461" customWidth="1"/>
    <col min="14862" max="15107" width="6.6640625" style="461"/>
    <col min="15108" max="15108" width="24.44140625" style="461" customWidth="1"/>
    <col min="15109" max="15109" width="14.5546875" style="461" customWidth="1"/>
    <col min="15110" max="15115" width="6.6640625" style="461"/>
    <col min="15116" max="15116" width="9.5546875" style="461" customWidth="1"/>
    <col min="15117" max="15117" width="12.44140625" style="461" customWidth="1"/>
    <col min="15118" max="15363" width="6.6640625" style="461"/>
    <col min="15364" max="15364" width="24.44140625" style="461" customWidth="1"/>
    <col min="15365" max="15365" width="14.5546875" style="461" customWidth="1"/>
    <col min="15366" max="15371" width="6.6640625" style="461"/>
    <col min="15372" max="15372" width="9.5546875" style="461" customWidth="1"/>
    <col min="15373" max="15373" width="12.44140625" style="461" customWidth="1"/>
    <col min="15374" max="15619" width="6.6640625" style="461"/>
    <col min="15620" max="15620" width="24.44140625" style="461" customWidth="1"/>
    <col min="15621" max="15621" width="14.5546875" style="461" customWidth="1"/>
    <col min="15622" max="15627" width="6.6640625" style="461"/>
    <col min="15628" max="15628" width="9.5546875" style="461" customWidth="1"/>
    <col min="15629" max="15629" width="12.44140625" style="461" customWidth="1"/>
    <col min="15630" max="15875" width="6.6640625" style="461"/>
    <col min="15876" max="15876" width="24.44140625" style="461" customWidth="1"/>
    <col min="15877" max="15877" width="14.5546875" style="461" customWidth="1"/>
    <col min="15878" max="15883" width="6.6640625" style="461"/>
    <col min="15884" max="15884" width="9.5546875" style="461" customWidth="1"/>
    <col min="15885" max="15885" width="12.44140625" style="461" customWidth="1"/>
    <col min="15886" max="16131" width="6.6640625" style="461"/>
    <col min="16132" max="16132" width="24.44140625" style="461" customWidth="1"/>
    <col min="16133" max="16133" width="14.5546875" style="461" customWidth="1"/>
    <col min="16134" max="16139" width="6.6640625" style="461"/>
    <col min="16140" max="16140" width="9.5546875" style="461" customWidth="1"/>
    <col min="16141" max="16141" width="12.44140625" style="461" customWidth="1"/>
    <col min="16142" max="16384" width="6.6640625" style="461"/>
  </cols>
  <sheetData>
    <row r="1" spans="1:14">
      <c r="B1" s="499" t="s">
        <v>8</v>
      </c>
    </row>
    <row r="2" spans="1:14" s="500" customFormat="1" ht="15.75" thickBot="1">
      <c r="B2" s="501" t="s">
        <v>9</v>
      </c>
    </row>
    <row r="3" spans="1:14" ht="25.5">
      <c r="K3" s="502"/>
      <c r="L3" s="503" t="s">
        <v>10</v>
      </c>
      <c r="M3" s="504" t="s">
        <v>11</v>
      </c>
    </row>
    <row r="4" spans="1:14" s="505" customFormat="1">
      <c r="A4" s="505">
        <v>105</v>
      </c>
      <c r="B4" s="505" t="s">
        <v>12</v>
      </c>
      <c r="C4" s="505" t="s">
        <v>13</v>
      </c>
      <c r="D4" s="505" t="s">
        <v>123</v>
      </c>
      <c r="E4" s="505" t="s">
        <v>256</v>
      </c>
      <c r="F4" s="505">
        <v>2006</v>
      </c>
      <c r="G4" s="505">
        <v>1</v>
      </c>
      <c r="H4" s="505" t="s">
        <v>165</v>
      </c>
      <c r="I4" s="505">
        <v>62.5</v>
      </c>
      <c r="K4" s="506">
        <v>2006</v>
      </c>
      <c r="L4" s="507">
        <f>SUM(I4:I7)</f>
        <v>268.60000000000002</v>
      </c>
      <c r="M4" s="508">
        <f t="shared" ref="M4:M9" si="0">L4*3</f>
        <v>805.80000000000007</v>
      </c>
    </row>
    <row r="5" spans="1:14" s="505" customFormat="1">
      <c r="A5" s="505">
        <v>105</v>
      </c>
      <c r="B5" s="505" t="s">
        <v>12</v>
      </c>
      <c r="C5" s="505" t="s">
        <v>13</v>
      </c>
      <c r="D5" s="505" t="s">
        <v>123</v>
      </c>
      <c r="E5" s="505" t="s">
        <v>256</v>
      </c>
      <c r="F5" s="505">
        <v>2006</v>
      </c>
      <c r="G5" s="505">
        <v>3</v>
      </c>
      <c r="H5" s="505" t="s">
        <v>166</v>
      </c>
      <c r="I5" s="505">
        <v>59.2</v>
      </c>
      <c r="K5" s="506">
        <v>2007</v>
      </c>
      <c r="L5" s="507">
        <f>SUM(I8:I11)</f>
        <v>281.0999999999998</v>
      </c>
      <c r="M5" s="508">
        <f t="shared" si="0"/>
        <v>843.29999999999939</v>
      </c>
      <c r="N5" s="322"/>
    </row>
    <row r="6" spans="1:14" s="505" customFormat="1">
      <c r="A6" s="505">
        <v>105</v>
      </c>
      <c r="B6" s="505" t="s">
        <v>12</v>
      </c>
      <c r="C6" s="505" t="s">
        <v>13</v>
      </c>
      <c r="D6" s="505" t="s">
        <v>123</v>
      </c>
      <c r="E6" s="505" t="s">
        <v>256</v>
      </c>
      <c r="F6" s="505">
        <v>2006</v>
      </c>
      <c r="G6" s="505">
        <v>10</v>
      </c>
      <c r="H6" s="505" t="s">
        <v>167</v>
      </c>
      <c r="I6" s="505">
        <v>69.7</v>
      </c>
      <c r="K6" s="506">
        <v>2008</v>
      </c>
      <c r="L6" s="507">
        <f>SUM(I12:I15)</f>
        <v>305.29999999999984</v>
      </c>
      <c r="M6" s="508">
        <f t="shared" si="0"/>
        <v>915.89999999999952</v>
      </c>
    </row>
    <row r="7" spans="1:14" s="505" customFormat="1">
      <c r="A7" s="505">
        <v>105</v>
      </c>
      <c r="B7" s="505" t="s">
        <v>12</v>
      </c>
      <c r="C7" s="505" t="s">
        <v>13</v>
      </c>
      <c r="D7" s="505" t="s">
        <v>123</v>
      </c>
      <c r="E7" s="505" t="s">
        <v>256</v>
      </c>
      <c r="F7" s="505">
        <v>2006</v>
      </c>
      <c r="G7" s="505">
        <v>12</v>
      </c>
      <c r="H7" s="505" t="s">
        <v>168</v>
      </c>
      <c r="I7" s="505">
        <v>77.2</v>
      </c>
      <c r="K7" s="506">
        <v>2009</v>
      </c>
      <c r="L7" s="507">
        <f>SUM(I16:I19)</f>
        <v>278.09999999999997</v>
      </c>
      <c r="M7" s="508">
        <f t="shared" si="0"/>
        <v>834.3</v>
      </c>
    </row>
    <row r="8" spans="1:14" s="505" customFormat="1">
      <c r="A8" s="505">
        <v>105</v>
      </c>
      <c r="B8" s="505" t="s">
        <v>12</v>
      </c>
      <c r="C8" s="505" t="s">
        <v>13</v>
      </c>
      <c r="D8" s="505" t="s">
        <v>123</v>
      </c>
      <c r="E8" s="505" t="s">
        <v>256</v>
      </c>
      <c r="F8" s="505">
        <v>2007</v>
      </c>
      <c r="G8" s="505">
        <v>1</v>
      </c>
      <c r="H8" s="505" t="s">
        <v>165</v>
      </c>
      <c r="I8" s="505">
        <v>57.899999999999899</v>
      </c>
      <c r="K8" s="506">
        <v>2010</v>
      </c>
      <c r="L8" s="507">
        <f>SUM(I20:I23)</f>
        <v>265.69999999999993</v>
      </c>
      <c r="M8" s="508">
        <f t="shared" si="0"/>
        <v>797.0999999999998</v>
      </c>
    </row>
    <row r="9" spans="1:14" s="505" customFormat="1">
      <c r="A9" s="505">
        <v>105</v>
      </c>
      <c r="B9" s="505" t="s">
        <v>12</v>
      </c>
      <c r="C9" s="505" t="s">
        <v>13</v>
      </c>
      <c r="D9" s="505" t="s">
        <v>123</v>
      </c>
      <c r="E9" s="505" t="s">
        <v>256</v>
      </c>
      <c r="F9" s="505">
        <v>2007</v>
      </c>
      <c r="G9" s="505">
        <v>3</v>
      </c>
      <c r="H9" s="505" t="s">
        <v>166</v>
      </c>
      <c r="I9" s="505">
        <v>66.400000000000006</v>
      </c>
      <c r="K9" s="506">
        <v>2011</v>
      </c>
      <c r="L9" s="507">
        <f>SUM(I24:I27)</f>
        <v>248.89999999999969</v>
      </c>
      <c r="M9" s="508">
        <f t="shared" si="0"/>
        <v>746.69999999999914</v>
      </c>
    </row>
    <row r="10" spans="1:14" s="505" customFormat="1">
      <c r="A10" s="505">
        <v>105</v>
      </c>
      <c r="B10" s="505" t="s">
        <v>12</v>
      </c>
      <c r="C10" s="505" t="s">
        <v>13</v>
      </c>
      <c r="D10" s="505" t="s">
        <v>123</v>
      </c>
      <c r="E10" s="505" t="s">
        <v>256</v>
      </c>
      <c r="F10" s="505">
        <v>2007</v>
      </c>
      <c r="G10" s="505">
        <v>10</v>
      </c>
      <c r="H10" s="505" t="s">
        <v>167</v>
      </c>
      <c r="I10" s="505">
        <v>77.599999999999895</v>
      </c>
      <c r="K10" s="509" t="s">
        <v>187</v>
      </c>
      <c r="L10" s="510"/>
      <c r="M10" s="511">
        <f>AVERAGE(M4:M9)</f>
        <v>823.84999999999957</v>
      </c>
    </row>
    <row r="11" spans="1:14" s="505" customFormat="1">
      <c r="A11" s="505">
        <v>105</v>
      </c>
      <c r="B11" s="505" t="s">
        <v>12</v>
      </c>
      <c r="C11" s="505" t="s">
        <v>13</v>
      </c>
      <c r="D11" s="505" t="s">
        <v>123</v>
      </c>
      <c r="E11" s="505" t="s">
        <v>256</v>
      </c>
      <c r="F11" s="505">
        <v>2007</v>
      </c>
      <c r="G11" s="505">
        <v>12</v>
      </c>
      <c r="H11" s="505" t="s">
        <v>168</v>
      </c>
      <c r="I11" s="505">
        <v>79.2</v>
      </c>
      <c r="K11" s="512" t="s">
        <v>169</v>
      </c>
      <c r="L11" s="507"/>
      <c r="M11" s="513">
        <f>STDEV(M4:M9)</f>
        <v>56.487511894223182</v>
      </c>
    </row>
    <row r="12" spans="1:14" s="505" customFormat="1">
      <c r="A12" s="505">
        <v>105</v>
      </c>
      <c r="B12" s="505" t="s">
        <v>12</v>
      </c>
      <c r="C12" s="505" t="s">
        <v>13</v>
      </c>
      <c r="D12" s="505" t="s">
        <v>123</v>
      </c>
      <c r="E12" s="505" t="s">
        <v>256</v>
      </c>
      <c r="F12" s="505">
        <v>2008</v>
      </c>
      <c r="G12" s="505">
        <v>1</v>
      </c>
      <c r="H12" s="505" t="s">
        <v>165</v>
      </c>
      <c r="I12" s="505">
        <v>61.7</v>
      </c>
      <c r="K12" s="514" t="s">
        <v>170</v>
      </c>
      <c r="L12" s="515"/>
      <c r="M12" s="516">
        <f>M11/M10</f>
        <v>6.8565287241880449E-2</v>
      </c>
    </row>
    <row r="13" spans="1:14" s="505" customFormat="1">
      <c r="A13" s="505">
        <v>105</v>
      </c>
      <c r="B13" s="505" t="s">
        <v>12</v>
      </c>
      <c r="C13" s="505" t="s">
        <v>13</v>
      </c>
      <c r="D13" s="505" t="s">
        <v>123</v>
      </c>
      <c r="E13" s="505" t="s">
        <v>256</v>
      </c>
      <c r="F13" s="505">
        <v>2008</v>
      </c>
      <c r="G13" s="505">
        <v>3</v>
      </c>
      <c r="H13" s="505" t="s">
        <v>166</v>
      </c>
      <c r="I13" s="505">
        <v>73.900000000000006</v>
      </c>
      <c r="K13" s="506"/>
      <c r="L13" s="517"/>
      <c r="M13" s="518"/>
    </row>
    <row r="14" spans="1:14" s="505" customFormat="1">
      <c r="A14" s="505">
        <v>105</v>
      </c>
      <c r="B14" s="505" t="s">
        <v>12</v>
      </c>
      <c r="C14" s="505" t="s">
        <v>13</v>
      </c>
      <c r="D14" s="505" t="s">
        <v>123</v>
      </c>
      <c r="E14" s="505" t="s">
        <v>256</v>
      </c>
      <c r="F14" s="505">
        <v>2008</v>
      </c>
      <c r="G14" s="505">
        <v>10</v>
      </c>
      <c r="H14" s="505" t="s">
        <v>167</v>
      </c>
      <c r="I14" s="505">
        <v>75.099999999999895</v>
      </c>
      <c r="K14" s="519" t="s">
        <v>136</v>
      </c>
      <c r="L14" s="507"/>
      <c r="M14" s="508">
        <f>AVERAGE(I30:I39)</f>
        <v>62.7</v>
      </c>
    </row>
    <row r="15" spans="1:14" s="505" customFormat="1">
      <c r="A15" s="505">
        <v>105</v>
      </c>
      <c r="B15" s="505" t="s">
        <v>12</v>
      </c>
      <c r="C15" s="505" t="s">
        <v>13</v>
      </c>
      <c r="D15" s="505" t="s">
        <v>123</v>
      </c>
      <c r="E15" s="505" t="s">
        <v>256</v>
      </c>
      <c r="F15" s="505">
        <v>2008</v>
      </c>
      <c r="G15" s="505">
        <v>12</v>
      </c>
      <c r="H15" s="505" t="s">
        <v>168</v>
      </c>
      <c r="I15" s="505">
        <v>94.599999999999895</v>
      </c>
      <c r="K15" s="520"/>
      <c r="L15" s="515" t="s">
        <v>26</v>
      </c>
      <c r="M15" s="521">
        <f>STDEV((I30:I39))</f>
        <v>3.4334951418181578</v>
      </c>
    </row>
    <row r="16" spans="1:14" s="505" customFormat="1">
      <c r="A16" s="505">
        <v>105</v>
      </c>
      <c r="B16" s="505" t="s">
        <v>12</v>
      </c>
      <c r="C16" s="505" t="s">
        <v>13</v>
      </c>
      <c r="D16" s="505" t="s">
        <v>123</v>
      </c>
      <c r="E16" s="505" t="s">
        <v>256</v>
      </c>
      <c r="F16" s="505">
        <v>2009</v>
      </c>
      <c r="G16" s="505">
        <v>1</v>
      </c>
      <c r="H16" s="505" t="s">
        <v>165</v>
      </c>
      <c r="I16" s="505">
        <v>58.7</v>
      </c>
    </row>
    <row r="17" spans="1:13" s="505" customFormat="1">
      <c r="A17" s="505">
        <v>105</v>
      </c>
      <c r="B17" s="505" t="s">
        <v>12</v>
      </c>
      <c r="C17" s="505" t="s">
        <v>13</v>
      </c>
      <c r="D17" s="505" t="s">
        <v>123</v>
      </c>
      <c r="E17" s="505" t="s">
        <v>256</v>
      </c>
      <c r="F17" s="505">
        <v>2009</v>
      </c>
      <c r="G17" s="505">
        <v>3</v>
      </c>
      <c r="H17" s="505" t="s">
        <v>166</v>
      </c>
      <c r="I17" s="505">
        <v>70.5</v>
      </c>
    </row>
    <row r="18" spans="1:13" s="505" customFormat="1">
      <c r="A18" s="505">
        <v>105</v>
      </c>
      <c r="B18" s="505" t="s">
        <v>12</v>
      </c>
      <c r="C18" s="505" t="s">
        <v>13</v>
      </c>
      <c r="D18" s="505" t="s">
        <v>123</v>
      </c>
      <c r="E18" s="505" t="s">
        <v>256</v>
      </c>
      <c r="F18" s="505">
        <v>2009</v>
      </c>
      <c r="G18" s="505">
        <v>10</v>
      </c>
      <c r="H18" s="505" t="s">
        <v>167</v>
      </c>
      <c r="I18" s="505">
        <v>71.7</v>
      </c>
    </row>
    <row r="19" spans="1:13" s="505" customFormat="1">
      <c r="A19" s="505">
        <v>105</v>
      </c>
      <c r="B19" s="505" t="s">
        <v>12</v>
      </c>
      <c r="C19" s="505" t="s">
        <v>13</v>
      </c>
      <c r="D19" s="505" t="s">
        <v>123</v>
      </c>
      <c r="E19" s="505" t="s">
        <v>256</v>
      </c>
      <c r="F19" s="505">
        <v>2009</v>
      </c>
      <c r="G19" s="505">
        <v>12</v>
      </c>
      <c r="H19" s="505" t="s">
        <v>168</v>
      </c>
      <c r="I19" s="505">
        <v>77.2</v>
      </c>
    </row>
    <row r="20" spans="1:13" s="505" customFormat="1">
      <c r="A20" s="505">
        <v>105</v>
      </c>
      <c r="B20" s="505" t="s">
        <v>12</v>
      </c>
      <c r="C20" s="505" t="s">
        <v>13</v>
      </c>
      <c r="D20" s="505" t="s">
        <v>123</v>
      </c>
      <c r="E20" s="505" t="s">
        <v>256</v>
      </c>
      <c r="F20" s="505">
        <v>2010</v>
      </c>
      <c r="G20" s="505">
        <v>1</v>
      </c>
      <c r="H20" s="505" t="s">
        <v>165</v>
      </c>
      <c r="I20" s="505">
        <v>58.2</v>
      </c>
    </row>
    <row r="21" spans="1:13" s="505" customFormat="1">
      <c r="A21" s="505">
        <v>105</v>
      </c>
      <c r="B21" s="505" t="s">
        <v>12</v>
      </c>
      <c r="C21" s="505" t="s">
        <v>13</v>
      </c>
      <c r="D21" s="505" t="s">
        <v>123</v>
      </c>
      <c r="E21" s="505" t="s">
        <v>256</v>
      </c>
      <c r="F21" s="505">
        <v>2010</v>
      </c>
      <c r="G21" s="505">
        <v>3</v>
      </c>
      <c r="H21" s="505" t="s">
        <v>166</v>
      </c>
      <c r="I21" s="505">
        <v>69.400000000000006</v>
      </c>
    </row>
    <row r="22" spans="1:13" s="505" customFormat="1">
      <c r="A22" s="505">
        <v>105</v>
      </c>
      <c r="B22" s="505" t="s">
        <v>12</v>
      </c>
      <c r="C22" s="505" t="s">
        <v>13</v>
      </c>
      <c r="D22" s="505" t="s">
        <v>123</v>
      </c>
      <c r="E22" s="505" t="s">
        <v>256</v>
      </c>
      <c r="F22" s="505">
        <v>2010</v>
      </c>
      <c r="G22" s="505">
        <v>10</v>
      </c>
      <c r="H22" s="505" t="s">
        <v>167</v>
      </c>
      <c r="I22" s="505">
        <v>65</v>
      </c>
    </row>
    <row r="23" spans="1:13" s="505" customFormat="1">
      <c r="A23" s="505">
        <v>105</v>
      </c>
      <c r="B23" s="505" t="s">
        <v>12</v>
      </c>
      <c r="C23" s="505" t="s">
        <v>13</v>
      </c>
      <c r="D23" s="505" t="s">
        <v>123</v>
      </c>
      <c r="E23" s="505" t="s">
        <v>256</v>
      </c>
      <c r="F23" s="505">
        <v>2010</v>
      </c>
      <c r="G23" s="505">
        <v>12</v>
      </c>
      <c r="H23" s="505" t="s">
        <v>168</v>
      </c>
      <c r="I23" s="505">
        <v>73.099999999999895</v>
      </c>
    </row>
    <row r="24" spans="1:13" s="505" customFormat="1">
      <c r="A24" s="505">
        <v>105</v>
      </c>
      <c r="B24" s="505" t="s">
        <v>12</v>
      </c>
      <c r="C24" s="505" t="s">
        <v>13</v>
      </c>
      <c r="D24" s="505" t="s">
        <v>123</v>
      </c>
      <c r="E24" s="505" t="s">
        <v>256</v>
      </c>
      <c r="F24" s="505">
        <v>2011</v>
      </c>
      <c r="G24" s="505">
        <v>1</v>
      </c>
      <c r="H24" s="505" t="s">
        <v>165</v>
      </c>
      <c r="I24" s="505">
        <v>54.299999999999898</v>
      </c>
      <c r="L24" s="461"/>
      <c r="M24" s="461"/>
    </row>
    <row r="25" spans="1:13" s="505" customFormat="1">
      <c r="A25" s="505">
        <v>105</v>
      </c>
      <c r="B25" s="505" t="s">
        <v>12</v>
      </c>
      <c r="C25" s="505" t="s">
        <v>13</v>
      </c>
      <c r="D25" s="505" t="s">
        <v>123</v>
      </c>
      <c r="E25" s="505" t="s">
        <v>256</v>
      </c>
      <c r="F25" s="505">
        <v>2011</v>
      </c>
      <c r="G25" s="505">
        <v>3</v>
      </c>
      <c r="H25" s="505" t="s">
        <v>166</v>
      </c>
      <c r="I25" s="505">
        <v>55.299999999999898</v>
      </c>
      <c r="L25" s="461"/>
      <c r="M25" s="461"/>
    </row>
    <row r="26" spans="1:13" s="505" customFormat="1">
      <c r="A26" s="505">
        <v>105</v>
      </c>
      <c r="B26" s="505" t="s">
        <v>12</v>
      </c>
      <c r="C26" s="505" t="s">
        <v>13</v>
      </c>
      <c r="D26" s="505" t="s">
        <v>123</v>
      </c>
      <c r="E26" s="505" t="s">
        <v>256</v>
      </c>
      <c r="F26" s="505">
        <v>2011</v>
      </c>
      <c r="G26" s="505">
        <v>10</v>
      </c>
      <c r="H26" s="505" t="s">
        <v>167</v>
      </c>
      <c r="I26" s="505">
        <v>67.099999999999895</v>
      </c>
      <c r="L26" s="461"/>
      <c r="M26" s="461"/>
    </row>
    <row r="27" spans="1:13" s="505" customFormat="1">
      <c r="A27" s="505">
        <v>105</v>
      </c>
      <c r="B27" s="505" t="s">
        <v>12</v>
      </c>
      <c r="C27" s="505" t="s">
        <v>13</v>
      </c>
      <c r="D27" s="505" t="s">
        <v>123</v>
      </c>
      <c r="E27" s="505" t="s">
        <v>256</v>
      </c>
      <c r="F27" s="505">
        <v>2011</v>
      </c>
      <c r="G27" s="505">
        <v>12</v>
      </c>
      <c r="H27" s="505" t="s">
        <v>168</v>
      </c>
      <c r="I27" s="505">
        <v>72.2</v>
      </c>
      <c r="K27" s="356"/>
      <c r="L27" s="461"/>
      <c r="M27" s="461"/>
    </row>
    <row r="28" spans="1:13" s="356" customFormat="1">
      <c r="A28" s="356">
        <v>105</v>
      </c>
      <c r="B28" s="356" t="s">
        <v>12</v>
      </c>
      <c r="C28" s="356" t="s">
        <v>13</v>
      </c>
      <c r="D28" s="356" t="s">
        <v>123</v>
      </c>
      <c r="E28" s="356" t="s">
        <v>256</v>
      </c>
      <c r="F28" s="356">
        <v>2012</v>
      </c>
      <c r="G28" s="356">
        <v>1</v>
      </c>
      <c r="H28" s="356" t="s">
        <v>165</v>
      </c>
      <c r="I28" s="356">
        <v>57</v>
      </c>
      <c r="L28" s="461"/>
      <c r="M28" s="461"/>
    </row>
    <row r="29" spans="1:13" s="356" customFormat="1">
      <c r="A29" s="356">
        <v>105</v>
      </c>
      <c r="B29" s="356" t="s">
        <v>12</v>
      </c>
      <c r="C29" s="356" t="s">
        <v>13</v>
      </c>
      <c r="D29" s="356" t="s">
        <v>123</v>
      </c>
      <c r="E29" s="356" t="s">
        <v>256</v>
      </c>
      <c r="F29" s="356">
        <v>2012</v>
      </c>
      <c r="G29" s="356">
        <v>3</v>
      </c>
      <c r="H29" s="356" t="s">
        <v>166</v>
      </c>
      <c r="I29" s="356">
        <v>55.5</v>
      </c>
      <c r="K29" s="505"/>
      <c r="L29" s="461"/>
      <c r="M29" s="461"/>
    </row>
    <row r="30" spans="1:13" s="505" customFormat="1">
      <c r="A30" s="505">
        <v>105</v>
      </c>
      <c r="B30" s="505" t="s">
        <v>12</v>
      </c>
      <c r="C30" s="505" t="s">
        <v>13</v>
      </c>
      <c r="D30" s="505" t="s">
        <v>137</v>
      </c>
      <c r="E30" s="505" t="s">
        <v>138</v>
      </c>
      <c r="F30" s="505">
        <v>2006</v>
      </c>
      <c r="G30" s="505">
        <v>1</v>
      </c>
      <c r="H30" s="505" t="s">
        <v>165</v>
      </c>
      <c r="I30" s="505">
        <v>68</v>
      </c>
      <c r="L30" s="461"/>
      <c r="M30" s="461"/>
    </row>
    <row r="31" spans="1:13" s="505" customFormat="1">
      <c r="A31" s="505">
        <v>105</v>
      </c>
      <c r="B31" s="505" t="s">
        <v>12</v>
      </c>
      <c r="C31" s="505" t="s">
        <v>13</v>
      </c>
      <c r="D31" s="505" t="s">
        <v>137</v>
      </c>
      <c r="E31" s="505" t="s">
        <v>138</v>
      </c>
      <c r="F31" s="505">
        <v>2006</v>
      </c>
      <c r="G31" s="505">
        <v>3</v>
      </c>
      <c r="H31" s="505" t="s">
        <v>166</v>
      </c>
      <c r="I31" s="505">
        <v>68</v>
      </c>
      <c r="L31" s="461"/>
      <c r="M31" s="461"/>
    </row>
    <row r="32" spans="1:13" s="505" customFormat="1">
      <c r="A32" s="505">
        <v>105</v>
      </c>
      <c r="B32" s="505" t="s">
        <v>12</v>
      </c>
      <c r="C32" s="505" t="s">
        <v>13</v>
      </c>
      <c r="D32" s="505" t="s">
        <v>137</v>
      </c>
      <c r="E32" s="505" t="s">
        <v>138</v>
      </c>
      <c r="F32" s="505">
        <v>2006</v>
      </c>
      <c r="G32" s="505">
        <v>10</v>
      </c>
      <c r="H32" s="505" t="s">
        <v>167</v>
      </c>
      <c r="I32" s="505">
        <v>60</v>
      </c>
      <c r="L32" s="461"/>
      <c r="M32" s="461"/>
    </row>
    <row r="33" spans="1:14" s="505" customFormat="1">
      <c r="A33" s="505">
        <v>105</v>
      </c>
      <c r="B33" s="505" t="s">
        <v>12</v>
      </c>
      <c r="C33" s="505" t="s">
        <v>13</v>
      </c>
      <c r="D33" s="505" t="s">
        <v>137</v>
      </c>
      <c r="E33" s="505" t="s">
        <v>138</v>
      </c>
      <c r="F33" s="505">
        <v>2006</v>
      </c>
      <c r="G33" s="505">
        <v>12</v>
      </c>
      <c r="H33" s="505" t="s">
        <v>168</v>
      </c>
      <c r="I33" s="505">
        <v>64</v>
      </c>
      <c r="L33" s="461"/>
      <c r="M33" s="461"/>
    </row>
    <row r="34" spans="1:14" s="505" customFormat="1">
      <c r="A34" s="505">
        <v>105</v>
      </c>
      <c r="B34" s="505" t="s">
        <v>12</v>
      </c>
      <c r="C34" s="505" t="s">
        <v>13</v>
      </c>
      <c r="D34" s="505" t="s">
        <v>137</v>
      </c>
      <c r="E34" s="505" t="s">
        <v>138</v>
      </c>
      <c r="F34" s="505">
        <v>2007</v>
      </c>
      <c r="G34" s="505">
        <v>1</v>
      </c>
      <c r="H34" s="505" t="s">
        <v>165</v>
      </c>
      <c r="I34" s="505">
        <v>63</v>
      </c>
      <c r="L34" s="461"/>
      <c r="M34" s="461"/>
    </row>
    <row r="35" spans="1:14" s="505" customFormat="1">
      <c r="A35" s="505">
        <v>105</v>
      </c>
      <c r="B35" s="505" t="s">
        <v>12</v>
      </c>
      <c r="C35" s="505" t="s">
        <v>13</v>
      </c>
      <c r="D35" s="505" t="s">
        <v>137</v>
      </c>
      <c r="E35" s="505" t="s">
        <v>138</v>
      </c>
      <c r="F35" s="505">
        <v>2007</v>
      </c>
      <c r="G35" s="505">
        <v>3</v>
      </c>
      <c r="H35" s="505" t="s">
        <v>166</v>
      </c>
      <c r="I35" s="505">
        <v>58</v>
      </c>
      <c r="L35" s="461"/>
      <c r="M35" s="461"/>
    </row>
    <row r="36" spans="1:14" s="505" customFormat="1">
      <c r="A36" s="505">
        <v>105</v>
      </c>
      <c r="B36" s="505" t="s">
        <v>12</v>
      </c>
      <c r="C36" s="505" t="s">
        <v>13</v>
      </c>
      <c r="D36" s="505" t="s">
        <v>137</v>
      </c>
      <c r="E36" s="505" t="s">
        <v>138</v>
      </c>
      <c r="F36" s="505">
        <v>2007</v>
      </c>
      <c r="G36" s="505">
        <v>10</v>
      </c>
      <c r="H36" s="505" t="s">
        <v>167</v>
      </c>
      <c r="I36" s="505">
        <v>59</v>
      </c>
      <c r="L36" s="461"/>
      <c r="M36" s="461"/>
    </row>
    <row r="37" spans="1:14" s="505" customFormat="1">
      <c r="A37" s="505">
        <v>105</v>
      </c>
      <c r="B37" s="505" t="s">
        <v>12</v>
      </c>
      <c r="C37" s="505" t="s">
        <v>13</v>
      </c>
      <c r="D37" s="505" t="s">
        <v>137</v>
      </c>
      <c r="E37" s="505" t="s">
        <v>138</v>
      </c>
      <c r="F37" s="505">
        <v>2007</v>
      </c>
      <c r="G37" s="505">
        <v>12</v>
      </c>
      <c r="H37" s="505" t="s">
        <v>168</v>
      </c>
      <c r="I37" s="505">
        <v>62</v>
      </c>
      <c r="L37" s="461"/>
      <c r="M37" s="461"/>
    </row>
    <row r="38" spans="1:14" s="505" customFormat="1">
      <c r="A38" s="505">
        <v>105</v>
      </c>
      <c r="B38" s="505" t="s">
        <v>12</v>
      </c>
      <c r="C38" s="505" t="s">
        <v>13</v>
      </c>
      <c r="D38" s="505" t="s">
        <v>137</v>
      </c>
      <c r="E38" s="505" t="s">
        <v>138</v>
      </c>
      <c r="F38" s="505">
        <v>2008</v>
      </c>
      <c r="G38" s="505">
        <v>1</v>
      </c>
      <c r="H38" s="505" t="s">
        <v>165</v>
      </c>
      <c r="I38" s="505">
        <v>64</v>
      </c>
      <c r="L38" s="461"/>
      <c r="M38" s="461"/>
    </row>
    <row r="39" spans="1:14" s="505" customFormat="1">
      <c r="A39" s="505">
        <v>105</v>
      </c>
      <c r="B39" s="505" t="s">
        <v>12</v>
      </c>
      <c r="C39" s="505" t="s">
        <v>13</v>
      </c>
      <c r="D39" s="505" t="s">
        <v>137</v>
      </c>
      <c r="E39" s="505" t="s">
        <v>138</v>
      </c>
      <c r="F39" s="505">
        <v>2008</v>
      </c>
      <c r="G39" s="505">
        <v>3</v>
      </c>
      <c r="H39" s="505" t="s">
        <v>166</v>
      </c>
      <c r="I39" s="505">
        <v>61</v>
      </c>
      <c r="K39" s="461"/>
      <c r="L39" s="461"/>
      <c r="M39" s="461"/>
    </row>
    <row r="43" spans="1:14" s="505" customFormat="1" ht="26.25" customHeight="1">
      <c r="A43" s="1166" t="s">
        <v>43</v>
      </c>
      <c r="B43" s="1166"/>
      <c r="C43" s="1166"/>
      <c r="D43" s="1166"/>
      <c r="E43" s="1166"/>
      <c r="F43" s="1166"/>
      <c r="G43" s="1166"/>
    </row>
    <row r="44" spans="1:14" s="505" customFormat="1" ht="15.75" thickBot="1">
      <c r="A44" s="507" t="s">
        <v>44</v>
      </c>
      <c r="B44" s="507" t="s">
        <v>184</v>
      </c>
      <c r="C44" s="507" t="s">
        <v>45</v>
      </c>
      <c r="D44" s="507" t="s">
        <v>46</v>
      </c>
      <c r="E44" s="507" t="s">
        <v>47</v>
      </c>
      <c r="F44" s="507" t="s">
        <v>48</v>
      </c>
      <c r="G44" s="507" t="s">
        <v>49</v>
      </c>
      <c r="H44" s="507" t="s">
        <v>50</v>
      </c>
      <c r="I44" s="322"/>
    </row>
    <row r="45" spans="1:14" s="505" customFormat="1" ht="15.75" thickBot="1">
      <c r="A45" s="507" t="s">
        <v>51</v>
      </c>
      <c r="B45" s="507">
        <v>2002</v>
      </c>
      <c r="C45" s="507" t="s">
        <v>52</v>
      </c>
      <c r="D45" s="507"/>
      <c r="E45" s="507" t="s">
        <v>53</v>
      </c>
      <c r="F45" s="507" t="s">
        <v>54</v>
      </c>
      <c r="G45" s="507" t="s">
        <v>55</v>
      </c>
      <c r="H45" s="522">
        <v>2530466</v>
      </c>
      <c r="J45" s="523"/>
      <c r="K45" s="524"/>
      <c r="L45" s="525" t="s">
        <v>56</v>
      </c>
      <c r="M45" s="526" t="s">
        <v>169</v>
      </c>
      <c r="N45" s="527" t="s">
        <v>57</v>
      </c>
    </row>
    <row r="46" spans="1:14" s="505" customFormat="1">
      <c r="A46" s="507" t="s">
        <v>51</v>
      </c>
      <c r="B46" s="507">
        <v>2007</v>
      </c>
      <c r="C46" s="507" t="s">
        <v>52</v>
      </c>
      <c r="D46" s="507"/>
      <c r="E46" s="507" t="s">
        <v>53</v>
      </c>
      <c r="F46" s="507" t="s">
        <v>54</v>
      </c>
      <c r="G46" s="507" t="s">
        <v>55</v>
      </c>
      <c r="H46" s="522">
        <v>3140529</v>
      </c>
      <c r="J46" s="519" t="s">
        <v>58</v>
      </c>
      <c r="K46" s="507"/>
      <c r="L46" s="528">
        <f>AVERAGE(H45:H48)/1000000</f>
        <v>2.88224875</v>
      </c>
      <c r="M46" s="790">
        <f>STDEV(H45:H48)/1000000</f>
        <v>0.26064608794989297</v>
      </c>
      <c r="N46" s="529">
        <f>M46/(L46)*100</f>
        <v>9.0431503509158588</v>
      </c>
    </row>
    <row r="47" spans="1:14" s="505" customFormat="1">
      <c r="A47" s="507" t="s">
        <v>59</v>
      </c>
      <c r="B47" s="507">
        <v>2011</v>
      </c>
      <c r="C47" s="507" t="s">
        <v>60</v>
      </c>
      <c r="D47" s="507"/>
      <c r="E47" s="507" t="s">
        <v>53</v>
      </c>
      <c r="F47" s="507" t="s">
        <v>54</v>
      </c>
      <c r="G47" s="507" t="s">
        <v>55</v>
      </c>
      <c r="H47" s="522">
        <v>2996000</v>
      </c>
      <c r="J47" s="519" t="s">
        <v>61</v>
      </c>
      <c r="K47" s="507"/>
      <c r="L47" s="528">
        <f>AVERAGE(H57:H60)/1000000</f>
        <v>2.3401482499999999</v>
      </c>
      <c r="M47" s="791">
        <f>STDEV(H57:H60)/1000000</f>
        <v>0.28575311921584223</v>
      </c>
      <c r="N47" s="529">
        <f t="shared" ref="N47:N49" si="1">M47/(L47)*100</f>
        <v>12.210898143561726</v>
      </c>
    </row>
    <row r="48" spans="1:14" s="505" customFormat="1">
      <c r="A48" s="507" t="s">
        <v>59</v>
      </c>
      <c r="B48" s="507">
        <v>2012</v>
      </c>
      <c r="C48" s="507" t="s">
        <v>60</v>
      </c>
      <c r="D48" s="507"/>
      <c r="E48" s="507" t="s">
        <v>53</v>
      </c>
      <c r="F48" s="507" t="s">
        <v>54</v>
      </c>
      <c r="G48" s="507" t="s">
        <v>55</v>
      </c>
      <c r="H48" s="522">
        <v>2862000</v>
      </c>
      <c r="J48" s="519" t="s">
        <v>62</v>
      </c>
      <c r="K48" s="507"/>
      <c r="L48" s="528">
        <f>AVERAGE(H61:H64)/1000000</f>
        <v>0.33638574999999998</v>
      </c>
      <c r="M48" s="791">
        <f>STDEV(H61:H64)/1000000</f>
        <v>3.2644508597669736E-2</v>
      </c>
      <c r="N48" s="529">
        <f t="shared" si="1"/>
        <v>9.7044861732905563</v>
      </c>
    </row>
    <row r="49" spans="1:14" s="505" customFormat="1" ht="15.75" thickBot="1">
      <c r="A49" s="507" t="s">
        <v>51</v>
      </c>
      <c r="B49" s="507">
        <v>2002</v>
      </c>
      <c r="C49" s="507" t="s">
        <v>52</v>
      </c>
      <c r="D49" s="507"/>
      <c r="E49" s="507" t="s">
        <v>53</v>
      </c>
      <c r="F49" s="507" t="s">
        <v>54</v>
      </c>
      <c r="G49" s="507" t="s">
        <v>63</v>
      </c>
      <c r="H49" s="530">
        <v>300753</v>
      </c>
      <c r="J49" s="531" t="s">
        <v>64</v>
      </c>
      <c r="K49" s="532"/>
      <c r="L49" s="533">
        <f>AVERAGE(H50:H52)/1000000</f>
        <v>0.17403533333333335</v>
      </c>
      <c r="M49" s="792">
        <f>STDEV(H50:H52)/1000000</f>
        <v>2.910642103270919E-2</v>
      </c>
      <c r="N49" s="529">
        <f t="shared" si="1"/>
        <v>16.724432030684873</v>
      </c>
    </row>
    <row r="50" spans="1:14" s="505" customFormat="1">
      <c r="A50" s="507" t="s">
        <v>51</v>
      </c>
      <c r="B50" s="507">
        <v>2007</v>
      </c>
      <c r="C50" s="507" t="s">
        <v>52</v>
      </c>
      <c r="D50" s="507"/>
      <c r="E50" s="507" t="s">
        <v>53</v>
      </c>
      <c r="F50" s="507" t="s">
        <v>54</v>
      </c>
      <c r="G50" s="507" t="s">
        <v>63</v>
      </c>
      <c r="H50" s="522">
        <v>204106</v>
      </c>
      <c r="L50" s="505" t="s">
        <v>135</v>
      </c>
      <c r="N50" s="535">
        <f>SQRT(M48^2+M49^2)</f>
        <v>4.3736114218305554E-2</v>
      </c>
    </row>
    <row r="51" spans="1:14" s="505" customFormat="1">
      <c r="A51" s="507" t="s">
        <v>59</v>
      </c>
      <c r="B51" s="507">
        <v>2011</v>
      </c>
      <c r="C51" s="507" t="s">
        <v>60</v>
      </c>
      <c r="D51" s="507"/>
      <c r="E51" s="507" t="s">
        <v>53</v>
      </c>
      <c r="F51" s="507" t="s">
        <v>54</v>
      </c>
      <c r="G51" s="507" t="s">
        <v>63</v>
      </c>
      <c r="H51" s="522">
        <v>172000</v>
      </c>
    </row>
    <row r="52" spans="1:14" s="505" customFormat="1">
      <c r="A52" s="507" t="s">
        <v>59</v>
      </c>
      <c r="B52" s="507">
        <v>2012</v>
      </c>
      <c r="C52" s="507" t="s">
        <v>60</v>
      </c>
      <c r="D52" s="507"/>
      <c r="E52" s="507" t="s">
        <v>53</v>
      </c>
      <c r="F52" s="507" t="s">
        <v>54</v>
      </c>
      <c r="G52" s="507" t="s">
        <v>63</v>
      </c>
      <c r="H52" s="522">
        <v>146000</v>
      </c>
      <c r="J52" s="200" t="s">
        <v>65</v>
      </c>
      <c r="L52" s="534">
        <f>AVERAGE(H53:H54)</f>
        <v>2430500</v>
      </c>
    </row>
    <row r="53" spans="1:14" s="505" customFormat="1">
      <c r="A53" s="507" t="s">
        <v>59</v>
      </c>
      <c r="B53" s="507">
        <v>2011</v>
      </c>
      <c r="C53" s="507" t="s">
        <v>60</v>
      </c>
      <c r="D53" s="507"/>
      <c r="E53" s="507" t="s">
        <v>53</v>
      </c>
      <c r="F53" s="507" t="s">
        <v>54</v>
      </c>
      <c r="G53" s="507" t="s">
        <v>66</v>
      </c>
      <c r="H53" s="522">
        <v>2486000</v>
      </c>
      <c r="I53" s="534"/>
    </row>
    <row r="54" spans="1:14" s="505" customFormat="1">
      <c r="A54" s="507" t="s">
        <v>59</v>
      </c>
      <c r="B54" s="507">
        <v>2012</v>
      </c>
      <c r="C54" s="507" t="s">
        <v>60</v>
      </c>
      <c r="D54" s="507"/>
      <c r="E54" s="507" t="s">
        <v>53</v>
      </c>
      <c r="F54" s="507" t="s">
        <v>54</v>
      </c>
      <c r="G54" s="507" t="s">
        <v>66</v>
      </c>
      <c r="H54" s="522">
        <v>2375000</v>
      </c>
    </row>
    <row r="55" spans="1:14" s="505" customFormat="1">
      <c r="A55" s="507" t="s">
        <v>59</v>
      </c>
      <c r="B55" s="507">
        <v>2011</v>
      </c>
      <c r="C55" s="507" t="s">
        <v>60</v>
      </c>
      <c r="D55" s="507"/>
      <c r="E55" s="507" t="s">
        <v>53</v>
      </c>
      <c r="F55" s="507" t="s">
        <v>54</v>
      </c>
      <c r="G55" s="507" t="s">
        <v>67</v>
      </c>
      <c r="H55" s="522">
        <v>510000</v>
      </c>
    </row>
    <row r="56" spans="1:14" s="505" customFormat="1">
      <c r="A56" s="507" t="s">
        <v>59</v>
      </c>
      <c r="B56" s="507">
        <v>2012</v>
      </c>
      <c r="C56" s="507" t="s">
        <v>60</v>
      </c>
      <c r="D56" s="507"/>
      <c r="E56" s="507" t="s">
        <v>53</v>
      </c>
      <c r="F56" s="507" t="s">
        <v>54</v>
      </c>
      <c r="G56" s="507" t="s">
        <v>67</v>
      </c>
      <c r="H56" s="522">
        <v>487000</v>
      </c>
    </row>
    <row r="57" spans="1:14" s="505" customFormat="1">
      <c r="A57" s="507" t="s">
        <v>51</v>
      </c>
      <c r="B57" s="507">
        <v>2002</v>
      </c>
      <c r="C57" s="507" t="s">
        <v>52</v>
      </c>
      <c r="D57" s="507"/>
      <c r="E57" s="507" t="s">
        <v>53</v>
      </c>
      <c r="F57" s="507" t="s">
        <v>54</v>
      </c>
      <c r="G57" s="507" t="s">
        <v>68</v>
      </c>
      <c r="H57" s="522">
        <v>1938924</v>
      </c>
    </row>
    <row r="58" spans="1:14" s="505" customFormat="1">
      <c r="A58" s="507" t="s">
        <v>51</v>
      </c>
      <c r="B58" s="507">
        <v>2007</v>
      </c>
      <c r="C58" s="507" t="s">
        <v>52</v>
      </c>
      <c r="D58" s="507"/>
      <c r="E58" s="507" t="s">
        <v>53</v>
      </c>
      <c r="F58" s="507" t="s">
        <v>54</v>
      </c>
      <c r="G58" s="507" t="s">
        <v>68</v>
      </c>
      <c r="H58" s="522">
        <v>2601669</v>
      </c>
    </row>
    <row r="59" spans="1:14" s="505" customFormat="1">
      <c r="A59" s="507" t="s">
        <v>59</v>
      </c>
      <c r="B59" s="507">
        <v>2011</v>
      </c>
      <c r="C59" s="507" t="s">
        <v>60</v>
      </c>
      <c r="D59" s="507"/>
      <c r="E59" s="507" t="s">
        <v>53</v>
      </c>
      <c r="F59" s="507" t="s">
        <v>54</v>
      </c>
      <c r="G59" s="507" t="s">
        <v>68</v>
      </c>
      <c r="H59" s="522">
        <v>2464000</v>
      </c>
    </row>
    <row r="60" spans="1:14" s="505" customFormat="1">
      <c r="A60" s="507" t="s">
        <v>59</v>
      </c>
      <c r="B60" s="507">
        <v>2012</v>
      </c>
      <c r="C60" s="507" t="s">
        <v>60</v>
      </c>
      <c r="D60" s="507"/>
      <c r="E60" s="507" t="s">
        <v>53</v>
      </c>
      <c r="F60" s="507" t="s">
        <v>54</v>
      </c>
      <c r="G60" s="507" t="s">
        <v>68</v>
      </c>
      <c r="H60" s="522">
        <v>2356000</v>
      </c>
    </row>
    <row r="61" spans="1:14" s="505" customFormat="1">
      <c r="A61" s="507" t="s">
        <v>51</v>
      </c>
      <c r="B61" s="507">
        <v>2002</v>
      </c>
      <c r="C61" s="507" t="s">
        <v>52</v>
      </c>
      <c r="D61" s="507"/>
      <c r="E61" s="507" t="s">
        <v>53</v>
      </c>
      <c r="F61" s="507" t="s">
        <v>54</v>
      </c>
      <c r="G61" s="507" t="s">
        <v>69</v>
      </c>
      <c r="H61" s="522">
        <v>290789</v>
      </c>
    </row>
    <row r="62" spans="1:14" s="505" customFormat="1">
      <c r="A62" s="507" t="s">
        <v>51</v>
      </c>
      <c r="B62" s="507">
        <v>2007</v>
      </c>
      <c r="C62" s="507" t="s">
        <v>52</v>
      </c>
      <c r="D62" s="507"/>
      <c r="E62" s="507" t="s">
        <v>53</v>
      </c>
      <c r="F62" s="507" t="s">
        <v>54</v>
      </c>
      <c r="G62" s="507" t="s">
        <v>69</v>
      </c>
      <c r="H62" s="522">
        <v>334754</v>
      </c>
    </row>
    <row r="63" spans="1:14" s="505" customFormat="1">
      <c r="A63" s="507" t="s">
        <v>59</v>
      </c>
      <c r="B63" s="507">
        <v>2011</v>
      </c>
      <c r="C63" s="507" t="s">
        <v>60</v>
      </c>
      <c r="D63" s="507"/>
      <c r="E63" s="507" t="s">
        <v>53</v>
      </c>
      <c r="F63" s="507" t="s">
        <v>54</v>
      </c>
      <c r="G63" s="507" t="s">
        <v>69</v>
      </c>
      <c r="H63" s="522">
        <v>360000</v>
      </c>
    </row>
    <row r="64" spans="1:14" s="505" customFormat="1">
      <c r="A64" s="507" t="s">
        <v>59</v>
      </c>
      <c r="B64" s="507">
        <v>2012</v>
      </c>
      <c r="C64" s="507" t="s">
        <v>60</v>
      </c>
      <c r="D64" s="507"/>
      <c r="E64" s="507" t="s">
        <v>53</v>
      </c>
      <c r="F64" s="507" t="s">
        <v>54</v>
      </c>
      <c r="G64" s="507" t="s">
        <v>69</v>
      </c>
      <c r="H64" s="522">
        <v>360000</v>
      </c>
    </row>
    <row r="65" spans="1:8" s="505" customFormat="1">
      <c r="A65" s="507" t="s">
        <v>59</v>
      </c>
      <c r="B65" s="507">
        <v>2011</v>
      </c>
      <c r="C65" s="507" t="s">
        <v>60</v>
      </c>
      <c r="D65" s="507"/>
      <c r="E65" s="507" t="s">
        <v>53</v>
      </c>
      <c r="F65" s="507" t="s">
        <v>54</v>
      </c>
      <c r="G65" s="507" t="s">
        <v>70</v>
      </c>
      <c r="H65" s="522">
        <v>35000</v>
      </c>
    </row>
    <row r="66" spans="1:8" s="505" customFormat="1">
      <c r="A66" s="507" t="s">
        <v>59</v>
      </c>
      <c r="B66" s="507">
        <v>2012</v>
      </c>
      <c r="C66" s="507" t="s">
        <v>60</v>
      </c>
      <c r="D66" s="507"/>
      <c r="E66" s="507" t="s">
        <v>53</v>
      </c>
      <c r="F66" s="507" t="s">
        <v>54</v>
      </c>
      <c r="G66" s="507" t="s">
        <v>70</v>
      </c>
      <c r="H66" s="522">
        <v>36000</v>
      </c>
    </row>
    <row r="67" spans="1:8" s="505" customFormat="1"/>
    <row r="68" spans="1:8" s="505" customFormat="1">
      <c r="G68" s="507" t="s">
        <v>68</v>
      </c>
    </row>
  </sheetData>
  <mergeCells count="1">
    <mergeCell ref="A43:G43"/>
  </mergeCells>
  <phoneticPr fontId="14" type="noConversion"/>
  <hyperlinks>
    <hyperlink ref="B2" r:id="rId1"/>
    <hyperlink ref="A43" r:id="rId2"/>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Sheet1</vt:lpstr>
      <vt:lpstr>Table of contents</vt:lpstr>
      <vt:lpstr>Main Feed Needs &amp; Partitioning</vt:lpstr>
      <vt:lpstr>Main Uncertainty</vt:lpstr>
      <vt:lpstr>inventory 2</vt:lpstr>
      <vt:lpstr>SlaughterHeadCount</vt:lpstr>
      <vt:lpstr>SlaughterWeights</vt:lpstr>
      <vt:lpstr> Cattle Inventory</vt:lpstr>
      <vt:lpstr>Goats</vt:lpstr>
      <vt:lpstr>Feed Total</vt:lpstr>
      <vt:lpstr>Grains</vt:lpstr>
      <vt:lpstr>soy</vt:lpstr>
      <vt:lpstr>wheat</vt:lpstr>
      <vt:lpstr>Byproducts</vt:lpstr>
      <vt:lpstr>ProcessedRoughage</vt:lpstr>
    </vt:vector>
  </TitlesOfParts>
  <Manager>Mary Teymourian</Manager>
  <Company>USDA-Economic Research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Broilers: Production and income</dc:title>
  <dc:subject>Agricultural Economics</dc:subject>
  <dc:creator>David Harvey</dc:creator>
  <cp:keywords>Broilers, production, value, sales, poultry</cp:keywords>
  <cp:lastModifiedBy>Alon Shepon</cp:lastModifiedBy>
  <cp:lastPrinted>2012-08-23T21:06:29Z</cp:lastPrinted>
  <dcterms:created xsi:type="dcterms:W3CDTF">2000-07-28T15:19:02Z</dcterms:created>
  <dcterms:modified xsi:type="dcterms:W3CDTF">2014-03-24T14:19:29Z</dcterms:modified>
</cp:coreProperties>
</file>