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n.tno.nl\data\sv\sv-053185\Kluis\Research\Papers\Paper_2022_NJG_Gas_geothermal\article\R1\"/>
    </mc:Choice>
  </mc:AlternateContent>
  <xr:revisionPtr revIDLastSave="0" documentId="13_ncr:1_{453900EB-221E-4353-9515-2C34E34ED613}" xr6:coauthVersionLast="47" xr6:coauthVersionMax="47" xr10:uidLastSave="{00000000-0000-0000-0000-000000000000}"/>
  <bookViews>
    <workbookView xWindow="1050" yWindow="-16320" windowWidth="29040" windowHeight="15840" xr2:uid="{BD6E39E5-E6D0-45EB-A843-5429DD60C145}"/>
  </bookViews>
  <sheets>
    <sheet name="geothermal_projects" sheetId="1" r:id="rId1"/>
    <sheet name="well_info" sheetId="4" r:id="rId2"/>
    <sheet name="nr_of_projects" sheetId="3" r:id="rId3"/>
    <sheet name="about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" i="1" l="1"/>
  <c r="Q3" i="1"/>
  <c r="Q4" i="1"/>
  <c r="Q5" i="1"/>
  <c r="Q6" i="1"/>
  <c r="Q7" i="1"/>
  <c r="Q8" i="1"/>
  <c r="Q9" i="1"/>
  <c r="Q10" i="1"/>
  <c r="Q11" i="1"/>
  <c r="Q12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U20" i="4" l="1"/>
  <c r="U19" i="4"/>
  <c r="Q13" i="1" s="1"/>
  <c r="U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P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M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L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K2" i="1"/>
  <c r="K3" i="1"/>
  <c r="K4" i="1"/>
  <c r="K5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57" i="4"/>
  <c r="L56" i="4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3" i="3"/>
  <c r="C16" i="3"/>
  <c r="C17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3" i="3"/>
  <c r="J3" i="1"/>
  <c r="J23" i="1"/>
  <c r="J25" i="1"/>
  <c r="J12" i="1"/>
  <c r="J5" i="1"/>
  <c r="J11" i="1"/>
  <c r="J19" i="1"/>
  <c r="J7" i="1"/>
  <c r="J9" i="1"/>
  <c r="J26" i="1"/>
  <c r="J10" i="1"/>
  <c r="J6" i="1"/>
  <c r="J18" i="1"/>
  <c r="J17" i="1"/>
  <c r="J14" i="1"/>
  <c r="J13" i="1"/>
  <c r="J2" i="1"/>
  <c r="J15" i="1"/>
  <c r="J16" i="1"/>
  <c r="J8" i="1"/>
  <c r="J27" i="1"/>
  <c r="J20" i="1"/>
  <c r="J21" i="1"/>
  <c r="J24" i="1"/>
  <c r="J22" i="1"/>
  <c r="J4" i="1"/>
  <c r="I4" i="1"/>
  <c r="I3" i="1"/>
  <c r="I23" i="1"/>
  <c r="I25" i="1"/>
  <c r="I12" i="1"/>
  <c r="I5" i="1"/>
  <c r="I11" i="1"/>
  <c r="I19" i="1"/>
  <c r="I7" i="1"/>
  <c r="I9" i="1"/>
  <c r="I26" i="1"/>
  <c r="I10" i="1"/>
  <c r="I6" i="1"/>
  <c r="I18" i="1"/>
  <c r="I17" i="1"/>
  <c r="I14" i="1"/>
  <c r="I13" i="1"/>
  <c r="I2" i="1"/>
  <c r="I15" i="1"/>
  <c r="I16" i="1"/>
  <c r="I8" i="1"/>
  <c r="I27" i="1"/>
  <c r="I20" i="1"/>
  <c r="I21" i="1"/>
  <c r="I24" i="1"/>
  <c r="I22" i="1"/>
  <c r="N4" i="1"/>
  <c r="N3" i="1"/>
  <c r="N23" i="1"/>
  <c r="N25" i="1"/>
  <c r="N12" i="1"/>
  <c r="N5" i="1"/>
  <c r="N11" i="1"/>
  <c r="N19" i="1"/>
  <c r="N7" i="1"/>
  <c r="N9" i="1"/>
  <c r="N26" i="1"/>
  <c r="N10" i="1"/>
  <c r="N6" i="1"/>
  <c r="N18" i="1"/>
  <c r="N17" i="1"/>
  <c r="N14" i="1"/>
  <c r="N13" i="1"/>
  <c r="N2" i="1"/>
  <c r="N15" i="1"/>
  <c r="N16" i="1"/>
  <c r="N8" i="1"/>
  <c r="N27" i="1"/>
  <c r="N20" i="1"/>
  <c r="N21" i="1"/>
  <c r="N24" i="1"/>
  <c r="N22" i="1"/>
  <c r="H22" i="1"/>
  <c r="H3" i="1"/>
  <c r="H23" i="1"/>
  <c r="H25" i="1"/>
  <c r="H12" i="1"/>
  <c r="H5" i="1"/>
  <c r="H11" i="1"/>
  <c r="H19" i="1"/>
  <c r="H7" i="1"/>
  <c r="H9" i="1"/>
  <c r="H26" i="1"/>
  <c r="H10" i="1"/>
  <c r="H6" i="1"/>
  <c r="H18" i="1"/>
  <c r="H17" i="1"/>
  <c r="H14" i="1"/>
  <c r="H13" i="1"/>
  <c r="H2" i="1"/>
  <c r="H15" i="1"/>
  <c r="H16" i="1"/>
  <c r="H8" i="1"/>
  <c r="H27" i="1"/>
  <c r="H20" i="1"/>
  <c r="H21" i="1"/>
  <c r="H24" i="1"/>
  <c r="H4" i="1"/>
  <c r="G3" i="1"/>
  <c r="G23" i="1"/>
  <c r="G25" i="1"/>
  <c r="G12" i="1"/>
  <c r="G5" i="1"/>
  <c r="G11" i="1"/>
  <c r="G19" i="1"/>
  <c r="G7" i="1"/>
  <c r="G9" i="1"/>
  <c r="G26" i="1"/>
  <c r="G10" i="1"/>
  <c r="G6" i="1"/>
  <c r="G18" i="1"/>
  <c r="G17" i="1"/>
  <c r="G14" i="1"/>
  <c r="G13" i="1"/>
  <c r="G2" i="1"/>
  <c r="G15" i="1"/>
  <c r="G16" i="1"/>
  <c r="G8" i="1"/>
  <c r="G27" i="1"/>
  <c r="G20" i="1"/>
  <c r="G21" i="1"/>
  <c r="G24" i="1"/>
  <c r="G22" i="1"/>
  <c r="G4" i="1"/>
  <c r="Z10" i="4"/>
  <c r="Y10" i="4"/>
  <c r="Z9" i="4"/>
  <c r="Y9" i="4"/>
  <c r="M11" i="4"/>
  <c r="K6" i="1" s="1"/>
  <c r="K54" i="4"/>
  <c r="L40" i="4"/>
  <c r="L53" i="4"/>
  <c r="L7" i="4"/>
  <c r="Q7" i="4" s="1"/>
  <c r="L6" i="4"/>
  <c r="Q6" i="4" s="1"/>
  <c r="L59" i="4"/>
  <c r="M26" i="4"/>
  <c r="M25" i="4"/>
  <c r="K7" i="1" s="1"/>
  <c r="L18" i="4"/>
  <c r="Q18" i="4" s="1"/>
  <c r="L17" i="4"/>
  <c r="L49" i="4"/>
  <c r="L48" i="4"/>
  <c r="L46" i="4"/>
  <c r="L21" i="4"/>
  <c r="L22" i="4"/>
  <c r="L23" i="4"/>
  <c r="Q13" i="4"/>
  <c r="L61" i="4"/>
  <c r="Q16" i="4"/>
  <c r="Q15" i="4"/>
  <c r="L60" i="4" l="1"/>
  <c r="L47" i="4"/>
  <c r="L30" i="4"/>
  <c r="L29" i="4"/>
</calcChain>
</file>

<file path=xl/sharedStrings.xml><?xml version="1.0" encoding="utf-8"?>
<sst xmlns="http://schemas.openxmlformats.org/spreadsheetml/2006/main" count="885" uniqueCount="409">
  <si>
    <t>Vierpolders</t>
  </si>
  <si>
    <t>MW</t>
  </si>
  <si>
    <t>Start_drilling</t>
  </si>
  <si>
    <t>Aardwarmte Vierpolders</t>
  </si>
  <si>
    <t># wells</t>
  </si>
  <si>
    <t># doublets</t>
  </si>
  <si>
    <t>lat</t>
  </si>
  <si>
    <t>lon</t>
  </si>
  <si>
    <t>Andijk</t>
  </si>
  <si>
    <t>well name</t>
  </si>
  <si>
    <t>CAL-GT-05</t>
  </si>
  <si>
    <t>CAL-GT-04</t>
  </si>
  <si>
    <t>ADK-GT-02</t>
  </si>
  <si>
    <t>BRI-GT-01</t>
  </si>
  <si>
    <t>Hydreco GeoMEC BV</t>
  </si>
  <si>
    <t>BRI-GT-02</t>
  </si>
  <si>
    <t>Tuinbouwbedrijf Wijnen</t>
  </si>
  <si>
    <t>Californië Lipzig Gielen Geothermie BV</t>
  </si>
  <si>
    <t>Ammerlaan Real Estate</t>
  </si>
  <si>
    <t>PNA-GT-01</t>
  </si>
  <si>
    <t>PNA-GT-02</t>
  </si>
  <si>
    <t>Pijnacker-Nootdorp Geothermie</t>
  </si>
  <si>
    <t>PNA-GT</t>
  </si>
  <si>
    <t>Andijk Geothermie</t>
  </si>
  <si>
    <t>ADK-GT</t>
  </si>
  <si>
    <t>Vierpolders Geothermie</t>
  </si>
  <si>
    <t>VPD-GT</t>
  </si>
  <si>
    <t>CAL-GT</t>
  </si>
  <si>
    <t>Californië Geothermie</t>
  </si>
  <si>
    <t>Poeldijk</t>
  </si>
  <si>
    <t>De Lier</t>
  </si>
  <si>
    <t>Hoogweg Aardwarmte</t>
  </si>
  <si>
    <t>Luttelgeest</t>
  </si>
  <si>
    <t>Field</t>
  </si>
  <si>
    <t>Fieldcode</t>
  </si>
  <si>
    <t>Honselersdijk</t>
  </si>
  <si>
    <t>Haagse Aardwarmte Leyweg</t>
  </si>
  <si>
    <t>NLW-GT</t>
  </si>
  <si>
    <t>Bleiswijk</t>
  </si>
  <si>
    <t>Zevenbergen</t>
  </si>
  <si>
    <t>Heemskerk</t>
  </si>
  <si>
    <t>HEK-GT</t>
  </si>
  <si>
    <t>Heemskerk Geothermie</t>
  </si>
  <si>
    <t>Ce-Ren Beheer</t>
  </si>
  <si>
    <t>HEK-GT-02</t>
  </si>
  <si>
    <t>Producing</t>
  </si>
  <si>
    <t>Honselersdrijk Geothermie</t>
  </si>
  <si>
    <t>HON-GT</t>
  </si>
  <si>
    <t>HON-GT-02</t>
  </si>
  <si>
    <t>HON-GT-01-S2</t>
  </si>
  <si>
    <t>LIR-GT</t>
  </si>
  <si>
    <t>De Lier Geothermie</t>
  </si>
  <si>
    <t>LIR-GT-01</t>
  </si>
  <si>
    <t>NLW-GT-01</t>
  </si>
  <si>
    <t>LIR-GT-02</t>
  </si>
  <si>
    <t>V.O.F. Geothermie de Lier</t>
  </si>
  <si>
    <t>LSL-GT</t>
  </si>
  <si>
    <t>LSL-GT-01</t>
  </si>
  <si>
    <t>LSL-GT-02</t>
  </si>
  <si>
    <t>Luttelgeest Geothermie</t>
  </si>
  <si>
    <t>Bleiswijk Geothermie</t>
  </si>
  <si>
    <t>LTG-GT</t>
  </si>
  <si>
    <t>LTG-GT-01</t>
  </si>
  <si>
    <t>LTG-GT-02</t>
  </si>
  <si>
    <t>MDM-GT</t>
  </si>
  <si>
    <t>MDM-GT-01</t>
  </si>
  <si>
    <t>VDB-GT-01-S1</t>
  </si>
  <si>
    <t>VDB-GT-02</t>
  </si>
  <si>
    <t>VDB-GT-03</t>
  </si>
  <si>
    <t>VDB-GT-04</t>
  </si>
  <si>
    <t>BLW2-GT</t>
  </si>
  <si>
    <t>BLW-GT</t>
  </si>
  <si>
    <t>A+G van den Bosch B.V.</t>
  </si>
  <si>
    <t>ZVB-GT</t>
  </si>
  <si>
    <t>PLD-GT-01</t>
  </si>
  <si>
    <t>PLD-GT-02</t>
  </si>
  <si>
    <t>Maasland Geothermie</t>
  </si>
  <si>
    <t>ZVB-GT-02</t>
  </si>
  <si>
    <t>MLD-GT-01-S1</t>
  </si>
  <si>
    <t>MLD-GT-02-S2</t>
  </si>
  <si>
    <t>KHL-GT</t>
  </si>
  <si>
    <t>Nature's Heat B.V.</t>
  </si>
  <si>
    <t>Trias Westland B.V.</t>
  </si>
  <si>
    <t>KHL-GT-01</t>
  </si>
  <si>
    <t>KHL-GT-02</t>
  </si>
  <si>
    <t>Kwintsheul</t>
  </si>
  <si>
    <t>KKP-GT</t>
  </si>
  <si>
    <t>KKP-GT-01</t>
  </si>
  <si>
    <t>Aardwarmtecluster 1 KKP B.V.</t>
  </si>
  <si>
    <t>PNAZ-GT</t>
  </si>
  <si>
    <t>Gebroeders Duijvestijn Beheer B.V</t>
  </si>
  <si>
    <t>PNA-GT-03</t>
  </si>
  <si>
    <t>PNA-GT-04</t>
  </si>
  <si>
    <t>HAG-GT-01</t>
  </si>
  <si>
    <t>HAG-GT-02</t>
  </si>
  <si>
    <t>HAG-GT</t>
  </si>
  <si>
    <t>well name2</t>
  </si>
  <si>
    <t>Middenmeer Geothermie 1</t>
  </si>
  <si>
    <t>MDM-GT-05</t>
  </si>
  <si>
    <t>Warmtebedrijf Bergschenhoek B.V.</t>
  </si>
  <si>
    <t>Pijnacker-Nootdorp</t>
  </si>
  <si>
    <t>Suspended</t>
  </si>
  <si>
    <t>Terminated</t>
  </si>
  <si>
    <t>Comments</t>
  </si>
  <si>
    <t>Drilling completed</t>
  </si>
  <si>
    <t>CAL-GT-03</t>
  </si>
  <si>
    <t>Maasland</t>
  </si>
  <si>
    <t># projects</t>
  </si>
  <si>
    <t>MW_cum</t>
  </si>
  <si>
    <t>exact production start unknown, taken 6 months after drilling completed</t>
  </si>
  <si>
    <t>Tertiary</t>
  </si>
  <si>
    <t>End_production</t>
  </si>
  <si>
    <t>Start_production</t>
  </si>
  <si>
    <t>Jurassic/Cretaceous</t>
  </si>
  <si>
    <t>Rotliegend</t>
  </si>
  <si>
    <t>Triassic</t>
  </si>
  <si>
    <t>Luttelgeest Geothermie 2</t>
  </si>
  <si>
    <t>Aardwarmte Combinatie Luttelgeest B.V.</t>
  </si>
  <si>
    <t>LTG-GT2</t>
  </si>
  <si>
    <t>LTG-GT-04</t>
  </si>
  <si>
    <t>LTG-GT-05</t>
  </si>
  <si>
    <t>Naaldwijk Geothermie 2</t>
  </si>
  <si>
    <t>NLW-GT-04</t>
  </si>
  <si>
    <t>Oostvoorne</t>
  </si>
  <si>
    <t>Oostvoorne Geothermie</t>
  </si>
  <si>
    <t>TNT-GT</t>
  </si>
  <si>
    <t>TNT-GT-01</t>
  </si>
  <si>
    <t>TNT-GT-02</t>
  </si>
  <si>
    <t>well_spacing</t>
  </si>
  <si>
    <t>Delft Sandstone Member</t>
  </si>
  <si>
    <t>Alblasserdam Member</t>
  </si>
  <si>
    <t>Slochteren Formation</t>
  </si>
  <si>
    <t>well name3</t>
  </si>
  <si>
    <t>well name4</t>
  </si>
  <si>
    <t>CAL-GT-02</t>
  </si>
  <si>
    <t>MDM-GT-02-S2</t>
  </si>
  <si>
    <t>ADK-GT-03</t>
  </si>
  <si>
    <t>ADK-GT-04</t>
  </si>
  <si>
    <t>LTG-GT-03</t>
  </si>
  <si>
    <t>Group</t>
  </si>
  <si>
    <t>KNNS</t>
  </si>
  <si>
    <t>KN</t>
  </si>
  <si>
    <t>SL</t>
  </si>
  <si>
    <t>SLDN</t>
  </si>
  <si>
    <t>RO</t>
  </si>
  <si>
    <t>ROSL</t>
  </si>
  <si>
    <t>RB</t>
  </si>
  <si>
    <t>RBM</t>
  </si>
  <si>
    <t>Aardwarmte Vogelaer B.V.</t>
  </si>
  <si>
    <t>NL</t>
  </si>
  <si>
    <t>Salinity</t>
  </si>
  <si>
    <t>T_inj_min</t>
  </si>
  <si>
    <t>Q_max</t>
  </si>
  <si>
    <t>Well_code</t>
  </si>
  <si>
    <t>Top_res_TVD</t>
  </si>
  <si>
    <t>Thick_gross</t>
  </si>
  <si>
    <t>Thick_net</t>
  </si>
  <si>
    <t>Net_to_gross</t>
  </si>
  <si>
    <t>Poro</t>
  </si>
  <si>
    <t>Transmissivity</t>
  </si>
  <si>
    <t>Source</t>
  </si>
  <si>
    <t>Salinity_ppm</t>
  </si>
  <si>
    <t>Field_code</t>
  </si>
  <si>
    <t>Tini</t>
  </si>
  <si>
    <t>ADK-GT-01-S1</t>
  </si>
  <si>
    <t>Pini_top</t>
  </si>
  <si>
    <t>Top_res_AH</t>
  </si>
  <si>
    <t>https://mijnbouwvergunningen.nl/attachment/entity/889b8375-ba59-4cf9-8d20-6023c18a6aec</t>
  </si>
  <si>
    <t>KKP-GT-02</t>
  </si>
  <si>
    <t>Skin</t>
  </si>
  <si>
    <t>https://mijnbouwvergunningen.nl/attachment/entity/4b4454a0-f50f-4e2a-a56c-bed23418d76a</t>
  </si>
  <si>
    <t>SLDND</t>
  </si>
  <si>
    <t>SLDNA</t>
  </si>
  <si>
    <t>PNA-GT-06-S3</t>
  </si>
  <si>
    <t>PNA-GT-05-S1</t>
  </si>
  <si>
    <t>Well_depth_AH</t>
  </si>
  <si>
    <t>Well_depth_TVD</t>
  </si>
  <si>
    <t>End_drilling</t>
  </si>
  <si>
    <t>X_RD</t>
  </si>
  <si>
    <t>Y_RD</t>
  </si>
  <si>
    <t>X_RD_bottom</t>
  </si>
  <si>
    <t>Y_RD_bottom</t>
  </si>
  <si>
    <t>https://www.nlog.nl/field-web/rest/field/document/3839592782</t>
  </si>
  <si>
    <t>Formation_code</t>
  </si>
  <si>
    <t>Formations</t>
  </si>
  <si>
    <t>Hardegsen, Detfurth, Volpriehausen</t>
  </si>
  <si>
    <t>PI m3/hr/bar</t>
  </si>
  <si>
    <t>well test</t>
  </si>
  <si>
    <t>Type</t>
  </si>
  <si>
    <t>productie</t>
  </si>
  <si>
    <t>injectie</t>
  </si>
  <si>
    <t>https://mijnbouwvergunningen.nl/attachment/263540a2-9955-4c0e-84f9-452e3a31e9ba</t>
  </si>
  <si>
    <t>https://mijnbouwvergunningen.nl/attachment/aa14c4b3-0bf9-4de8-80ef-36902d668510</t>
  </si>
  <si>
    <t>https://mijnbouwvergunningen.nl/attachment/f0636198-25fd-4e25-81a2-71fd6c3dde1f</t>
  </si>
  <si>
    <t>https://www.nlog.nl/field-web/rest/field/document/3839592774</t>
  </si>
  <si>
    <t>MLD-GT</t>
  </si>
  <si>
    <t>https://www.nlog.nl/brh-web/rest/brh/document/1895882179</t>
  </si>
  <si>
    <t>https://www.nlog.nl/field-web/rest/field/document/3834565673</t>
  </si>
  <si>
    <t>HEK-GT-01-S2</t>
  </si>
  <si>
    <t>https://www.nlog.nl/brh-web/rest/brh/document/1592204230</t>
  </si>
  <si>
    <t>KKP-GT-03</t>
  </si>
  <si>
    <t>https://www.nlog.nl/field-web/rest/field/document/3834565706</t>
  </si>
  <si>
    <t>https://mijnbouwvergunningen.nl/attachment/b17e5fce-a283-4a98-8662-7a65dca2dd92</t>
  </si>
  <si>
    <t>Perm_welltest_mD</t>
  </si>
  <si>
    <t>Perm_petrof_mD</t>
  </si>
  <si>
    <t>NLW-GT2</t>
  </si>
  <si>
    <t>LTG-GT-06</t>
  </si>
  <si>
    <t>1-1-1022</t>
  </si>
  <si>
    <t>https://www.nlog.nl/field-web/rest/field/document/3839812135</t>
  </si>
  <si>
    <t>https://www.nlog.nl/field-web/rest/field/document/3839738591</t>
  </si>
  <si>
    <t>https://www.nlog.nl/field-web/rest/field/document/3839736780</t>
  </si>
  <si>
    <t>no well test data yet available, only expected values</t>
  </si>
  <si>
    <t>Delft Sandstone Member and Alblasserdam Member</t>
  </si>
  <si>
    <t>https://www.nlog.nl/field-web/rest/field/document/3834566137</t>
  </si>
  <si>
    <t>Winningplan</t>
  </si>
  <si>
    <t>https://www.nlog.nl/field-web/rest/field/document/3834565683</t>
  </si>
  <si>
    <t>https://www.nlog.nl/brh-web/rest/brh/document/1562802913</t>
  </si>
  <si>
    <t>https://www.nlog.nl/field-web/rest/field/document/3839754213</t>
  </si>
  <si>
    <t>https://mijnbouwvergunningen.nl/attachment/72715acb-0f0a-488b-889f-ebde68afb8ee</t>
  </si>
  <si>
    <t>Pijnacker-Nootdorp IV</t>
  </si>
  <si>
    <t>NLW-GT-02-S1</t>
  </si>
  <si>
    <t>screens throughout Hardegsen, Detfurth and Volpriehausen. No clays between. Two sidetracks will be drilled and old wells abandoned, because high skin and low productivity</t>
  </si>
  <si>
    <t>https://www.nlog.nl/field-web/rest/field/document/3839725318</t>
  </si>
  <si>
    <t>https://www.nlog.nl/field-web/rest/field/document/3834565678</t>
  </si>
  <si>
    <t>HON2-GT</t>
  </si>
  <si>
    <t>MDM-GT-03-S2</t>
  </si>
  <si>
    <t>MDM-GT-04</t>
  </si>
  <si>
    <t>https://www.nlog.nl/field-web/rest/field/document/3839729329</t>
  </si>
  <si>
    <t>Winningsvergunning</t>
  </si>
  <si>
    <t>Middenmeer I</t>
  </si>
  <si>
    <t>MDM-GT-06-S2</t>
  </si>
  <si>
    <t>https://www.nlog.nl/field-web/rest/field/document/3839595880</t>
  </si>
  <si>
    <t>Delft Sandstone Member, Alblasserdam Member</t>
  </si>
  <si>
    <t>no well test data in the winningsplan</t>
  </si>
  <si>
    <t>https://www.nlog.nl/field-web/rest/field/document/3839592764</t>
  </si>
  <si>
    <t>NLW-GT-03-S1</t>
  </si>
  <si>
    <t>Middenmeer II</t>
  </si>
  <si>
    <t>Rijswijk Sandstone Member, Delft Sandstone Member</t>
  </si>
  <si>
    <t>https://www.nlog.nl/brh-web/rest/brh/document/975630739</t>
  </si>
  <si>
    <t>https://www.nlog.nl/brh-web/rest/brh/document/975630747</t>
  </si>
  <si>
    <t>Rijswijk Sandstone Member</t>
  </si>
  <si>
    <t>Berkel Sandstone Member, Rijswijk Sandstone Member</t>
  </si>
  <si>
    <t>VDB-GT-02-S1</t>
  </si>
  <si>
    <t>ZVB-GT-01-S2</t>
  </si>
  <si>
    <t>NLFF</t>
  </si>
  <si>
    <t>Brussels Sand Member</t>
  </si>
  <si>
    <t>https://www.nlog.nl/field-web/rest/field/document/3834566056</t>
  </si>
  <si>
    <t>KN/SL</t>
  </si>
  <si>
    <t>KNNS/SLDN</t>
  </si>
  <si>
    <t>Bleiswijk 2 Geothermie</t>
  </si>
  <si>
    <t>Pijnacker-Nootdorp Zuid Geothermie</t>
  </si>
  <si>
    <t>Green Well Westland B.V.</t>
  </si>
  <si>
    <t>ECW Geoholding BV</t>
  </si>
  <si>
    <t>Honselersdijk 2 Geothermie</t>
  </si>
  <si>
    <t>Californië Geothermie 2</t>
  </si>
  <si>
    <t>CAL-GT2</t>
  </si>
  <si>
    <t>GeoPower Vastgoed</t>
  </si>
  <si>
    <t>Middenmeer Geothermie</t>
  </si>
  <si>
    <t>Lansingerland Geothermie</t>
  </si>
  <si>
    <t>Kwintsheul Geothermie</t>
  </si>
  <si>
    <t>ECW Geo Andijk B.V.</t>
  </si>
  <si>
    <t>Den Haag Geothermie</t>
  </si>
  <si>
    <t>Aardwarmte Den Haag VOF</t>
  </si>
  <si>
    <t>Visser &amp; Smit Hanab B.V.</t>
  </si>
  <si>
    <t>Zevenbergen Geothermie</t>
  </si>
  <si>
    <t>Naaldwijk Geothermie</t>
  </si>
  <si>
    <t>Ammerlaan Geothermie B.V.</t>
  </si>
  <si>
    <t>Kampen</t>
  </si>
  <si>
    <t>Lansingerland I</t>
  </si>
  <si>
    <t>Commissioned_by</t>
  </si>
  <si>
    <t>Koekoekspolder Geothermie</t>
  </si>
  <si>
    <t>Luttelgeest II</t>
  </si>
  <si>
    <t>Naaldwijk I</t>
  </si>
  <si>
    <t>Naaldwijk II</t>
  </si>
  <si>
    <t>Californië V</t>
  </si>
  <si>
    <t>Zeeland Formation, Pont d'Arcole Formation, Bosscheveld Formation, Condroz</t>
  </si>
  <si>
    <t>CL/CF/OB</t>
  </si>
  <si>
    <t>CLZL/OBBS</t>
  </si>
  <si>
    <t>Berkel Sandstone Member, Delft Sandstone Member, Alblasserdam Member</t>
  </si>
  <si>
    <t>https://www.nlog.nl/brh-web/rest/brh/document/2274375692</t>
  </si>
  <si>
    <t>https://www.nlog.nl/brh-web/rest/brh/document/2193591590</t>
  </si>
  <si>
    <t>top perforated section at 2151, but no cement along the liner so there is contact with all intervals (winningsplan)</t>
  </si>
  <si>
    <t>https://www.nlog.nl/field-web/rest/field/document/3839819849</t>
  </si>
  <si>
    <t>https://www.nlog.nl/brh-web/rest/brh/document/1428927139</t>
  </si>
  <si>
    <t>CAL-GT-01-S1</t>
  </si>
  <si>
    <t>T at center depth</t>
  </si>
  <si>
    <t>T at 1980. permeability is averaged, locally much high. Fracture driven</t>
  </si>
  <si>
    <t>CL/OB</t>
  </si>
  <si>
    <t>Zeeland Formation, Bosscheveld Formation</t>
  </si>
  <si>
    <t>clogged. CAL-GT-03 turned to injection well</t>
  </si>
  <si>
    <t>Cretaceous</t>
  </si>
  <si>
    <t xml:space="preserve">Jurassic </t>
  </si>
  <si>
    <t>Jurassic</t>
  </si>
  <si>
    <t>Kolenkalk, Farne, Banjaard</t>
  </si>
  <si>
    <t>Kolenkalk, Banjaard</t>
  </si>
  <si>
    <t>T_res</t>
  </si>
  <si>
    <t>Group_age</t>
  </si>
  <si>
    <t>Group_code</t>
  </si>
  <si>
    <t>Top_depth_avg_m</t>
  </si>
  <si>
    <t>Thick_gross_avg_m</t>
  </si>
  <si>
    <t>NTG</t>
  </si>
  <si>
    <t>P_res_Mpa</t>
  </si>
  <si>
    <t>dP_inj_max_Mpa</t>
  </si>
  <si>
    <t>k_avg_mD</t>
  </si>
  <si>
    <t>Porosity_avg</t>
  </si>
  <si>
    <t>bankrupt in 2013, sold in 2016, production restart in 2022</t>
  </si>
  <si>
    <t>drilling sidetrack,production start planned in september 2022</t>
  </si>
  <si>
    <t>For lithostratigraphic description see: https://www.dinoloket.nl/stratigrafische-nomenclator</t>
  </si>
  <si>
    <t>Reservoir</t>
  </si>
  <si>
    <t>year</t>
  </si>
  <si>
    <t>https://www.nlog.nl/sites/default/files/2021-12/201030_verzoek_tot_instemming_wp_pijnacker-nootdorp_v_publiek_gelakt.pdf</t>
  </si>
  <si>
    <t>thickness of Rijswijk + Delft, average values for permeability and porosity</t>
  </si>
  <si>
    <t>Pijnacker-Nootdorp V</t>
  </si>
  <si>
    <t>https://www.nlog.nl/sites/default/files/2021-03/200213_appendix_1_-_geologisch_rapport_gelakt.pdf</t>
  </si>
  <si>
    <t>no well test data yet available, only expected values for depth</t>
  </si>
  <si>
    <t>https://www.sodm.nl/binaries/staatstoezicht-op-de-mijnen/documenten/brieven/2021/04/09/last-onder-dwangsom-voor-geothermiebedrijf-van-den-bosch/LOD+voor+VDB+gelakt.pdf</t>
  </si>
  <si>
    <t>www.nlog.nl/datacenter/brh-overview</t>
  </si>
  <si>
    <t>Net to gross</t>
  </si>
  <si>
    <t>geothermal_projects</t>
  </si>
  <si>
    <t>Lithostratigraphic formations or members targeted by the geothermal project</t>
  </si>
  <si>
    <t>Lithostratigraphic group code, see dinoloket.nl/stratigrafische-nomenclator</t>
  </si>
  <si>
    <t>Average top depth of reservoir in m TVD from wells within the project</t>
  </si>
  <si>
    <t>Average thickness of combined reservoir(s) in m from wells within the project</t>
  </si>
  <si>
    <t>Average porosity from wells within the project</t>
  </si>
  <si>
    <t>Average permeability from well tests in wells within the project</t>
  </si>
  <si>
    <t>Temperature at reservoir center depth</t>
  </si>
  <si>
    <t>Minimum allowed injection temperature allowed by regulator</t>
  </si>
  <si>
    <t xml:space="preserve">Average initial reservoir pressure at average top depth </t>
  </si>
  <si>
    <t>Maximum allowable injection pressure THP by regulator</t>
  </si>
  <si>
    <t>Maximum allowable flow rates</t>
  </si>
  <si>
    <t>Data published with Buijze et al., 2022 	Comparison of hydrocarbon and geothermal production in the Netherlands: Reservoir characteristics, pressure and temperature changes, and implications for fault reactivation</t>
  </si>
  <si>
    <t>Updated</t>
  </si>
  <si>
    <t>Sources</t>
  </si>
  <si>
    <t>Average NaCl in ppm</t>
  </si>
  <si>
    <t>Start of heat production</t>
  </si>
  <si>
    <t>End of heat production</t>
  </si>
  <si>
    <t>Number of wells within the project</t>
  </si>
  <si>
    <t>Number of doublets or triplets</t>
  </si>
  <si>
    <t>Geothermal power</t>
  </si>
  <si>
    <t>https://www.nlog.nl/brh-web/rest/brh/document/1633228147</t>
  </si>
  <si>
    <t>estimated values for thickness, porosity,</t>
  </si>
  <si>
    <t>no winningsplan</t>
  </si>
  <si>
    <t>no well test data</t>
  </si>
  <si>
    <t xml:space="preserve">injection well CAL-GT-02 collapsed in 2013. production well CAL-GT-03 was turned into injector. Both CAL-GT-01 and CAL-GT-03 intersect a major fault zone. </t>
  </si>
  <si>
    <t>newly drilled because there was a fault in tubing PNA-GT-01</t>
  </si>
  <si>
    <t>TJ</t>
  </si>
  <si>
    <t>small amounts of oil and gas were produced initially, this led to temporary suspension and modifications to the system up to 2012</t>
  </si>
  <si>
    <t>wells 07 to 11 have been drilled but are not yet producing</t>
  </si>
  <si>
    <t>LTG-GT-07</t>
  </si>
  <si>
    <t>LTG-GT-08</t>
  </si>
  <si>
    <t>LTG-GT-09</t>
  </si>
  <si>
    <t>LTG-GT-10</t>
  </si>
  <si>
    <t>KKP-GT-03 drilled in 2021</t>
  </si>
  <si>
    <t>suspended in 2022 due to degradation of well casing (sodm.nl)</t>
  </si>
  <si>
    <t>nr_prod_installations</t>
  </si>
  <si>
    <t>nr_wells</t>
  </si>
  <si>
    <t>LTG-GT-11</t>
  </si>
  <si>
    <t>higher injection pressure of 5.8 Mpa for 40 degrees of cooling</t>
  </si>
  <si>
    <t>https://www.nlog.nl/brh-web/rest/brh/document/3652777492</t>
  </si>
  <si>
    <t>average values for well test data in different formations. Pressure 15.9 Mpa at 1573 m depth</t>
  </si>
  <si>
    <t>data is not yet available on nlog</t>
  </si>
  <si>
    <t>no well data available yet. Pressures estimated</t>
  </si>
  <si>
    <t>stukje open hole 50 m in de Alblasserdam (Pijnacker Member). Initial pressure based on 10.58 Mpa/km gradient. T mid reservoir</t>
  </si>
  <si>
    <t>P_res_inj_Mpa</t>
  </si>
  <si>
    <t>Use of this database only with reference to Buijze et al., 2022</t>
  </si>
  <si>
    <t>Q_avg_2020</t>
  </si>
  <si>
    <t>LEW-GT-01</t>
  </si>
  <si>
    <t>LEW-GT</t>
  </si>
  <si>
    <t>Production licenses, well tests etc can be found at: www.nlog.nl, https://www.nlog.nl/datacenter/brh-overview, https://www.nlog.nl/aardwarmte</t>
  </si>
  <si>
    <t>well_info</t>
  </si>
  <si>
    <t>information per geothermal well, including well test data</t>
  </si>
  <si>
    <t>Code of the geothermal field to which the well belongs</t>
  </si>
  <si>
    <t>Injection or production</t>
  </si>
  <si>
    <t>Litho-stratigraphic formation(s) targeted by the well</t>
  </si>
  <si>
    <t>Litho-stratigraphic formation(s) targeted by the well (full name)</t>
  </si>
  <si>
    <t>Litho-stratigraphic group(s) targeted by the well (stratigraphic code)</t>
  </si>
  <si>
    <t>Top of (top-most) reservoir along-hole depth (m)</t>
  </si>
  <si>
    <t>Top of (top-most) reservoir true vertical depth (m)</t>
  </si>
  <si>
    <t>Gross thickness of targeted reservoir (m)</t>
  </si>
  <si>
    <t>Net thickness of targeted reservoir (m)</t>
  </si>
  <si>
    <t>Net-to-gross</t>
  </si>
  <si>
    <t>Average reservoir porosity from well test</t>
  </si>
  <si>
    <t>Productivity index</t>
  </si>
  <si>
    <t>Salinity of reservoir pore fluids</t>
  </si>
  <si>
    <t>Well depth in along-hole (m)</t>
  </si>
  <si>
    <t>Well depth true vertical (m)</t>
  </si>
  <si>
    <t>Well bottom Y-coordinate in Rijksdriehoek (m)</t>
  </si>
  <si>
    <t>Well bottom X-coordinate in Rijksdriehoek (m)</t>
  </si>
  <si>
    <t>Well head Y-coordinate in Rijksdriehoek (m)</t>
  </si>
  <si>
    <t>Well head X-coordinate in Rijksdriehoek (m)</t>
  </si>
  <si>
    <t>Average reservoir permeability from well test (mD)</t>
  </si>
  <si>
    <t>Average reservoir permeability from petrophysics (mD)</t>
  </si>
  <si>
    <t>Initial reservoir pressure at the top of the reservoir (Mpa)</t>
  </si>
  <si>
    <t>Initial reservoir temperature at the reservoir center (deg C)</t>
  </si>
  <si>
    <t>Date start drilling</t>
  </si>
  <si>
    <t>Date end drilling</t>
  </si>
  <si>
    <t>dP_inj_max, T_inj_min and Q_max from production licenses, these are max values prescribed by regulator: https://mijnbouwvergunningen.nl/, www.nlog.nl</t>
  </si>
  <si>
    <t>nr_of_projects</t>
  </si>
  <si>
    <t>Well belonging to geothermal project</t>
  </si>
  <si>
    <t>number of doublets (or triplets)</t>
  </si>
  <si>
    <t>Cumulative installed MW</t>
  </si>
  <si>
    <t>Total heat produced</t>
  </si>
  <si>
    <t>Produced heat: https://www.nlog.nl/geothermie-overzicht</t>
  </si>
  <si>
    <t># of projects and status: see Jaarverslag Delfstoffen on https://www.nlog.nl/jaarverslagen, https://www.nlog.nl/geothermie-overzicht</t>
  </si>
  <si>
    <t>Data is derived from production licenses or well test reports. General project and well information from production license, www.nlog.nl, https://www.nlog.nl/geothermie-overzicht</t>
  </si>
  <si>
    <t>number of projects as defined in Jaarverslag Delfstoffen (productieinstallatie)</t>
  </si>
  <si>
    <t>Status_2021</t>
  </si>
  <si>
    <t>Californië IV</t>
  </si>
  <si>
    <t>Bleiswijk-1b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</si>
</sst>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0.0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14" fontId="0" fillId="0" borderId="0" xfId="0" applyNumberFormat="1"/>
    <xf numFmtId="0" fontId="1" fillId="0" borderId="0" xfId="1"/>
    <xf numFmtId="1" fontId="0" fillId="0" borderId="0" xfId="0" applyNumberFormat="1"/>
    <xf numFmtId="11" fontId="0" fillId="0" borderId="0" xfId="0" applyNumberFormat="1"/>
    <xf numFmtId="14" fontId="0" fillId="0" borderId="0" xfId="0" applyNumberFormat="1" applyFill="1"/>
    <xf numFmtId="14" fontId="0" fillId="0" borderId="0" xfId="0" applyNumberFormat="1" applyAlignment="1">
      <alignment horizontal="right"/>
    </xf>
    <xf numFmtId="14" fontId="0" fillId="0" borderId="0" xfId="0" applyNumberFormat="1" applyFill="1" applyAlignment="1">
      <alignment horizontal="right"/>
    </xf>
    <xf numFmtId="14" fontId="0" fillId="0" borderId="0" xfId="0" applyNumberFormat="1"/>
    <xf numFmtId="164" fontId="0" fillId="0" borderId="0" xfId="0" applyNumberFormat="1" applyAlignment="1">
      <alignment horizontal="right"/>
    </xf>
    <xf numFmtId="0" fontId="2" fillId="0" borderId="0" xfId="0" applyFont="1"/>
    <xf numFmtId="2" fontId="0" fillId="0" borderId="0" xfId="0" applyNumberFormat="1"/>
    <xf numFmtId="0" fontId="4" fillId="0" borderId="0" xfId="1" applyFont="1"/>
    <xf numFmtId="165" fontId="0" fillId="0" borderId="0" xfId="0" applyNumberFormat="1"/>
    <xf numFmtId="0" fontId="5" fillId="0" borderId="0" xfId="0" applyFont="1"/>
    <xf numFmtId="0" fontId="6" fillId="0" borderId="0" xfId="0" applyFont="1"/>
    <xf numFmtId="0" fontId="0" fillId="2" borderId="0" xfId="0" applyFill="1"/>
    <xf numFmtId="0" fontId="0" fillId="0" borderId="0" xfId="0" applyFill="1"/>
  </cellXfs>
  <cellStyles count="2">
    <cellStyle name="Hyperlink" xfId="1" builtinId="8"/>
    <cellStyle name="Normal" xfId="0" builtinId="0"/>
  </cellStyles>
  <dxfs count="12">
    <dxf>
      <numFmt numFmtId="19" formatCode="d/m/yyyy"/>
      <alignment horizontal="right" vertical="bottom" textRotation="0" wrapText="0" indent="0" justifyLastLine="0" shrinkToFit="0" readingOrder="0"/>
    </dxf>
    <dxf>
      <numFmt numFmtId="164" formatCode="dd/mm/yy"/>
    </dxf>
    <dxf>
      <numFmt numFmtId="0" formatCode="General"/>
    </dxf>
    <dxf>
      <numFmt numFmtId="165" formatCode="0.0"/>
    </dxf>
    <dxf>
      <numFmt numFmtId="165" formatCode="0.0"/>
    </dxf>
    <dxf>
      <numFmt numFmtId="165" formatCode="0.0"/>
    </dxf>
    <dxf>
      <numFmt numFmtId="1" formatCode="0"/>
    </dxf>
    <dxf>
      <numFmt numFmtId="2" formatCode="0.00"/>
    </dxf>
    <dxf>
      <numFmt numFmtId="165" formatCode="0.0"/>
    </dxf>
    <dxf>
      <numFmt numFmtId="165" formatCode="0.0"/>
    </dxf>
    <dxf>
      <numFmt numFmtId="165" formatCode="0.0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92777777777781"/>
          <c:y val="6.4675925925925928E-2"/>
          <c:w val="0.7270861111111111"/>
          <c:h val="0.7401011111111111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nr_of_projects!$F$3:$F$18</c:f>
              <c:numCache>
                <c:formatCode>0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xVal>
          <c:yVal>
            <c:numRef>
              <c:f>nr_of_projects!$B$3:$B$18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14</c:v>
                </c:pt>
                <c:pt idx="12">
                  <c:v>18</c:v>
                </c:pt>
                <c:pt idx="13">
                  <c:v>17</c:v>
                </c:pt>
                <c:pt idx="14">
                  <c:v>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3FF-49EF-B5B9-4488FD43C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6160080"/>
        <c:axId val="656160408"/>
      </c:scatterChart>
      <c:valAx>
        <c:axId val="656160080"/>
        <c:scaling>
          <c:orientation val="minMax"/>
          <c:max val="2027"/>
          <c:min val="200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56160408"/>
        <c:crosses val="autoZero"/>
        <c:crossBetween val="midCat"/>
      </c:valAx>
      <c:valAx>
        <c:axId val="656160408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#</a:t>
                </a:r>
                <a:r>
                  <a:rPr lang="nl-NL" baseline="0"/>
                  <a:t> of doublets</a:t>
                </a:r>
                <a:endParaRPr lang="nl-NL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56160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1</xdr:row>
      <xdr:rowOff>161925</xdr:rowOff>
    </xdr:from>
    <xdr:to>
      <xdr:col>12</xdr:col>
      <xdr:colOff>498750</xdr:colOff>
      <xdr:row>11</xdr:row>
      <xdr:rowOff>56925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A19F10-2F69-4E55-B9E3-2E4257FE14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0436B98-2EC0-485F-B56A-3E71693B3215}" name="Table1" displayName="Table1" ref="A1:AH27" totalsRowShown="0">
  <autoFilter ref="A1:AH27" xr:uid="{DC5CED5C-82BF-47AA-9635-7F9431C92E09}"/>
  <sortState xmlns:xlrd2="http://schemas.microsoft.com/office/spreadsheetml/2017/richdata2" ref="A2:AH27">
    <sortCondition ref="A1:A27"/>
  </sortState>
  <tableColumns count="34">
    <tableColumn id="3" xr3:uid="{428AD2C5-6D45-420A-9D0E-E58F323D7EAC}" name="Field"/>
    <tableColumn id="4" xr3:uid="{6880B39E-F5A9-4246-81B8-521B71273E87}" name="Fieldcode"/>
    <tableColumn id="27" xr3:uid="{3C89E031-1874-4CC6-8383-9373B8A2A2E4}" name="Winningsvergunning"/>
    <tableColumn id="5" xr3:uid="{DEE75A58-3FE5-442B-9597-82462F9182F0}" name="Commissioned_by"/>
    <tableColumn id="6" xr3:uid="{8F6A9C85-71AB-4DC8-8106-3647487E3661}" name="Status_2021"/>
    <tableColumn id="29" xr3:uid="{24689848-54EF-49A4-A99C-4AE1AE053983}" name="Group_age"/>
    <tableColumn id="53" xr3:uid="{7F123729-3B73-4185-ABD1-484A79D673EF}" name="Group_code" dataDxfId="11">
      <calculatedColumnFormula>INDEX(well_info!A$2:AB$198,MATCH(Table1[[#This Row],[Fieldcode]],well_info!B$2:B$198,0),6)</calculatedColumnFormula>
    </tableColumn>
    <tableColumn id="52" xr3:uid="{BAE70990-BB0A-4942-AE2B-B289E633D62C}" name="Reservoir"/>
    <tableColumn id="1" xr3:uid="{09FAFD41-5D60-4260-8651-1A8EE8C58781}" name="Top_depth_avg_m" dataDxfId="10">
      <calculatedColumnFormula>AVERAGEIFS(well_info!J$2:J$198,well_info!B$2:B$198,Table1[[#This Row],[Fieldcode]],well_info!J$2:J$198,"&lt;&gt;")</calculatedColumnFormula>
    </tableColumn>
    <tableColumn id="2" xr3:uid="{52463CB5-FBB3-42CA-991E-330DCB36C38D}" name="Thick_gross_avg_m" dataDxfId="9">
      <calculatedColumnFormula>AVERAGEIFS(well_info!K$2:K$198,well_info!B$2:B$198,Table1[[#This Row],[Fieldcode]],well_info!K$2:K$198,"&lt;&gt;")</calculatedColumnFormula>
    </tableColumn>
    <tableColumn id="9" xr3:uid="{F67448BA-ED61-40C3-9783-475C1AE8B3A7}" name="NTG" dataDxfId="8">
      <calculatedColumnFormula>IFERROR(AVERAGEIFS(well_info!M$2:M$198,well_info!B$2:B$198,Table1[[#This Row],[Fieldcode]],well_info!M$2:M$198,"&lt;&gt;")," ")</calculatedColumnFormula>
    </tableColumn>
    <tableColumn id="32" xr3:uid="{F93A3F7E-BD90-4D52-B4CA-CE47DDDAA3B5}" name="Porosity_avg" dataDxfId="7">
      <calculatedColumnFormula>IFERROR(AVERAGEIFS(well_info!N$2:N$198,well_info!B$2:B$198,Table1[[#This Row],[Fieldcode]],well_info!N$2:N$198,"&lt;&gt;"),"")</calculatedColumnFormula>
    </tableColumn>
    <tableColumn id="10" xr3:uid="{21C31BC2-C7E3-447C-B117-4F9396DFF9FA}" name="k_avg_mD" dataDxfId="6">
      <calculatedColumnFormula>IFERROR(AVERAGEIFS(well_info!O$2:O$198,well_info!B$2:B$198,Table1[[#This Row],[Fieldcode]],well_info!O$2:O$198,"&lt;&gt;"),"")</calculatedColumnFormula>
    </tableColumn>
    <tableColumn id="34" xr3:uid="{0D865626-D63A-4785-99AC-D92AC107FF6B}" name="T_res" dataDxfId="5">
      <calculatedColumnFormula>AVERAGEIFS(well_info!V$2:V$198,well_info!B$2:B$198,Table1[[#This Row],[Fieldcode]],well_info!V$2:V$198,"&lt;&gt;")</calculatedColumnFormula>
    </tableColumn>
    <tableColumn id="58" xr3:uid="{D84AECCB-A7BD-479E-B9CE-488E36DCEFB1}" name="T_inj_min"/>
    <tableColumn id="55" xr3:uid="{0FC14B2C-ADF8-485A-BC09-ECA53E55E220}" name="P_res_Mpa" dataDxfId="4">
      <calculatedColumnFormula>IFERROR(AVERAGEIFS(well_info!U$2:U$198,well_info!B$2:B$198,Table1[[#This Row],[Fieldcode]],well_info!U$2:U$198,"&lt;&gt;"),"")</calculatedColumnFormula>
    </tableColumn>
    <tableColumn id="12" xr3:uid="{F465316B-5CD5-4EF8-BC2D-3AF2C79262BC}" name="P_res_inj_Mpa" dataDxfId="3">
      <calculatedColumnFormula>IFERROR(AVERAGEIFS(well_info!U$2:U$198,well_info!B$2:B$198,Table1[[#This Row],[Fieldcode]],well_info!U$2:U$198,"&lt;&gt;",well_info!E$2:E$198,"injectie"),"")</calculatedColumnFormula>
    </tableColumn>
    <tableColumn id="59" xr3:uid="{C6655124-596D-45D7-A2F2-55A4823BC4EC}" name="dP_inj_max_Mpa"/>
    <tableColumn id="60" xr3:uid="{FD778347-1837-4953-9F40-9BA8D5BF9D7D}" name="Q_max"/>
    <tableColumn id="7" xr3:uid="{02AC7461-2DF9-4B26-887F-C71906E9A1F6}" name="Q_avg_2020"/>
    <tableColumn id="56" xr3:uid="{BC6B48B6-8146-49C4-8627-9C4A62142405}" name="Salinity" dataDxfId="2">
      <calculatedColumnFormula>IFERROR(AVERAGEIFS(well_info!T$2:T$198,well_info!B$2:B$198,Table1[[#This Row],[Fieldcode]],well_info!T$2:T$198,"&lt;&gt;"),"")</calculatedColumnFormula>
    </tableColumn>
    <tableColumn id="11" xr3:uid="{6E9D93D1-318D-4A55-940A-BCFDB0BF96E7}" name="MW"/>
    <tableColumn id="23" xr3:uid="{6EBF22A9-2412-4B16-8A3D-64222358CCB3}" name="Start_production" dataDxfId="1"/>
    <tableColumn id="28" xr3:uid="{1E93EABC-CE41-4D6B-97D9-117858B01E9E}" name="End_production" dataDxfId="0"/>
    <tableColumn id="14" xr3:uid="{25E801FB-37D6-445E-9593-0E19C2383ECA}" name="nr_wells"/>
    <tableColumn id="15" xr3:uid="{27108003-C069-4328-95C9-6CDD91444359}" name="nr_prod_installations"/>
    <tableColumn id="16" xr3:uid="{459E7EEF-0880-492A-841E-8B1112FEECF6}" name="well name"/>
    <tableColumn id="17" xr3:uid="{1B0929DF-E36E-4131-992B-34FA383483EF}" name="well name2"/>
    <tableColumn id="47" xr3:uid="{8B5E4401-2B77-487B-B2CD-D70FE9A11742}" name="well name3"/>
    <tableColumn id="48" xr3:uid="{DED238EF-538B-487A-8014-F75E5CE13D0F}" name="well name4"/>
    <tableColumn id="33" xr3:uid="{DCA14BE5-4338-45B8-8C46-DFA559EA1D92}" name="well_spacing"/>
    <tableColumn id="18" xr3:uid="{42782654-3056-4224-A951-AFF8D709C0BF}" name="lat"/>
    <tableColumn id="19" xr3:uid="{85186432-FEE5-4E13-BEAA-F67DFD95525A}" name="lon"/>
    <tableColumn id="25" xr3:uid="{DABB95C4-E797-4E5D-B633-459E2211B086}" name="Comment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log.nl/field-web/rest/field/document/3834566137" TargetMode="External"/><Relationship Id="rId2" Type="http://schemas.openxmlformats.org/officeDocument/2006/relationships/hyperlink" Target="http://www.nlog.nl/datacenter/brh-overview" TargetMode="External"/><Relationship Id="rId1" Type="http://schemas.openxmlformats.org/officeDocument/2006/relationships/hyperlink" Target="http://www.nlog.nl/datacenter/brh-overview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52760-90A6-4E24-BFBC-F6BE464B8B08}">
  <dimension ref="A1:AH35"/>
  <sheetViews>
    <sheetView tabSelected="1" zoomScale="85" zoomScaleNormal="85" workbookViewId="0">
      <pane xSplit="1" topLeftCell="B1" activePane="topRight" state="frozen"/>
      <selection pane="topRight" activeCell="A23" sqref="A23"/>
    </sheetView>
  </sheetViews>
  <sheetFormatPr defaultRowHeight="15" x14ac:dyDescent="0.25"/>
  <cols>
    <col min="1" max="1" width="23.85546875" customWidth="1"/>
    <col min="2" max="2" width="11.85546875" customWidth="1"/>
    <col min="3" max="3" width="23.85546875" customWidth="1"/>
    <col min="4" max="4" width="31.140625" customWidth="1"/>
    <col min="5" max="5" width="19.5703125" customWidth="1"/>
    <col min="6" max="6" width="16.42578125" customWidth="1"/>
    <col min="7" max="7" width="11" customWidth="1"/>
    <col min="8" max="8" width="29.5703125" customWidth="1"/>
    <col min="9" max="9" width="13.85546875" customWidth="1"/>
    <col min="10" max="10" width="11.85546875" customWidth="1"/>
    <col min="11" max="13" width="9.85546875" customWidth="1"/>
    <col min="14" max="14" width="9.7109375" customWidth="1"/>
    <col min="15" max="22" width="8.7109375" customWidth="1"/>
    <col min="23" max="23" width="10.7109375" customWidth="1"/>
    <col min="24" max="24" width="10.42578125" customWidth="1"/>
    <col min="25" max="26" width="8.7109375" customWidth="1"/>
    <col min="27" max="27" width="11.42578125" customWidth="1"/>
    <col min="28" max="28" width="13.42578125" customWidth="1"/>
    <col min="29" max="29" width="11.7109375" customWidth="1"/>
    <col min="30" max="30" width="11.5703125" customWidth="1"/>
    <col min="31" max="31" width="9" customWidth="1"/>
    <col min="32" max="32" width="16.7109375" customWidth="1"/>
    <col min="33" max="33" width="15.28515625" customWidth="1"/>
    <col min="34" max="34" width="63.85546875" customWidth="1"/>
    <col min="35" max="35" width="12.42578125" customWidth="1"/>
    <col min="36" max="36" width="13.42578125" customWidth="1"/>
    <col min="37" max="37" width="11" bestFit="1" customWidth="1"/>
    <col min="41" max="41" width="16.7109375" customWidth="1"/>
    <col min="42" max="42" width="17.28515625" customWidth="1"/>
    <col min="43" max="43" width="41.7109375" customWidth="1"/>
    <col min="44" max="44" width="11.85546875" customWidth="1"/>
    <col min="45" max="45" width="11" bestFit="1" customWidth="1"/>
  </cols>
  <sheetData>
    <row r="1" spans="1:34" x14ac:dyDescent="0.25">
      <c r="A1" t="s">
        <v>33</v>
      </c>
      <c r="B1" t="s">
        <v>34</v>
      </c>
      <c r="C1" t="s">
        <v>228</v>
      </c>
      <c r="D1" t="s">
        <v>269</v>
      </c>
      <c r="E1" t="s">
        <v>406</v>
      </c>
      <c r="F1" t="s">
        <v>296</v>
      </c>
      <c r="G1" t="s">
        <v>297</v>
      </c>
      <c r="H1" t="s">
        <v>308</v>
      </c>
      <c r="I1" t="s">
        <v>298</v>
      </c>
      <c r="J1" t="s">
        <v>299</v>
      </c>
      <c r="K1" t="s">
        <v>300</v>
      </c>
      <c r="L1" t="s">
        <v>304</v>
      </c>
      <c r="M1" t="s">
        <v>303</v>
      </c>
      <c r="N1" t="s">
        <v>295</v>
      </c>
      <c r="O1" t="s">
        <v>151</v>
      </c>
      <c r="P1" t="s">
        <v>301</v>
      </c>
      <c r="Q1" t="s">
        <v>363</v>
      </c>
      <c r="R1" t="s">
        <v>302</v>
      </c>
      <c r="S1" t="s">
        <v>152</v>
      </c>
      <c r="T1" t="s">
        <v>365</v>
      </c>
      <c r="U1" t="s">
        <v>150</v>
      </c>
      <c r="V1" t="s">
        <v>1</v>
      </c>
      <c r="W1" t="s">
        <v>112</v>
      </c>
      <c r="X1" t="s">
        <v>111</v>
      </c>
      <c r="Y1" t="s">
        <v>355</v>
      </c>
      <c r="Z1" t="s">
        <v>354</v>
      </c>
      <c r="AA1" t="s">
        <v>9</v>
      </c>
      <c r="AB1" t="s">
        <v>96</v>
      </c>
      <c r="AC1" t="s">
        <v>132</v>
      </c>
      <c r="AD1" t="s">
        <v>133</v>
      </c>
      <c r="AE1" t="s">
        <v>128</v>
      </c>
      <c r="AF1" t="s">
        <v>6</v>
      </c>
      <c r="AG1" t="s">
        <v>7</v>
      </c>
      <c r="AH1" t="s">
        <v>103</v>
      </c>
    </row>
    <row r="2" spans="1:34" x14ac:dyDescent="0.25">
      <c r="A2" t="s">
        <v>23</v>
      </c>
      <c r="B2" t="s">
        <v>24</v>
      </c>
      <c r="C2" t="s">
        <v>8</v>
      </c>
      <c r="D2" t="s">
        <v>260</v>
      </c>
      <c r="E2" t="s">
        <v>45</v>
      </c>
      <c r="F2" t="s">
        <v>114</v>
      </c>
      <c r="G2" t="str">
        <f>INDEX(well_info!A$2:AB$198,MATCH(Table1[[#This Row],[Fieldcode]],well_info!B$2:B$198,0),6)</f>
        <v>RO</v>
      </c>
      <c r="H2" t="str">
        <f>INDEX(well_info!A$2:AB$198,MATCH(Table1[[#This Row],[Fieldcode]],well_info!B$2:B$198,0),8)</f>
        <v>Slochteren Formation</v>
      </c>
      <c r="I2" s="13">
        <f>AVERAGEIFS(well_info!J$2:J$198,well_info!B$2:B$198,Table1[[#This Row],[Fieldcode]],well_info!J$2:J$198,"&lt;&gt;")</f>
        <v>1832.5</v>
      </c>
      <c r="J2" s="13">
        <f>AVERAGEIFS(well_info!K$2:K$198,well_info!B$2:B$198,Table1[[#This Row],[Fieldcode]],well_info!K$2:K$198,"&lt;&gt;")</f>
        <v>169.75</v>
      </c>
      <c r="K2" s="13">
        <f>IFERROR(AVERAGEIFS(well_info!M$2:M$198,well_info!B$2:B$198,Table1[[#This Row],[Fieldcode]],well_info!M$2:M$198,"&lt;&gt;")," ")</f>
        <v>0.98</v>
      </c>
      <c r="L2" s="11">
        <f>IFERROR(AVERAGEIFS(well_info!N$2:N$198,well_info!B$2:B$198,Table1[[#This Row],[Fieldcode]],well_info!N$2:N$198,"&lt;&gt;"),"")</f>
        <v>0.2175</v>
      </c>
      <c r="M2" s="3">
        <f>IFERROR(AVERAGEIFS(well_info!O$2:O$198,well_info!B$2:B$198,Table1[[#This Row],[Fieldcode]],well_info!O$2:O$198,"&lt;&gt;"),"")</f>
        <v>210</v>
      </c>
      <c r="N2" s="13">
        <f>AVERAGEIFS(well_info!V$2:V$198,well_info!B$2:B$198,Table1[[#This Row],[Fieldcode]],well_info!V$2:V$198,"&lt;&gt;")</f>
        <v>82</v>
      </c>
      <c r="O2">
        <v>30</v>
      </c>
      <c r="P2" s="13">
        <f>IFERROR(AVERAGEIFS(well_info!U$2:U$198,well_info!B$2:B$198,Table1[[#This Row],[Fieldcode]],well_info!U$2:U$198,"&lt;&gt;"),"")</f>
        <v>19.984999999999999</v>
      </c>
      <c r="Q2" s="13">
        <f>IFERROR(AVERAGEIFS(well_info!U$2:U$198,well_info!B$2:B$198,Table1[[#This Row],[Fieldcode]],well_info!U$2:U$198,"&lt;&gt;",well_info!E$2:E$198,"injectie"),"")</f>
        <v>19.45</v>
      </c>
      <c r="R2">
        <v>5.0999999999999996</v>
      </c>
      <c r="S2">
        <v>350</v>
      </c>
      <c r="T2">
        <v>295</v>
      </c>
      <c r="U2">
        <f>IFERROR(AVERAGEIFS(well_info!T$2:T$198,well_info!B$2:B$198,Table1[[#This Row],[Fieldcode]],well_info!T$2:T$198,"&lt;&gt;"),"")</f>
        <v>189000</v>
      </c>
      <c r="V2">
        <v>14</v>
      </c>
      <c r="W2" s="6">
        <v>43466</v>
      </c>
      <c r="X2" s="6"/>
      <c r="Y2">
        <v>4</v>
      </c>
      <c r="Z2">
        <v>2</v>
      </c>
      <c r="AA2" t="s">
        <v>164</v>
      </c>
      <c r="AB2" t="s">
        <v>12</v>
      </c>
      <c r="AC2" t="s">
        <v>136</v>
      </c>
      <c r="AD2" t="s">
        <v>137</v>
      </c>
      <c r="AE2">
        <v>1080</v>
      </c>
      <c r="AF2">
        <v>52.726017659999997</v>
      </c>
      <c r="AG2">
        <v>5.1949283700000004</v>
      </c>
    </row>
    <row r="3" spans="1:34" x14ac:dyDescent="0.25">
      <c r="A3" t="s">
        <v>249</v>
      </c>
      <c r="B3" t="s">
        <v>70</v>
      </c>
      <c r="C3" t="s">
        <v>408</v>
      </c>
      <c r="D3" t="s">
        <v>72</v>
      </c>
      <c r="E3" t="s">
        <v>101</v>
      </c>
      <c r="F3" t="s">
        <v>290</v>
      </c>
      <c r="G3" t="str">
        <f>INDEX(well_info!A$2:AB$198,MATCH(Table1[[#This Row],[Fieldcode]],well_info!B$2:B$198,0),6)</f>
        <v>KN</v>
      </c>
      <c r="H3" t="str">
        <f>INDEX(well_info!A$2:AB$198,MATCH(Table1[[#This Row],[Fieldcode]],well_info!B$2:B$198,0),8)</f>
        <v>Rijswijk Sandstone Member</v>
      </c>
      <c r="I3" s="13">
        <f>AVERAGEIFS(well_info!J$2:J$198,well_info!B$2:B$198,Table1[[#This Row],[Fieldcode]],well_info!J$2:J$198,"&lt;&gt;")</f>
        <v>1786.4450000000002</v>
      </c>
      <c r="J3" s="13">
        <f>AVERAGEIFS(well_info!K$2:K$198,well_info!B$2:B$198,Table1[[#This Row],[Fieldcode]],well_info!K$2:K$198,"&lt;&gt;")</f>
        <v>55</v>
      </c>
      <c r="K3" s="13">
        <f>IFERROR(AVERAGEIFS(well_info!M$2:M$198,well_info!B$2:B$198,Table1[[#This Row],[Fieldcode]],well_info!M$2:M$198,"&lt;&gt;")," ")</f>
        <v>1</v>
      </c>
      <c r="L3" s="11" t="str">
        <f>IFERROR(AVERAGEIFS(well_info!N$2:N$198,well_info!B$2:B$198,Table1[[#This Row],[Fieldcode]],well_info!N$2:N$198,"&lt;&gt;"),"")</f>
        <v/>
      </c>
      <c r="M3" s="3" t="str">
        <f>IFERROR(AVERAGEIFS(well_info!O$2:O$198,well_info!B$2:B$198,Table1[[#This Row],[Fieldcode]],well_info!O$2:O$198,"&lt;&gt;"),"")</f>
        <v/>
      </c>
      <c r="N3" s="13">
        <f>AVERAGEIFS(well_info!V$2:V$198,well_info!B$2:B$198,Table1[[#This Row],[Fieldcode]],well_info!V$2:V$198,"&lt;&gt;")</f>
        <v>57</v>
      </c>
      <c r="P3" s="13" t="str">
        <f>IFERROR(AVERAGEIFS(well_info!U$2:U$198,well_info!B$2:B$198,Table1[[#This Row],[Fieldcode]],well_info!U$2:U$198,"&lt;&gt;"),"")</f>
        <v/>
      </c>
      <c r="Q3" s="13" t="str">
        <f>IFERROR(AVERAGEIFS(well_info!U$2:U$198,well_info!B$2:B$198,Table1[[#This Row],[Fieldcode]],well_info!U$2:U$198,"&lt;&gt;",well_info!E$2:E$198,"injectie"),"")</f>
        <v/>
      </c>
      <c r="T3">
        <v>170</v>
      </c>
      <c r="U3" t="str">
        <f>IFERROR(AVERAGEIFS(well_info!T$2:T$198,well_info!B$2:B$198,Table1[[#This Row],[Fieldcode]],well_info!T$2:T$198,"&lt;&gt;"),"")</f>
        <v/>
      </c>
      <c r="V3">
        <v>7.3</v>
      </c>
      <c r="W3" s="6">
        <v>40026</v>
      </c>
      <c r="X3" s="6"/>
      <c r="Y3">
        <v>2</v>
      </c>
      <c r="Z3">
        <v>1</v>
      </c>
      <c r="AA3" t="s">
        <v>68</v>
      </c>
      <c r="AB3" t="s">
        <v>69</v>
      </c>
      <c r="AF3">
        <v>52.023518989999999</v>
      </c>
      <c r="AG3">
        <v>4.4858304200000001</v>
      </c>
    </row>
    <row r="4" spans="1:34" x14ac:dyDescent="0.25">
      <c r="A4" t="s">
        <v>60</v>
      </c>
      <c r="B4" t="s">
        <v>71</v>
      </c>
      <c r="C4" t="s">
        <v>38</v>
      </c>
      <c r="D4" t="s">
        <v>72</v>
      </c>
      <c r="E4" t="s">
        <v>45</v>
      </c>
      <c r="F4" t="s">
        <v>290</v>
      </c>
      <c r="G4" t="str">
        <f>INDEX(well_info!A$2:AB$198,MATCH(Table1[[#This Row],[Fieldcode]],well_info!B$2:B$198,0),6)</f>
        <v>KN</v>
      </c>
      <c r="H4" t="str">
        <f>INDEX(well_info!A$2:AB$198,MATCH(Table1[[#This Row],[Fieldcode]],well_info!B$2:B$198,0),8)</f>
        <v>Berkel Sandstone Member, Rijswijk Sandstone Member</v>
      </c>
      <c r="I4" s="13">
        <f>AVERAGEIFS(well_info!J$2:J$198,well_info!B$2:B$198,Table1[[#This Row],[Fieldcode]],well_info!J$2:J$198,"&lt;&gt;")</f>
        <v>1473.65</v>
      </c>
      <c r="J4" s="13">
        <f>AVERAGEIFS(well_info!K$2:K$198,well_info!B$2:B$198,Table1[[#This Row],[Fieldcode]],well_info!K$2:K$198,"&lt;&gt;")</f>
        <v>183</v>
      </c>
      <c r="K4" s="13" t="str">
        <f>IFERROR(AVERAGEIFS(well_info!M$2:M$198,well_info!B$2:B$198,Table1[[#This Row],[Fieldcode]],well_info!M$2:M$198,"&lt;&gt;")," ")</f>
        <v xml:space="preserve"> </v>
      </c>
      <c r="L4" s="11" t="str">
        <f>IFERROR(AVERAGEIFS(well_info!N$2:N$198,well_info!B$2:B$198,Table1[[#This Row],[Fieldcode]],well_info!N$2:N$198,"&lt;&gt;"),"")</f>
        <v/>
      </c>
      <c r="M4" s="3" t="str">
        <f>IFERROR(AVERAGEIFS(well_info!O$2:O$198,well_info!B$2:B$198,Table1[[#This Row],[Fieldcode]],well_info!O$2:O$198,"&lt;&gt;"),"")</f>
        <v/>
      </c>
      <c r="N4" s="13">
        <f>AVERAGEIFS(well_info!V$2:V$198,well_info!B$2:B$198,Table1[[#This Row],[Fieldcode]],well_info!V$2:V$198,"&lt;&gt;")</f>
        <v>54</v>
      </c>
      <c r="P4" s="13" t="str">
        <f>IFERROR(AVERAGEIFS(well_info!U$2:U$198,well_info!B$2:B$198,Table1[[#This Row],[Fieldcode]],well_info!U$2:U$198,"&lt;&gt;"),"")</f>
        <v/>
      </c>
      <c r="Q4" s="13" t="str">
        <f>IFERROR(AVERAGEIFS(well_info!U$2:U$198,well_info!B$2:B$198,Table1[[#This Row],[Fieldcode]],well_info!U$2:U$198,"&lt;&gt;",well_info!E$2:E$198,"injectie"),"")</f>
        <v/>
      </c>
      <c r="U4" t="str">
        <f>IFERROR(AVERAGEIFS(well_info!T$2:T$198,well_info!B$2:B$198,Table1[[#This Row],[Fieldcode]],well_info!T$2:T$198,"&lt;&gt;"),"")</f>
        <v/>
      </c>
      <c r="V4">
        <v>9</v>
      </c>
      <c r="W4" s="6">
        <v>39173</v>
      </c>
      <c r="X4" s="6">
        <v>43556</v>
      </c>
      <c r="Y4">
        <v>2</v>
      </c>
      <c r="Z4">
        <v>1</v>
      </c>
      <c r="AA4" t="s">
        <v>66</v>
      </c>
      <c r="AB4" t="s">
        <v>67</v>
      </c>
      <c r="AF4">
        <v>52.01404651</v>
      </c>
      <c r="AG4">
        <v>4.5180022900000001</v>
      </c>
      <c r="AH4" t="s">
        <v>353</v>
      </c>
    </row>
    <row r="5" spans="1:34" x14ac:dyDescent="0.25">
      <c r="A5" t="s">
        <v>28</v>
      </c>
      <c r="B5" t="s">
        <v>27</v>
      </c>
      <c r="C5" t="s">
        <v>407</v>
      </c>
      <c r="D5" t="s">
        <v>16</v>
      </c>
      <c r="E5" t="s">
        <v>101</v>
      </c>
      <c r="F5" t="s">
        <v>294</v>
      </c>
      <c r="G5" t="str">
        <f>INDEX(well_info!A$2:AB$198,MATCH(Table1[[#This Row],[Fieldcode]],well_info!B$2:B$198,0),6)</f>
        <v>CL/OB</v>
      </c>
      <c r="H5" t="str">
        <f>INDEX(well_info!A$2:AB$198,MATCH(Table1[[#This Row],[Fieldcode]],well_info!B$2:B$198,0),8)</f>
        <v>Zeeland Formation, Bosscheveld Formation</v>
      </c>
      <c r="I5" s="13">
        <f>AVERAGEIFS(well_info!J$2:J$198,well_info!B$2:B$198,Table1[[#This Row],[Fieldcode]],well_info!J$2:J$198,"&lt;&gt;")</f>
        <v>1362.6666666666667</v>
      </c>
      <c r="J5" s="13">
        <f>AVERAGEIFS(well_info!K$2:K$198,well_info!B$2:B$198,Table1[[#This Row],[Fieldcode]],well_info!K$2:K$198,"&lt;&gt;")</f>
        <v>295</v>
      </c>
      <c r="K5" s="13" t="str">
        <f>IFERROR(AVERAGEIFS(well_info!M$2:M$198,well_info!B$2:B$198,Table1[[#This Row],[Fieldcode]],well_info!M$2:M$198,"&lt;&gt;")," ")</f>
        <v xml:space="preserve"> </v>
      </c>
      <c r="L5" s="11">
        <f>IFERROR(AVERAGEIFS(well_info!N$2:N$198,well_info!B$2:B$198,Table1[[#This Row],[Fieldcode]],well_info!N$2:N$198,"&lt;&gt;"),"")</f>
        <v>6.4500000000000002E-2</v>
      </c>
      <c r="M5" s="3" t="str">
        <f>IFERROR(AVERAGEIFS(well_info!O$2:O$198,well_info!B$2:B$198,Table1[[#This Row],[Fieldcode]],well_info!O$2:O$198,"&lt;&gt;"),"")</f>
        <v/>
      </c>
      <c r="N5" s="13">
        <f>AVERAGEIFS(well_info!V$2:V$198,well_info!B$2:B$198,Table1[[#This Row],[Fieldcode]],well_info!V$2:V$198,"&lt;&gt;")</f>
        <v>76</v>
      </c>
      <c r="P5" s="13" t="str">
        <f>IFERROR(AVERAGEIFS(well_info!U$2:U$198,well_info!B$2:B$198,Table1[[#This Row],[Fieldcode]],well_info!U$2:U$198,"&lt;&gt;"),"")</f>
        <v/>
      </c>
      <c r="Q5" s="13" t="str">
        <f>IFERROR(AVERAGEIFS(well_info!U$2:U$198,well_info!B$2:B$198,Table1[[#This Row],[Fieldcode]],well_info!U$2:U$198,"&lt;&gt;",well_info!E$2:E$198,"injectie"),"")</f>
        <v/>
      </c>
      <c r="U5">
        <f>IFERROR(AVERAGEIFS(well_info!T$2:T$198,well_info!B$2:B$198,Table1[[#This Row],[Fieldcode]],well_info!T$2:T$198,"&lt;&gt;"),"")</f>
        <v>57500</v>
      </c>
      <c r="V5">
        <v>11</v>
      </c>
      <c r="W5" s="6">
        <v>41433</v>
      </c>
      <c r="X5" s="6">
        <v>43251</v>
      </c>
      <c r="Y5">
        <v>3</v>
      </c>
      <c r="Z5">
        <v>1</v>
      </c>
      <c r="AA5" t="s">
        <v>284</v>
      </c>
      <c r="AB5" t="s">
        <v>105</v>
      </c>
      <c r="AC5" t="s">
        <v>134</v>
      </c>
      <c r="AE5">
        <v>1050</v>
      </c>
      <c r="AF5">
        <v>51.422188050000003</v>
      </c>
      <c r="AG5">
        <v>6.0913930199999999</v>
      </c>
      <c r="AH5" t="s">
        <v>343</v>
      </c>
    </row>
    <row r="6" spans="1:34" x14ac:dyDescent="0.25">
      <c r="A6" t="s">
        <v>254</v>
      </c>
      <c r="B6" t="s">
        <v>255</v>
      </c>
      <c r="C6" t="s">
        <v>274</v>
      </c>
      <c r="D6" t="s">
        <v>17</v>
      </c>
      <c r="E6" t="s">
        <v>101</v>
      </c>
      <c r="F6" t="s">
        <v>293</v>
      </c>
      <c r="G6" t="str">
        <f>INDEX(well_info!A$2:AB$198,MATCH(Table1[[#This Row],[Fieldcode]],well_info!B$2:B$198,0),6)</f>
        <v>CL/CF/OB</v>
      </c>
      <c r="H6" t="str">
        <f>INDEX(well_info!A$2:AB$198,MATCH(Table1[[#This Row],[Fieldcode]],well_info!B$2:B$198,0),8)</f>
        <v>Zeeland Formation, Pont d'Arcole Formation, Bosscheveld Formation, Condroz</v>
      </c>
      <c r="I6" s="13">
        <f>AVERAGEIFS(well_info!J$2:J$198,well_info!B$2:B$198,Table1[[#This Row],[Fieldcode]],well_info!J$2:J$198,"&lt;&gt;")</f>
        <v>1480.5</v>
      </c>
      <c r="J6" s="13">
        <f>AVERAGEIFS(well_info!K$2:K$198,well_info!B$2:B$198,Table1[[#This Row],[Fieldcode]],well_info!K$2:K$198,"&lt;&gt;")</f>
        <v>684</v>
      </c>
      <c r="K6" s="13">
        <f>IFERROR(AVERAGEIFS(well_info!M$2:M$198,well_info!B$2:B$198,Table1[[#This Row],[Fieldcode]],well_info!M$2:M$198,"&lt;&gt;")," ")</f>
        <v>0.62085561497326203</v>
      </c>
      <c r="L6" s="11">
        <f>IFERROR(AVERAGEIFS(well_info!N$2:N$198,well_info!B$2:B$198,Table1[[#This Row],[Fieldcode]],well_info!N$2:N$198,"&lt;&gt;"),"")</f>
        <v>0.03</v>
      </c>
      <c r="M6" s="3">
        <f>IFERROR(AVERAGEIFS(well_info!O$2:O$198,well_info!B$2:B$198,Table1[[#This Row],[Fieldcode]],well_info!O$2:O$198,"&lt;&gt;"),"")</f>
        <v>89.75</v>
      </c>
      <c r="N6" s="13">
        <f>AVERAGEIFS(well_info!V$2:V$198,well_info!B$2:B$198,Table1[[#This Row],[Fieldcode]],well_info!V$2:V$198,"&lt;&gt;")</f>
        <v>77.900000000000006</v>
      </c>
      <c r="O6">
        <v>30</v>
      </c>
      <c r="P6" s="13">
        <f>IFERROR(AVERAGEIFS(well_info!U$2:U$198,well_info!B$2:B$198,Table1[[#This Row],[Fieldcode]],well_info!U$2:U$198,"&lt;&gt;"),"")</f>
        <v>14.574999999999999</v>
      </c>
      <c r="Q6" s="13">
        <f>IFERROR(AVERAGEIFS(well_info!U$2:U$198,well_info!B$2:B$198,Table1[[#This Row],[Fieldcode]],well_info!U$2:U$198,"&lt;&gt;",well_info!E$2:E$198,"injectie"),"")</f>
        <v>13.65</v>
      </c>
      <c r="R6">
        <v>4.3</v>
      </c>
      <c r="S6">
        <v>230</v>
      </c>
      <c r="T6">
        <v>198</v>
      </c>
      <c r="U6">
        <f>IFERROR(AVERAGEIFS(well_info!T$2:T$198,well_info!B$2:B$198,Table1[[#This Row],[Fieldcode]],well_info!T$2:T$198,"&lt;&gt;"),"")</f>
        <v>73000</v>
      </c>
      <c r="V6">
        <v>18</v>
      </c>
      <c r="W6" s="6">
        <v>42898</v>
      </c>
      <c r="X6" s="6">
        <v>43346</v>
      </c>
      <c r="Y6">
        <v>2</v>
      </c>
      <c r="Z6">
        <v>1</v>
      </c>
      <c r="AA6" t="s">
        <v>11</v>
      </c>
      <c r="AB6" t="s">
        <v>10</v>
      </c>
      <c r="AE6">
        <v>3000</v>
      </c>
      <c r="AF6">
        <v>51.433096949999999</v>
      </c>
      <c r="AG6">
        <v>6.08354135</v>
      </c>
    </row>
    <row r="7" spans="1:34" x14ac:dyDescent="0.25">
      <c r="A7" t="s">
        <v>51</v>
      </c>
      <c r="B7" t="s">
        <v>50</v>
      </c>
      <c r="C7" t="s">
        <v>30</v>
      </c>
      <c r="D7" t="s">
        <v>55</v>
      </c>
      <c r="E7" t="s">
        <v>45</v>
      </c>
      <c r="F7" t="s">
        <v>292</v>
      </c>
      <c r="G7" t="str">
        <f>INDEX(well_info!A$2:AB$198,MATCH(Table1[[#This Row],[Fieldcode]],well_info!B$2:B$198,0),6)</f>
        <v>SL</v>
      </c>
      <c r="H7" t="str">
        <f>INDEX(well_info!A$2:AB$198,MATCH(Table1[[#This Row],[Fieldcode]],well_info!B$2:B$198,0),8)</f>
        <v>Delft Sandstone Member and Alblasserdam Member</v>
      </c>
      <c r="I7" s="13">
        <f>AVERAGEIFS(well_info!J$2:J$198,well_info!B$2:B$198,Table1[[#This Row],[Fieldcode]],well_info!J$2:J$198,"&lt;&gt;")</f>
        <v>2355.5</v>
      </c>
      <c r="J7" s="13">
        <f>AVERAGEIFS(well_info!K$2:K$198,well_info!B$2:B$198,Table1[[#This Row],[Fieldcode]],well_info!K$2:K$198,"&lt;&gt;")</f>
        <v>188</v>
      </c>
      <c r="K7" s="13">
        <f>IFERROR(AVERAGEIFS(well_info!M$2:M$198,well_info!B$2:B$198,Table1[[#This Row],[Fieldcode]],well_info!M$2:M$198,"&lt;&gt;")," ")</f>
        <v>0.5</v>
      </c>
      <c r="L7" s="11">
        <f>IFERROR(AVERAGEIFS(well_info!N$2:N$198,well_info!B$2:B$198,Table1[[#This Row],[Fieldcode]],well_info!N$2:N$198,"&lt;&gt;"),"")</f>
        <v>0.16550000000000001</v>
      </c>
      <c r="M7" s="3">
        <f>IFERROR(AVERAGEIFS(well_info!O$2:O$198,well_info!B$2:B$198,Table1[[#This Row],[Fieldcode]],well_info!O$2:O$198,"&lt;&gt;"),"")</f>
        <v>1115</v>
      </c>
      <c r="N7" s="13">
        <f>AVERAGEIFS(well_info!V$2:V$198,well_info!B$2:B$198,Table1[[#This Row],[Fieldcode]],well_info!V$2:V$198,"&lt;&gt;")</f>
        <v>89.5</v>
      </c>
      <c r="O7">
        <v>15</v>
      </c>
      <c r="P7" s="13">
        <f>IFERROR(AVERAGEIFS(well_info!U$2:U$198,well_info!B$2:B$198,Table1[[#This Row],[Fieldcode]],well_info!U$2:U$198,"&lt;&gt;"),"")</f>
        <v>24.2</v>
      </c>
      <c r="Q7" s="13">
        <f>IFERROR(AVERAGEIFS(well_info!U$2:U$198,well_info!B$2:B$198,Table1[[#This Row],[Fieldcode]],well_info!U$2:U$198,"&lt;&gt;",well_info!E$2:E$198,"injectie"),"")</f>
        <v>23.9</v>
      </c>
      <c r="R7">
        <v>7</v>
      </c>
      <c r="S7">
        <v>325</v>
      </c>
      <c r="T7">
        <v>245</v>
      </c>
      <c r="U7">
        <f>IFERROR(AVERAGEIFS(well_info!T$2:T$198,well_info!B$2:B$198,Table1[[#This Row],[Fieldcode]],well_info!T$2:T$198,"&lt;&gt;"),"")</f>
        <v>140000</v>
      </c>
      <c r="V7">
        <v>16</v>
      </c>
      <c r="W7" s="6">
        <v>41944</v>
      </c>
      <c r="X7" s="6"/>
      <c r="Y7">
        <v>2</v>
      </c>
      <c r="Z7">
        <v>1</v>
      </c>
      <c r="AA7" t="s">
        <v>52</v>
      </c>
      <c r="AB7" t="s">
        <v>54</v>
      </c>
      <c r="AE7">
        <v>1680</v>
      </c>
      <c r="AF7">
        <v>51.977601989999997</v>
      </c>
      <c r="AG7">
        <v>4.2835993700000001</v>
      </c>
    </row>
    <row r="8" spans="1:34" x14ac:dyDescent="0.25">
      <c r="A8" t="s">
        <v>261</v>
      </c>
      <c r="B8" t="s">
        <v>95</v>
      </c>
      <c r="C8" t="s">
        <v>36</v>
      </c>
      <c r="D8" t="s">
        <v>262</v>
      </c>
      <c r="E8" t="s">
        <v>101</v>
      </c>
      <c r="F8" t="s">
        <v>292</v>
      </c>
      <c r="G8" t="str">
        <f>INDEX(well_info!A$2:AB$198,MATCH(Table1[[#This Row],[Fieldcode]],well_info!B$2:B$198,0),6)</f>
        <v>SL</v>
      </c>
      <c r="H8" t="str">
        <f>INDEX(well_info!A$2:AB$198,MATCH(Table1[[#This Row],[Fieldcode]],well_info!B$2:B$198,0),8)</f>
        <v>Delft Sandstone Member</v>
      </c>
      <c r="I8" s="13">
        <f>AVERAGEIFS(well_info!J$2:J$198,well_info!B$2:B$198,Table1[[#This Row],[Fieldcode]],well_info!J$2:J$198,"&lt;&gt;")</f>
        <v>1984</v>
      </c>
      <c r="J8" s="13">
        <f>AVERAGEIFS(well_info!K$2:K$198,well_info!B$2:B$198,Table1[[#This Row],[Fieldcode]],well_info!K$2:K$198,"&lt;&gt;")</f>
        <v>105</v>
      </c>
      <c r="K8" s="13">
        <f>IFERROR(AVERAGEIFS(well_info!M$2:M$198,well_info!B$2:B$198,Table1[[#This Row],[Fieldcode]],well_info!M$2:M$198,"&lt;&gt;")," ")</f>
        <v>0.75</v>
      </c>
      <c r="L8" s="11">
        <f>IFERROR(AVERAGEIFS(well_info!N$2:N$198,well_info!B$2:B$198,Table1[[#This Row],[Fieldcode]],well_info!N$2:N$198,"&lt;&gt;"),"")</f>
        <v>0.19</v>
      </c>
      <c r="M8" s="3">
        <f>IFERROR(AVERAGEIFS(well_info!O$2:O$198,well_info!B$2:B$198,Table1[[#This Row],[Fieldcode]],well_info!O$2:O$198,"&lt;&gt;"),"")</f>
        <v>1850</v>
      </c>
      <c r="N8" s="13">
        <f>AVERAGEIFS(well_info!V$2:V$198,well_info!B$2:B$198,Table1[[#This Row],[Fieldcode]],well_info!V$2:V$198,"&lt;&gt;")</f>
        <v>73</v>
      </c>
      <c r="O8">
        <v>45</v>
      </c>
      <c r="P8" s="13">
        <f>IFERROR(AVERAGEIFS(well_info!U$2:U$198,well_info!B$2:B$198,Table1[[#This Row],[Fieldcode]],well_info!U$2:U$198,"&lt;&gt;"),"")</f>
        <v>20.6</v>
      </c>
      <c r="Q8" s="13">
        <f>IFERROR(AVERAGEIFS(well_info!U$2:U$198,well_info!B$2:B$198,Table1[[#This Row],[Fieldcode]],well_info!U$2:U$198,"&lt;&gt;",well_info!E$2:E$198,"injectie"),"")</f>
        <v>17.899999999999999</v>
      </c>
      <c r="S8">
        <v>165</v>
      </c>
      <c r="U8">
        <f>IFERROR(AVERAGEIFS(well_info!T$2:T$198,well_info!B$2:B$198,Table1[[#This Row],[Fieldcode]],well_info!T$2:T$198,"&lt;&gt;"),"")</f>
        <v>120000</v>
      </c>
      <c r="V8">
        <v>7</v>
      </c>
      <c r="W8" s="6">
        <v>44562</v>
      </c>
      <c r="X8" s="6"/>
      <c r="Y8">
        <v>2</v>
      </c>
      <c r="Z8">
        <v>1</v>
      </c>
      <c r="AA8" t="s">
        <v>93</v>
      </c>
      <c r="AB8" t="s">
        <v>94</v>
      </c>
      <c r="AE8">
        <v>2200</v>
      </c>
      <c r="AF8">
        <v>52.056276939999997</v>
      </c>
      <c r="AG8">
        <v>4.2688755499999997</v>
      </c>
      <c r="AH8" t="s">
        <v>305</v>
      </c>
    </row>
    <row r="9" spans="1:34" x14ac:dyDescent="0.25">
      <c r="A9" t="s">
        <v>42</v>
      </c>
      <c r="B9" t="s">
        <v>41</v>
      </c>
      <c r="C9" t="s">
        <v>40</v>
      </c>
      <c r="D9" t="s">
        <v>43</v>
      </c>
      <c r="E9" t="s">
        <v>45</v>
      </c>
      <c r="F9" t="s">
        <v>114</v>
      </c>
      <c r="G9" t="str">
        <f>INDEX(well_info!A$2:AB$198,MATCH(Table1[[#This Row],[Fieldcode]],well_info!B$2:B$198,0),6)</f>
        <v>RO</v>
      </c>
      <c r="H9" t="str">
        <f>INDEX(well_info!A$2:AB$198,MATCH(Table1[[#This Row],[Fieldcode]],well_info!B$2:B$198,0),8)</f>
        <v>Slochteren Formation</v>
      </c>
      <c r="I9" s="13">
        <f>AVERAGEIFS(well_info!J$2:J$198,well_info!B$2:B$198,Table1[[#This Row],[Fieldcode]],well_info!J$2:J$198,"&lt;&gt;")</f>
        <v>2457</v>
      </c>
      <c r="J9" s="13">
        <f>AVERAGEIFS(well_info!K$2:K$198,well_info!B$2:B$198,Table1[[#This Row],[Fieldcode]],well_info!K$2:K$198,"&lt;&gt;")</f>
        <v>197</v>
      </c>
      <c r="K9" s="13">
        <f>IFERROR(AVERAGEIFS(well_info!M$2:M$198,well_info!B$2:B$198,Table1[[#This Row],[Fieldcode]],well_info!M$2:M$198,"&lt;&gt;")," ")</f>
        <v>0.99</v>
      </c>
      <c r="L9" s="11">
        <f>IFERROR(AVERAGEIFS(well_info!N$2:N$198,well_info!B$2:B$198,Table1[[#This Row],[Fieldcode]],well_info!N$2:N$198,"&lt;&gt;"),"")</f>
        <v>0.17</v>
      </c>
      <c r="M9" s="3">
        <f>IFERROR(AVERAGEIFS(well_info!O$2:O$198,well_info!B$2:B$198,Table1[[#This Row],[Fieldcode]],well_info!O$2:O$198,"&lt;&gt;"),"")</f>
        <v>68.5</v>
      </c>
      <c r="N9" s="13">
        <f>AVERAGEIFS(well_info!V$2:V$198,well_info!B$2:B$198,Table1[[#This Row],[Fieldcode]],well_info!V$2:V$198,"&lt;&gt;")</f>
        <v>97.05</v>
      </c>
      <c r="O9">
        <v>35</v>
      </c>
      <c r="P9" s="13">
        <f>IFERROR(AVERAGEIFS(well_info!U$2:U$198,well_info!B$2:B$198,Table1[[#This Row],[Fieldcode]],well_info!U$2:U$198,"&lt;&gt;"),"")</f>
        <v>27</v>
      </c>
      <c r="Q9" s="13">
        <f>IFERROR(AVERAGEIFS(well_info!U$2:U$198,well_info!B$2:B$198,Table1[[#This Row],[Fieldcode]],well_info!U$2:U$198,"&lt;&gt;",well_info!E$2:E$198,"injectie"),"")</f>
        <v>27</v>
      </c>
      <c r="R9">
        <v>5.6</v>
      </c>
      <c r="S9">
        <v>120</v>
      </c>
      <c r="T9">
        <v>74</v>
      </c>
      <c r="U9">
        <f>IFERROR(AVERAGEIFS(well_info!T$2:T$198,well_info!B$2:B$198,Table1[[#This Row],[Fieldcode]],well_info!T$2:T$198,"&lt;&gt;"),"")</f>
        <v>194500</v>
      </c>
      <c r="V9">
        <v>10</v>
      </c>
      <c r="W9" s="6">
        <v>42095</v>
      </c>
      <c r="X9" s="6"/>
      <c r="Y9">
        <v>2</v>
      </c>
      <c r="Z9">
        <v>1</v>
      </c>
      <c r="AA9" t="s">
        <v>198</v>
      </c>
      <c r="AB9" t="s">
        <v>44</v>
      </c>
      <c r="AF9">
        <v>52.508126040000001</v>
      </c>
      <c r="AG9">
        <v>4.6418463399999998</v>
      </c>
    </row>
    <row r="10" spans="1:34" x14ac:dyDescent="0.25">
      <c r="A10" t="s">
        <v>253</v>
      </c>
      <c r="B10" t="s">
        <v>224</v>
      </c>
      <c r="C10" t="s">
        <v>29</v>
      </c>
      <c r="D10" t="s">
        <v>148</v>
      </c>
      <c r="E10" t="s">
        <v>45</v>
      </c>
      <c r="F10" t="s">
        <v>292</v>
      </c>
      <c r="G10" t="str">
        <f>INDEX(well_info!A$2:AB$198,MATCH(Table1[[#This Row],[Fieldcode]],well_info!B$2:B$198,0),6)</f>
        <v>SL</v>
      </c>
      <c r="H10" t="str">
        <f>INDEX(well_info!A$2:AB$198,MATCH(Table1[[#This Row],[Fieldcode]],well_info!B$2:B$198,0),8)</f>
        <v>Delft Sandstone Member</v>
      </c>
      <c r="I10" s="13">
        <f>AVERAGEIFS(well_info!J$2:J$198,well_info!B$2:B$198,Table1[[#This Row],[Fieldcode]],well_info!J$2:J$198,"&lt;&gt;")</f>
        <v>2265</v>
      </c>
      <c r="J10" s="13">
        <f>AVERAGEIFS(well_info!K$2:K$198,well_info!B$2:B$198,Table1[[#This Row],[Fieldcode]],well_info!K$2:K$198,"&lt;&gt;")</f>
        <v>157.5</v>
      </c>
      <c r="K10" s="13">
        <f>IFERROR(AVERAGEIFS(well_info!M$2:M$198,well_info!B$2:B$198,Table1[[#This Row],[Fieldcode]],well_info!M$2:M$198,"&lt;&gt;")," ")</f>
        <v>0.77</v>
      </c>
      <c r="L10" s="11">
        <f>IFERROR(AVERAGEIFS(well_info!N$2:N$198,well_info!B$2:B$198,Table1[[#This Row],[Fieldcode]],well_info!N$2:N$198,"&lt;&gt;"),"")</f>
        <v>0.20500000000000002</v>
      </c>
      <c r="M10" s="3">
        <f>IFERROR(AVERAGEIFS(well_info!O$2:O$198,well_info!B$2:B$198,Table1[[#This Row],[Fieldcode]],well_info!O$2:O$198,"&lt;&gt;"),"")</f>
        <v>1487.5</v>
      </c>
      <c r="N10" s="13">
        <f>AVERAGEIFS(well_info!V$2:V$198,well_info!B$2:B$198,Table1[[#This Row],[Fieldcode]],well_info!V$2:V$198,"&lt;&gt;")</f>
        <v>89.55</v>
      </c>
      <c r="O10">
        <v>35</v>
      </c>
      <c r="P10" s="13">
        <f>IFERROR(AVERAGEIFS(well_info!U$2:U$198,well_info!B$2:B$198,Table1[[#This Row],[Fieldcode]],well_info!U$2:U$198,"&lt;&gt;"),"")</f>
        <v>23.4</v>
      </c>
      <c r="Q10" s="13">
        <f>IFERROR(AVERAGEIFS(well_info!U$2:U$198,well_info!B$2:B$198,Table1[[#This Row],[Fieldcode]],well_info!U$2:U$198,"&lt;&gt;",well_info!E$2:E$198,"injectie"),"")</f>
        <v>23.5</v>
      </c>
      <c r="R10">
        <v>6</v>
      </c>
      <c r="T10">
        <v>210</v>
      </c>
      <c r="U10">
        <f>IFERROR(AVERAGEIFS(well_info!T$2:T$198,well_info!B$2:B$198,Table1[[#This Row],[Fieldcode]],well_info!T$2:T$198,"&lt;&gt;"),"")</f>
        <v>140000</v>
      </c>
      <c r="V10">
        <v>15</v>
      </c>
      <c r="W10" s="6">
        <v>42856</v>
      </c>
      <c r="X10" s="6"/>
      <c r="Y10">
        <v>2</v>
      </c>
      <c r="Z10">
        <v>1</v>
      </c>
      <c r="AA10" t="s">
        <v>74</v>
      </c>
      <c r="AB10" t="s">
        <v>75</v>
      </c>
      <c r="AE10">
        <v>1905</v>
      </c>
      <c r="AF10">
        <v>52.024480709999999</v>
      </c>
      <c r="AG10">
        <v>4.2391302599999996</v>
      </c>
    </row>
    <row r="11" spans="1:34" x14ac:dyDescent="0.25">
      <c r="A11" t="s">
        <v>46</v>
      </c>
      <c r="B11" t="s">
        <v>47</v>
      </c>
      <c r="C11" t="s">
        <v>35</v>
      </c>
      <c r="D11" t="s">
        <v>251</v>
      </c>
      <c r="E11" t="s">
        <v>101</v>
      </c>
      <c r="F11" t="s">
        <v>292</v>
      </c>
      <c r="G11" t="str">
        <f>INDEX(well_info!A$2:AB$198,MATCH(Table1[[#This Row],[Fieldcode]],well_info!B$2:B$198,0),6)</f>
        <v>SL</v>
      </c>
      <c r="H11" t="str">
        <f>INDEX(well_info!A$2:AB$198,MATCH(Table1[[#This Row],[Fieldcode]],well_info!B$2:B$198,0),8)</f>
        <v>Delft Sandstone Member</v>
      </c>
      <c r="I11" s="13">
        <f>AVERAGEIFS(well_info!J$2:J$198,well_info!B$2:B$198,Table1[[#This Row],[Fieldcode]],well_info!J$2:J$198,"&lt;&gt;")</f>
        <v>2403</v>
      </c>
      <c r="J11" s="13">
        <f>AVERAGEIFS(well_info!K$2:K$198,well_info!B$2:B$198,Table1[[#This Row],[Fieldcode]],well_info!K$2:K$198,"&lt;&gt;")</f>
        <v>63</v>
      </c>
      <c r="K11" s="13">
        <f>IFERROR(AVERAGEIFS(well_info!M$2:M$198,well_info!B$2:B$198,Table1[[#This Row],[Fieldcode]],well_info!M$2:M$198,"&lt;&gt;")," ")</f>
        <v>0.55000000000000004</v>
      </c>
      <c r="L11" s="11">
        <f>IFERROR(AVERAGEIFS(well_info!N$2:N$198,well_info!B$2:B$198,Table1[[#This Row],[Fieldcode]],well_info!N$2:N$198,"&lt;&gt;"),"")</f>
        <v>0.16400000000000001</v>
      </c>
      <c r="M11" s="3">
        <f>IFERROR(AVERAGEIFS(well_info!O$2:O$198,well_info!B$2:B$198,Table1[[#This Row],[Fieldcode]],well_info!O$2:O$198,"&lt;&gt;"),"")</f>
        <v>150</v>
      </c>
      <c r="N11" s="13">
        <f>AVERAGEIFS(well_info!V$2:V$198,well_info!B$2:B$198,Table1[[#This Row],[Fieldcode]],well_info!V$2:V$198,"&lt;&gt;")</f>
        <v>93.5</v>
      </c>
      <c r="O11">
        <v>12</v>
      </c>
      <c r="P11" s="13">
        <f>IFERROR(AVERAGEIFS(well_info!U$2:U$198,well_info!B$2:B$198,Table1[[#This Row],[Fieldcode]],well_info!U$2:U$198,"&lt;&gt;"),"")</f>
        <v>25.5</v>
      </c>
      <c r="Q11" s="13" t="str">
        <f>IFERROR(AVERAGEIFS(well_info!U$2:U$198,well_info!B$2:B$198,Table1[[#This Row],[Fieldcode]],well_info!U$2:U$198,"&lt;&gt;",well_info!E$2:E$198,"injectie"),"")</f>
        <v/>
      </c>
      <c r="R11">
        <v>3.4</v>
      </c>
      <c r="S11">
        <v>400</v>
      </c>
      <c r="U11">
        <f>IFERROR(AVERAGEIFS(well_info!T$2:T$198,well_info!B$2:B$198,Table1[[#This Row],[Fieldcode]],well_info!T$2:T$198,"&lt;&gt;"),"")</f>
        <v>125381.5</v>
      </c>
      <c r="V11">
        <v>11.5</v>
      </c>
      <c r="W11" s="6">
        <v>41671</v>
      </c>
      <c r="X11" s="6">
        <v>43922</v>
      </c>
      <c r="Y11">
        <v>2</v>
      </c>
      <c r="Z11">
        <v>1</v>
      </c>
      <c r="AA11" t="s">
        <v>49</v>
      </c>
      <c r="AB11" t="s">
        <v>48</v>
      </c>
      <c r="AE11">
        <v>1630</v>
      </c>
      <c r="AF11">
        <v>52.016142930000001</v>
      </c>
      <c r="AG11">
        <v>4.2266382399999998</v>
      </c>
      <c r="AH11" t="s">
        <v>357</v>
      </c>
    </row>
    <row r="12" spans="1:34" x14ac:dyDescent="0.25">
      <c r="A12" t="s">
        <v>270</v>
      </c>
      <c r="B12" t="s">
        <v>86</v>
      </c>
      <c r="C12" t="s">
        <v>267</v>
      </c>
      <c r="D12" t="s">
        <v>88</v>
      </c>
      <c r="E12" t="s">
        <v>45</v>
      </c>
      <c r="F12" t="s">
        <v>114</v>
      </c>
      <c r="G12" t="str">
        <f>INDEX(well_info!A$2:AB$198,MATCH(Table1[[#This Row],[Fieldcode]],well_info!B$2:B$198,0),6)</f>
        <v>RO</v>
      </c>
      <c r="H12" t="str">
        <f>INDEX(well_info!A$2:AB$198,MATCH(Table1[[#This Row],[Fieldcode]],well_info!B$2:B$198,0),8)</f>
        <v>Slochteren Formation</v>
      </c>
      <c r="I12" s="13">
        <f>AVERAGEIFS(well_info!J$2:J$198,well_info!B$2:B$198,Table1[[#This Row],[Fieldcode]],well_info!J$2:J$198,"&lt;&gt;")</f>
        <v>1850</v>
      </c>
      <c r="J12" s="13">
        <f>AVERAGEIFS(well_info!K$2:K$198,well_info!B$2:B$198,Table1[[#This Row],[Fieldcode]],well_info!K$2:K$198,"&lt;&gt;")</f>
        <v>87</v>
      </c>
      <c r="K12" s="13">
        <f>IFERROR(AVERAGEIFS(well_info!M$2:M$198,well_info!B$2:B$198,Table1[[#This Row],[Fieldcode]],well_info!M$2:M$198,"&lt;&gt;")," ")</f>
        <v>0.65</v>
      </c>
      <c r="L12" s="11">
        <f>IFERROR(AVERAGEIFS(well_info!N$2:N$198,well_info!B$2:B$198,Table1[[#This Row],[Fieldcode]],well_info!N$2:N$198,"&lt;&gt;"),"")</f>
        <v>0.17800000000000002</v>
      </c>
      <c r="M12" s="3">
        <f>IFERROR(AVERAGEIFS(well_info!O$2:O$198,well_info!B$2:B$198,Table1[[#This Row],[Fieldcode]],well_info!O$2:O$198,"&lt;&gt;"),"")</f>
        <v>191</v>
      </c>
      <c r="N12" s="13">
        <f>AVERAGEIFS(well_info!V$2:V$198,well_info!B$2:B$198,Table1[[#This Row],[Fieldcode]],well_info!V$2:V$198,"&lt;&gt;")</f>
        <v>74.666666666666671</v>
      </c>
      <c r="O12">
        <v>35</v>
      </c>
      <c r="P12" s="13">
        <f>IFERROR(AVERAGEIFS(well_info!U$2:U$198,well_info!B$2:B$198,Table1[[#This Row],[Fieldcode]],well_info!U$2:U$198,"&lt;&gt;"),"")</f>
        <v>19.666666666666668</v>
      </c>
      <c r="Q12" s="13">
        <f>IFERROR(AVERAGEIFS(well_info!U$2:U$198,well_info!B$2:B$198,Table1[[#This Row],[Fieldcode]],well_info!U$2:U$198,"&lt;&gt;",well_info!E$2:E$198,"injectie"),"")</f>
        <v>19.600000000000001</v>
      </c>
      <c r="R12">
        <v>7.5</v>
      </c>
      <c r="S12">
        <v>260</v>
      </c>
      <c r="T12">
        <v>126</v>
      </c>
      <c r="U12">
        <f>IFERROR(AVERAGEIFS(well_info!T$2:T$198,well_info!B$2:B$198,Table1[[#This Row],[Fieldcode]],well_info!T$2:T$198,"&lt;&gt;"),"")</f>
        <v>128000</v>
      </c>
      <c r="V12">
        <v>7.4</v>
      </c>
      <c r="W12" s="6">
        <v>41244</v>
      </c>
      <c r="X12" s="6"/>
      <c r="Y12">
        <v>3</v>
      </c>
      <c r="Z12">
        <v>1</v>
      </c>
      <c r="AA12" t="s">
        <v>87</v>
      </c>
      <c r="AB12" t="s">
        <v>168</v>
      </c>
      <c r="AC12" t="s">
        <v>200</v>
      </c>
      <c r="AE12">
        <v>1580</v>
      </c>
      <c r="AF12">
        <v>52.58095582</v>
      </c>
      <c r="AG12">
        <v>5.9504193599999997</v>
      </c>
      <c r="AH12" t="s">
        <v>352</v>
      </c>
    </row>
    <row r="13" spans="1:34" x14ac:dyDescent="0.25">
      <c r="A13" t="s">
        <v>259</v>
      </c>
      <c r="B13" t="s">
        <v>80</v>
      </c>
      <c r="C13" t="s">
        <v>85</v>
      </c>
      <c r="D13" t="s">
        <v>81</v>
      </c>
      <c r="E13" t="s">
        <v>45</v>
      </c>
      <c r="F13" t="s">
        <v>292</v>
      </c>
      <c r="G13" t="str">
        <f>INDEX(well_info!A$2:AB$198,MATCH(Table1[[#This Row],[Fieldcode]],well_info!B$2:B$198,0),6)</f>
        <v>SL</v>
      </c>
      <c r="H13" t="str">
        <f>INDEX(well_info!A$2:AB$198,MATCH(Table1[[#This Row],[Fieldcode]],well_info!B$2:B$198,0),8)</f>
        <v>Delft Sandstone Member, Alblasserdam Member</v>
      </c>
      <c r="I13" s="13">
        <f>AVERAGEIFS(well_info!J$2:J$198,well_info!B$2:B$198,Table1[[#This Row],[Fieldcode]],well_info!J$2:J$198,"&lt;&gt;")</f>
        <v>2240</v>
      </c>
      <c r="J13" s="13">
        <f>AVERAGEIFS(well_info!K$2:K$198,well_info!B$2:B$198,Table1[[#This Row],[Fieldcode]],well_info!K$2:K$198,"&lt;&gt;")</f>
        <v>210.5</v>
      </c>
      <c r="K13" s="13">
        <f>IFERROR(AVERAGEIFS(well_info!M$2:M$198,well_info!B$2:B$198,Table1[[#This Row],[Fieldcode]],well_info!M$2:M$198,"&lt;&gt;")," ")</f>
        <v>0.8</v>
      </c>
      <c r="L13" s="11">
        <f>IFERROR(AVERAGEIFS(well_info!N$2:N$198,well_info!B$2:B$198,Table1[[#This Row],[Fieldcode]],well_info!N$2:N$198,"&lt;&gt;"),"")</f>
        <v>0.18</v>
      </c>
      <c r="M13" s="3">
        <f>IFERROR(AVERAGEIFS(well_info!O$2:O$198,well_info!B$2:B$198,Table1[[#This Row],[Fieldcode]],well_info!O$2:O$198,"&lt;&gt;"),"")</f>
        <v>862</v>
      </c>
      <c r="N13" s="13">
        <f>AVERAGEIFS(well_info!V$2:V$198,well_info!B$2:B$198,Table1[[#This Row],[Fieldcode]],well_info!V$2:V$198,"&lt;&gt;")</f>
        <v>88.5</v>
      </c>
      <c r="O13">
        <v>30</v>
      </c>
      <c r="P13" s="13">
        <f>IFERROR(AVERAGEIFS(well_info!U$2:U$198,well_info!B$2:B$198,Table1[[#This Row],[Fieldcode]],well_info!U$2:U$198,"&lt;&gt;"),"")</f>
        <v>23.699199999999998</v>
      </c>
      <c r="Q13" s="13">
        <f>IFERROR(AVERAGEIFS(well_info!U$2:U$198,well_info!B$2:B$198,Table1[[#This Row],[Fieldcode]],well_info!U$2:U$198,"&lt;&gt;",well_info!E$2:E$198,"injectie"),"")</f>
        <v>23.678039999999999</v>
      </c>
      <c r="R13">
        <v>4.2</v>
      </c>
      <c r="S13">
        <v>360</v>
      </c>
      <c r="T13">
        <v>220</v>
      </c>
      <c r="U13">
        <f>IFERROR(AVERAGEIFS(well_info!T$2:T$198,well_info!B$2:B$198,Table1[[#This Row],[Fieldcode]],well_info!T$2:T$198,"&lt;&gt;"),"")</f>
        <v>120000</v>
      </c>
      <c r="V13">
        <v>16</v>
      </c>
      <c r="W13" s="6">
        <v>43252</v>
      </c>
      <c r="X13" s="6"/>
      <c r="Y13">
        <v>2</v>
      </c>
      <c r="Z13">
        <v>1</v>
      </c>
      <c r="AA13" t="s">
        <v>83</v>
      </c>
      <c r="AB13" t="s">
        <v>84</v>
      </c>
      <c r="AE13">
        <v>1625</v>
      </c>
      <c r="AF13">
        <v>52.007234680000003</v>
      </c>
      <c r="AG13">
        <v>4.2709406300000001</v>
      </c>
    </row>
    <row r="14" spans="1:34" x14ac:dyDescent="0.25">
      <c r="A14" t="s">
        <v>258</v>
      </c>
      <c r="B14" t="s">
        <v>56</v>
      </c>
      <c r="C14" t="s">
        <v>268</v>
      </c>
      <c r="D14" t="s">
        <v>99</v>
      </c>
      <c r="E14" t="s">
        <v>45</v>
      </c>
      <c r="F14" t="s">
        <v>113</v>
      </c>
      <c r="G14" t="str">
        <f>INDEX(well_info!A$2:AB$198,MATCH(Table1[[#This Row],[Fieldcode]],well_info!B$2:B$198,0),6)</f>
        <v>KN/SL</v>
      </c>
      <c r="H14" t="str">
        <f>INDEX(well_info!A$2:AB$198,MATCH(Table1[[#This Row],[Fieldcode]],well_info!B$2:B$198,0),8)</f>
        <v>Berkel Sandstone Member, Delft Sandstone Member, Alblasserdam Member</v>
      </c>
      <c r="I14" s="13">
        <f>AVERAGEIFS(well_info!J$2:J$198,well_info!B$2:B$198,Table1[[#This Row],[Fieldcode]],well_info!J$2:J$198,"&lt;&gt;")</f>
        <v>1588.5</v>
      </c>
      <c r="J14" s="13">
        <f>AVERAGEIFS(well_info!K$2:K$198,well_info!B$2:B$198,Table1[[#This Row],[Fieldcode]],well_info!K$2:K$198,"&lt;&gt;")</f>
        <v>88</v>
      </c>
      <c r="K14" s="13">
        <f>IFERROR(AVERAGEIFS(well_info!M$2:M$198,well_info!B$2:B$198,Table1[[#This Row],[Fieldcode]],well_info!M$2:M$198,"&lt;&gt;")," ")</f>
        <v>0.47</v>
      </c>
      <c r="L14" s="11">
        <f>IFERROR(AVERAGEIFS(well_info!N$2:N$198,well_info!B$2:B$198,Table1[[#This Row],[Fieldcode]],well_info!N$2:N$198,"&lt;&gt;"),"")</f>
        <v>0.19</v>
      </c>
      <c r="M14" s="3">
        <f>IFERROR(AVERAGEIFS(well_info!O$2:O$198,well_info!B$2:B$198,Table1[[#This Row],[Fieldcode]],well_info!O$2:O$198,"&lt;&gt;"),"")</f>
        <v>570</v>
      </c>
      <c r="N14" s="13">
        <f>AVERAGEIFS(well_info!V$2:V$198,well_info!B$2:B$198,Table1[[#This Row],[Fieldcode]],well_info!V$2:V$198,"&lt;&gt;")</f>
        <v>62</v>
      </c>
      <c r="O14">
        <v>20</v>
      </c>
      <c r="P14" s="13">
        <f>IFERROR(AVERAGEIFS(well_info!U$2:U$198,well_info!B$2:B$198,Table1[[#This Row],[Fieldcode]],well_info!U$2:U$198,"&lt;&gt;"),"")</f>
        <v>16.399999999999999</v>
      </c>
      <c r="Q14" s="13" t="str">
        <f>IFERROR(AVERAGEIFS(well_info!U$2:U$198,well_info!B$2:B$198,Table1[[#This Row],[Fieldcode]],well_info!U$2:U$198,"&lt;&gt;",well_info!E$2:E$198,"injectie"),"")</f>
        <v/>
      </c>
      <c r="R14">
        <v>4.7</v>
      </c>
      <c r="S14">
        <v>360</v>
      </c>
      <c r="T14">
        <v>275</v>
      </c>
      <c r="U14">
        <f>IFERROR(AVERAGEIFS(well_info!T$2:T$198,well_info!B$2:B$198,Table1[[#This Row],[Fieldcode]],well_info!T$2:T$198,"&lt;&gt;"),"")</f>
        <v>121000</v>
      </c>
      <c r="V14">
        <v>14.8</v>
      </c>
      <c r="W14" s="7">
        <v>43221</v>
      </c>
      <c r="X14" s="7"/>
      <c r="Y14">
        <v>2</v>
      </c>
      <c r="Z14">
        <v>1</v>
      </c>
      <c r="AA14" t="s">
        <v>57</v>
      </c>
      <c r="AB14" t="s">
        <v>58</v>
      </c>
      <c r="AF14">
        <v>52.003490640000003</v>
      </c>
      <c r="AG14">
        <v>4.5093695900000004</v>
      </c>
      <c r="AH14" t="s">
        <v>347</v>
      </c>
    </row>
    <row r="15" spans="1:34" x14ac:dyDescent="0.25">
      <c r="A15" t="s">
        <v>59</v>
      </c>
      <c r="B15" t="s">
        <v>61</v>
      </c>
      <c r="C15" t="s">
        <v>32</v>
      </c>
      <c r="D15" t="s">
        <v>31</v>
      </c>
      <c r="E15" t="s">
        <v>45</v>
      </c>
      <c r="F15" t="s">
        <v>114</v>
      </c>
      <c r="G15" t="str">
        <f>INDEX(well_info!A$2:AB$198,MATCH(Table1[[#This Row],[Fieldcode]],well_info!B$2:B$198,0),6)</f>
        <v>RO</v>
      </c>
      <c r="H15" t="str">
        <f>INDEX(well_info!A$2:AB$198,MATCH(Table1[[#This Row],[Fieldcode]],well_info!B$2:B$198,0),8)</f>
        <v>Slochteren Formation</v>
      </c>
      <c r="I15" s="13">
        <f>AVERAGEIFS(well_info!J$2:J$198,well_info!B$2:B$198,Table1[[#This Row],[Fieldcode]],well_info!J$2:J$198,"&lt;&gt;")</f>
        <v>1728</v>
      </c>
      <c r="J15" s="13">
        <f>AVERAGEIFS(well_info!K$2:K$198,well_info!B$2:B$198,Table1[[#This Row],[Fieldcode]],well_info!K$2:K$198,"&lt;&gt;")</f>
        <v>73</v>
      </c>
      <c r="K15" s="13">
        <f>IFERROR(AVERAGEIFS(well_info!M$2:M$198,well_info!B$2:B$198,Table1[[#This Row],[Fieldcode]],well_info!M$2:M$198,"&lt;&gt;")," ")</f>
        <v>0.97666666666666668</v>
      </c>
      <c r="L15" s="11">
        <f>IFERROR(AVERAGEIFS(well_info!N$2:N$198,well_info!B$2:B$198,Table1[[#This Row],[Fieldcode]],well_info!N$2:N$198,"&lt;&gt;"),"")</f>
        <v>0.17966666666666667</v>
      </c>
      <c r="M15" s="3">
        <f>IFERROR(AVERAGEIFS(well_info!O$2:O$198,well_info!B$2:B$198,Table1[[#This Row],[Fieldcode]],well_info!O$2:O$198,"&lt;&gt;"),"")</f>
        <v>258</v>
      </c>
      <c r="N15" s="13">
        <f>AVERAGEIFS(well_info!V$2:V$198,well_info!B$2:B$198,Table1[[#This Row],[Fieldcode]],well_info!V$2:V$198,"&lt;&gt;")</f>
        <v>76.466666666666683</v>
      </c>
      <c r="O15">
        <v>15</v>
      </c>
      <c r="P15" s="13">
        <f>IFERROR(AVERAGEIFS(well_info!U$2:U$198,well_info!B$2:B$198,Table1[[#This Row],[Fieldcode]],well_info!U$2:U$198,"&lt;&gt;"),"")</f>
        <v>19.2</v>
      </c>
      <c r="Q15" s="13">
        <f>IFERROR(AVERAGEIFS(well_info!U$2:U$198,well_info!B$2:B$198,Table1[[#This Row],[Fieldcode]],well_info!U$2:U$198,"&lt;&gt;",well_info!E$2:E$198,"injectie"),"")</f>
        <v>19.2</v>
      </c>
      <c r="R15">
        <v>5.6</v>
      </c>
      <c r="S15">
        <v>475</v>
      </c>
      <c r="U15">
        <f>IFERROR(AVERAGEIFS(well_info!T$2:T$198,well_info!B$2:B$198,Table1[[#This Row],[Fieldcode]],well_info!T$2:T$198,"&lt;&gt;"),"")</f>
        <v>152307.33333333334</v>
      </c>
      <c r="W15" s="6">
        <v>43532</v>
      </c>
      <c r="X15" s="6"/>
      <c r="Y15">
        <v>3</v>
      </c>
      <c r="Z15">
        <v>1</v>
      </c>
      <c r="AA15" t="s">
        <v>62</v>
      </c>
      <c r="AB15" t="s">
        <v>63</v>
      </c>
      <c r="AC15" t="s">
        <v>138</v>
      </c>
      <c r="AE15">
        <v>1425</v>
      </c>
      <c r="AF15">
        <v>52.740100519999999</v>
      </c>
      <c r="AG15">
        <v>5.8599148899999998</v>
      </c>
    </row>
    <row r="16" spans="1:34" x14ac:dyDescent="0.25">
      <c r="A16" t="s">
        <v>116</v>
      </c>
      <c r="B16" t="s">
        <v>118</v>
      </c>
      <c r="C16" t="s">
        <v>271</v>
      </c>
      <c r="D16" s="10" t="s">
        <v>117</v>
      </c>
      <c r="E16" t="s">
        <v>45</v>
      </c>
      <c r="F16" t="s">
        <v>114</v>
      </c>
      <c r="G16" t="str">
        <f>INDEX(well_info!A$2:AB$198,MATCH(Table1[[#This Row],[Fieldcode]],well_info!B$2:B$198,0),6)</f>
        <v>RO</v>
      </c>
      <c r="H16" t="str">
        <f>INDEX(well_info!A$2:AB$198,MATCH(Table1[[#This Row],[Fieldcode]],well_info!B$2:B$198,0),8)</f>
        <v>Slochteren Formation</v>
      </c>
      <c r="I16" s="13">
        <f>AVERAGEIFS(well_info!J$2:J$198,well_info!B$2:B$198,Table1[[#This Row],[Fieldcode]],well_info!J$2:J$198,"&lt;&gt;")</f>
        <v>1804.6666666666667</v>
      </c>
      <c r="J16" s="13">
        <f>AVERAGEIFS(well_info!K$2:K$198,well_info!B$2:B$198,Table1[[#This Row],[Fieldcode]],well_info!K$2:K$198,"&lt;&gt;")</f>
        <v>78.666666666666671</v>
      </c>
      <c r="K16" s="13" t="str">
        <f>IFERROR(AVERAGEIFS(well_info!M$2:M$198,well_info!B$2:B$198,Table1[[#This Row],[Fieldcode]],well_info!M$2:M$198,"&lt;&gt;")," ")</f>
        <v xml:space="preserve"> </v>
      </c>
      <c r="L16" s="11">
        <f>IFERROR(AVERAGEIFS(well_info!N$2:N$198,well_info!B$2:B$198,Table1[[#This Row],[Fieldcode]],well_info!N$2:N$198,"&lt;&gt;"),"")</f>
        <v>0.2</v>
      </c>
      <c r="M16" s="3" t="str">
        <f>IFERROR(AVERAGEIFS(well_info!O$2:O$198,well_info!B$2:B$198,Table1[[#This Row],[Fieldcode]],well_info!O$2:O$198,"&lt;&gt;"),"")</f>
        <v/>
      </c>
      <c r="N16" s="13">
        <f>AVERAGEIFS(well_info!V$2:V$198,well_info!B$2:B$198,Table1[[#This Row],[Fieldcode]],well_info!V$2:V$198,"&lt;&gt;")</f>
        <v>78</v>
      </c>
      <c r="O16">
        <v>15</v>
      </c>
      <c r="P16" s="13" t="str">
        <f>IFERROR(AVERAGEIFS(well_info!U$2:U$198,well_info!B$2:B$198,Table1[[#This Row],[Fieldcode]],well_info!U$2:U$198,"&lt;&gt;"),"")</f>
        <v/>
      </c>
      <c r="Q16" s="13" t="str">
        <f>IFERROR(AVERAGEIFS(well_info!U$2:U$198,well_info!B$2:B$198,Table1[[#This Row],[Fieldcode]],well_info!U$2:U$198,"&lt;&gt;",well_info!E$2:E$198,"injectie"),"")</f>
        <v/>
      </c>
      <c r="R16">
        <v>4.2</v>
      </c>
      <c r="S16">
        <v>351</v>
      </c>
      <c r="U16" t="str">
        <f>IFERROR(AVERAGEIFS(well_info!T$2:T$198,well_info!B$2:B$198,Table1[[#This Row],[Fieldcode]],well_info!T$2:T$198,"&lt;&gt;"),"")</f>
        <v/>
      </c>
      <c r="V16">
        <v>14</v>
      </c>
      <c r="W16" s="9" t="s">
        <v>207</v>
      </c>
      <c r="X16" s="6"/>
      <c r="Y16">
        <v>2</v>
      </c>
      <c r="Z16">
        <v>1</v>
      </c>
      <c r="AA16" t="s">
        <v>119</v>
      </c>
      <c r="AB16" t="s">
        <v>120</v>
      </c>
      <c r="AC16" t="s">
        <v>206</v>
      </c>
      <c r="AE16">
        <v>2563</v>
      </c>
      <c r="AF16">
        <v>52.75344467</v>
      </c>
      <c r="AG16">
        <v>5.8425774199999996</v>
      </c>
    </row>
    <row r="17" spans="1:34" x14ac:dyDescent="0.25">
      <c r="A17" t="s">
        <v>76</v>
      </c>
      <c r="B17" t="s">
        <v>195</v>
      </c>
      <c r="C17" t="s">
        <v>106</v>
      </c>
      <c r="D17" t="s">
        <v>256</v>
      </c>
      <c r="E17" t="s">
        <v>45</v>
      </c>
      <c r="F17" t="s">
        <v>292</v>
      </c>
      <c r="G17" t="str">
        <f>INDEX(well_info!A$2:AB$198,MATCH(Table1[[#This Row],[Fieldcode]],well_info!B$2:B$198,0),6)</f>
        <v>SL</v>
      </c>
      <c r="H17" t="str">
        <f>INDEX(well_info!A$2:AB$198,MATCH(Table1[[#This Row],[Fieldcode]],well_info!B$2:B$198,0),8)</f>
        <v>Alblasserdam Member</v>
      </c>
      <c r="I17" s="13">
        <f>AVERAGEIFS(well_info!J$2:J$198,well_info!B$2:B$198,Table1[[#This Row],[Fieldcode]],well_info!J$2:J$198,"&lt;&gt;")</f>
        <v>2667.5</v>
      </c>
      <c r="J17" s="13">
        <f>AVERAGEIFS(well_info!K$2:K$198,well_info!B$2:B$198,Table1[[#This Row],[Fieldcode]],well_info!K$2:K$198,"&lt;&gt;")</f>
        <v>141</v>
      </c>
      <c r="K17" s="13">
        <f>IFERROR(AVERAGEIFS(well_info!M$2:M$198,well_info!B$2:B$198,Table1[[#This Row],[Fieldcode]],well_info!M$2:M$198,"&lt;&gt;")," ")</f>
        <v>0.75</v>
      </c>
      <c r="L17" s="11">
        <f>IFERROR(AVERAGEIFS(well_info!N$2:N$198,well_info!B$2:B$198,Table1[[#This Row],[Fieldcode]],well_info!N$2:N$198,"&lt;&gt;"),"")</f>
        <v>0.17</v>
      </c>
      <c r="M17" s="3">
        <f>IFERROR(AVERAGEIFS(well_info!O$2:O$198,well_info!B$2:B$198,Table1[[#This Row],[Fieldcode]],well_info!O$2:O$198,"&lt;&gt;"),"")</f>
        <v>45.5</v>
      </c>
      <c r="N17" s="13">
        <f>AVERAGEIFS(well_info!V$2:V$198,well_info!B$2:B$198,Table1[[#This Row],[Fieldcode]],well_info!V$2:V$198,"&lt;&gt;")</f>
        <v>94.5</v>
      </c>
      <c r="O17">
        <v>5</v>
      </c>
      <c r="P17" s="13">
        <f>IFERROR(AVERAGEIFS(well_info!U$2:U$198,well_info!B$2:B$198,Table1[[#This Row],[Fieldcode]],well_info!U$2:U$198,"&lt;&gt;"),"")</f>
        <v>27.95</v>
      </c>
      <c r="Q17" s="13">
        <f>IFERROR(AVERAGEIFS(well_info!U$2:U$198,well_info!B$2:B$198,Table1[[#This Row],[Fieldcode]],well_info!U$2:U$198,"&lt;&gt;",well_info!E$2:E$198,"injectie"),"")</f>
        <v>27.5</v>
      </c>
      <c r="R17">
        <v>6.6</v>
      </c>
      <c r="S17">
        <v>260</v>
      </c>
      <c r="T17">
        <v>160</v>
      </c>
      <c r="U17">
        <f>IFERROR(AVERAGEIFS(well_info!T$2:T$198,well_info!B$2:B$198,Table1[[#This Row],[Fieldcode]],well_info!T$2:T$198,"&lt;&gt;"),"")</f>
        <v>11350</v>
      </c>
      <c r="V17">
        <v>18</v>
      </c>
      <c r="W17" s="6">
        <v>43221</v>
      </c>
      <c r="X17" s="6"/>
      <c r="Y17">
        <v>2</v>
      </c>
      <c r="Z17">
        <v>1</v>
      </c>
      <c r="AA17" t="s">
        <v>78</v>
      </c>
      <c r="AB17" t="s">
        <v>79</v>
      </c>
      <c r="AF17">
        <v>51.946383570000002</v>
      </c>
      <c r="AG17">
        <v>4.2402579899999999</v>
      </c>
    </row>
    <row r="18" spans="1:34" x14ac:dyDescent="0.25">
      <c r="A18" t="s">
        <v>257</v>
      </c>
      <c r="B18" t="s">
        <v>64</v>
      </c>
      <c r="C18" t="s">
        <v>236</v>
      </c>
      <c r="D18" t="s">
        <v>252</v>
      </c>
      <c r="E18" t="s">
        <v>45</v>
      </c>
      <c r="F18" t="s">
        <v>114</v>
      </c>
      <c r="G18" t="str">
        <f>INDEX(well_info!A$2:AB$198,MATCH(Table1[[#This Row],[Fieldcode]],well_info!B$2:B$198,0),6)</f>
        <v>RO</v>
      </c>
      <c r="H18" t="str">
        <f>INDEX(well_info!A$2:AB$198,MATCH(Table1[[#This Row],[Fieldcode]],well_info!B$2:B$198,0),8)</f>
        <v>Slochteren Formation</v>
      </c>
      <c r="I18" s="13">
        <f>AVERAGEIFS(well_info!J$2:J$198,well_info!B$2:B$198,Table1[[#This Row],[Fieldcode]],well_info!J$2:J$198,"&lt;&gt;")</f>
        <v>2191.5</v>
      </c>
      <c r="J18" s="13">
        <f>AVERAGEIFS(well_info!K$2:K$198,well_info!B$2:B$198,Table1[[#This Row],[Fieldcode]],well_info!K$2:K$198,"&lt;&gt;")</f>
        <v>191</v>
      </c>
      <c r="K18" s="13">
        <f>IFERROR(AVERAGEIFS(well_info!M$2:M$198,well_info!B$2:B$198,Table1[[#This Row],[Fieldcode]],well_info!M$2:M$198,"&lt;&gt;")," ")</f>
        <v>0.97833333333333339</v>
      </c>
      <c r="L18" s="11">
        <f>IFERROR(AVERAGEIFS(well_info!N$2:N$198,well_info!B$2:B$198,Table1[[#This Row],[Fieldcode]],well_info!N$2:N$198,"&lt;&gt;"),"")</f>
        <v>0.17199999999999999</v>
      </c>
      <c r="M18" s="3">
        <f>IFERROR(AVERAGEIFS(well_info!O$2:O$198,well_info!B$2:B$198,Table1[[#This Row],[Fieldcode]],well_info!O$2:O$198,"&lt;&gt;"),"")</f>
        <v>70.7</v>
      </c>
      <c r="N18" s="13">
        <f>AVERAGEIFS(well_info!V$2:V$198,well_info!B$2:B$198,Table1[[#This Row],[Fieldcode]],well_info!V$2:V$198,"&lt;&gt;")</f>
        <v>91.983333333333348</v>
      </c>
      <c r="O18">
        <v>30</v>
      </c>
      <c r="P18" s="13">
        <f>IFERROR(AVERAGEIFS(well_info!U$2:U$198,well_info!B$2:B$198,Table1[[#This Row],[Fieldcode]],well_info!U$2:U$198,"&lt;&gt;"),"")</f>
        <v>23.641666666666669</v>
      </c>
      <c r="Q18" s="13">
        <f>IFERROR(AVERAGEIFS(well_info!U$2:U$198,well_info!B$2:B$198,Table1[[#This Row],[Fieldcode]],well_info!U$2:U$198,"&lt;&gt;",well_info!E$2:E$198,"injectie"),"")</f>
        <v>23.566666666666666</v>
      </c>
      <c r="R18">
        <v>7.7</v>
      </c>
      <c r="S18">
        <v>250</v>
      </c>
      <c r="T18">
        <v>84</v>
      </c>
      <c r="U18">
        <f>IFERROR(AVERAGEIFS(well_info!T$2:T$198,well_info!B$2:B$198,Table1[[#This Row],[Fieldcode]],well_info!T$2:T$198,"&lt;&gt;"),"")</f>
        <v>180000</v>
      </c>
      <c r="V18">
        <v>14</v>
      </c>
      <c r="W18" s="6">
        <v>43132</v>
      </c>
      <c r="X18" s="6"/>
      <c r="Y18">
        <v>2</v>
      </c>
      <c r="Z18">
        <v>1</v>
      </c>
      <c r="AA18" t="s">
        <v>225</v>
      </c>
      <c r="AB18" t="s">
        <v>226</v>
      </c>
      <c r="AE18">
        <v>1430</v>
      </c>
      <c r="AF18">
        <v>52.768423830000003</v>
      </c>
      <c r="AG18">
        <v>5.0454350799999999</v>
      </c>
    </row>
    <row r="19" spans="1:34" x14ac:dyDescent="0.25">
      <c r="A19" t="s">
        <v>97</v>
      </c>
      <c r="B19" t="s">
        <v>64</v>
      </c>
      <c r="C19" t="s">
        <v>229</v>
      </c>
      <c r="D19" t="s">
        <v>252</v>
      </c>
      <c r="E19" t="s">
        <v>45</v>
      </c>
      <c r="F19" t="s">
        <v>114</v>
      </c>
      <c r="G19" t="str">
        <f>INDEX(well_info!A$2:AB$198,MATCH(Table1[[#This Row],[Fieldcode]],well_info!B$2:B$198,0),6)</f>
        <v>RO</v>
      </c>
      <c r="H19" t="str">
        <f>INDEX(well_info!A$2:AB$198,MATCH(Table1[[#This Row],[Fieldcode]],well_info!B$2:B$198,0),8)</f>
        <v>Slochteren Formation</v>
      </c>
      <c r="I19" s="13">
        <f>AVERAGEIFS(well_info!J$2:J$198,well_info!B$2:B$198,Table1[[#This Row],[Fieldcode]],well_info!J$2:J$198,"&lt;&gt;")</f>
        <v>2191.5</v>
      </c>
      <c r="J19" s="13">
        <f>AVERAGEIFS(well_info!K$2:K$198,well_info!B$2:B$198,Table1[[#This Row],[Fieldcode]],well_info!K$2:K$198,"&lt;&gt;")</f>
        <v>191</v>
      </c>
      <c r="K19" s="13">
        <f>IFERROR(AVERAGEIFS(well_info!M$2:M$198,well_info!B$2:B$198,Table1[[#This Row],[Fieldcode]],well_info!M$2:M$198,"&lt;&gt;")," ")</f>
        <v>0.97833333333333339</v>
      </c>
      <c r="L19" s="11">
        <f>IFERROR(AVERAGEIFS(well_info!N$2:N$198,well_info!B$2:B$198,Table1[[#This Row],[Fieldcode]],well_info!N$2:N$198,"&lt;&gt;"),"")</f>
        <v>0.17199999999999999</v>
      </c>
      <c r="M19" s="3">
        <f>IFERROR(AVERAGEIFS(well_info!O$2:O$198,well_info!B$2:B$198,Table1[[#This Row],[Fieldcode]],well_info!O$2:O$198,"&lt;&gt;"),"")</f>
        <v>70.7</v>
      </c>
      <c r="N19" s="13">
        <f>AVERAGEIFS(well_info!V$2:V$198,well_info!B$2:B$198,Table1[[#This Row],[Fieldcode]],well_info!V$2:V$198,"&lt;&gt;")</f>
        <v>91.983333333333348</v>
      </c>
      <c r="O19">
        <v>30</v>
      </c>
      <c r="P19" s="13">
        <f>IFERROR(AVERAGEIFS(well_info!U$2:U$198,well_info!B$2:B$198,Table1[[#This Row],[Fieldcode]],well_info!U$2:U$198,"&lt;&gt;"),"")</f>
        <v>23.641666666666669</v>
      </c>
      <c r="Q19" s="13">
        <f>IFERROR(AVERAGEIFS(well_info!U$2:U$198,well_info!B$2:B$198,Table1[[#This Row],[Fieldcode]],well_info!U$2:U$198,"&lt;&gt;",well_info!E$2:E$198,"injectie"),"")</f>
        <v>23.566666666666666</v>
      </c>
      <c r="R19">
        <v>5.8</v>
      </c>
      <c r="S19">
        <v>350</v>
      </c>
      <c r="T19">
        <v>200</v>
      </c>
      <c r="U19">
        <f>IFERROR(AVERAGEIFS(well_info!T$2:T$198,well_info!B$2:B$198,Table1[[#This Row],[Fieldcode]],well_info!T$2:T$198,"&lt;&gt;"),"")</f>
        <v>180000</v>
      </c>
      <c r="V19">
        <v>28</v>
      </c>
      <c r="W19" s="6">
        <v>41944</v>
      </c>
      <c r="X19" s="6"/>
      <c r="Y19">
        <v>4</v>
      </c>
      <c r="Z19">
        <v>2</v>
      </c>
      <c r="AA19" t="s">
        <v>65</v>
      </c>
      <c r="AB19" t="s">
        <v>135</v>
      </c>
      <c r="AC19" t="s">
        <v>98</v>
      </c>
      <c r="AD19" t="s">
        <v>230</v>
      </c>
      <c r="AF19">
        <v>52.768425530000002</v>
      </c>
      <c r="AG19">
        <v>5.04624921</v>
      </c>
      <c r="AH19" s="2"/>
    </row>
    <row r="20" spans="1:34" x14ac:dyDescent="0.25">
      <c r="A20" t="s">
        <v>265</v>
      </c>
      <c r="B20" t="s">
        <v>37</v>
      </c>
      <c r="C20" t="s">
        <v>272</v>
      </c>
      <c r="D20" t="s">
        <v>82</v>
      </c>
      <c r="E20" t="s">
        <v>45</v>
      </c>
      <c r="F20" t="s">
        <v>292</v>
      </c>
      <c r="G20" t="str">
        <f>INDEX(well_info!A$2:AB$198,MATCH(Table1[[#This Row],[Fieldcode]],well_info!B$2:B$198,0),6)</f>
        <v>SL</v>
      </c>
      <c r="H20" t="str">
        <f>INDEX(well_info!A$2:AB$198,MATCH(Table1[[#This Row],[Fieldcode]],well_info!B$2:B$198,0),8)</f>
        <v>Delft Sandstone Member, Alblasserdam Member</v>
      </c>
      <c r="I20" s="13">
        <f>AVERAGEIFS(well_info!J$2:J$198,well_info!B$2:B$198,Table1[[#This Row],[Fieldcode]],well_info!J$2:J$198,"&lt;&gt;")</f>
        <v>2339.1</v>
      </c>
      <c r="J20" s="13">
        <f>AVERAGEIFS(well_info!K$2:K$198,well_info!B$2:B$198,Table1[[#This Row],[Fieldcode]],well_info!K$2:K$198,"&lt;&gt;")</f>
        <v>73.7</v>
      </c>
      <c r="K20" s="13">
        <f>IFERROR(AVERAGEIFS(well_info!M$2:M$198,well_info!B$2:B$198,Table1[[#This Row],[Fieldcode]],well_info!M$2:M$198,"&lt;&gt;")," ")</f>
        <v>0.89</v>
      </c>
      <c r="L20" s="11">
        <f>IFERROR(AVERAGEIFS(well_info!N$2:N$198,well_info!B$2:B$198,Table1[[#This Row],[Fieldcode]],well_info!N$2:N$198,"&lt;&gt;"),"")</f>
        <v>0.19</v>
      </c>
      <c r="M20" s="3">
        <f>IFERROR(AVERAGEIFS(well_info!O$2:O$198,well_info!B$2:B$198,Table1[[#This Row],[Fieldcode]],well_info!O$2:O$198,"&lt;&gt;"),"")</f>
        <v>750</v>
      </c>
      <c r="N20" s="13">
        <f>AVERAGEIFS(well_info!V$2:V$198,well_info!B$2:B$198,Table1[[#This Row],[Fieldcode]],well_info!V$2:V$198,"&lt;&gt;")</f>
        <v>87.25</v>
      </c>
      <c r="O20">
        <v>35</v>
      </c>
      <c r="P20" s="13">
        <f>IFERROR(AVERAGEIFS(well_info!U$2:U$198,well_info!B$2:B$198,Table1[[#This Row],[Fieldcode]],well_info!U$2:U$198,"&lt;&gt;"),"")</f>
        <v>23.729999999999997</v>
      </c>
      <c r="Q20" s="13">
        <f>IFERROR(AVERAGEIFS(well_info!U$2:U$198,well_info!B$2:B$198,Table1[[#This Row],[Fieldcode]],well_info!U$2:U$198,"&lt;&gt;",well_info!E$2:E$198,"injectie"),"")</f>
        <v>23.4</v>
      </c>
      <c r="R20">
        <v>6.46</v>
      </c>
      <c r="S20">
        <v>430</v>
      </c>
      <c r="T20">
        <v>356</v>
      </c>
      <c r="U20">
        <f>IFERROR(AVERAGEIFS(well_info!T$2:T$198,well_info!B$2:B$198,Table1[[#This Row],[Fieldcode]],well_info!T$2:T$198,"&lt;&gt;"),"")</f>
        <v>120000</v>
      </c>
      <c r="V20">
        <v>35</v>
      </c>
      <c r="W20" s="6">
        <v>43647</v>
      </c>
      <c r="X20" s="6"/>
      <c r="Y20">
        <v>2</v>
      </c>
      <c r="Z20">
        <v>1</v>
      </c>
      <c r="AA20" t="s">
        <v>53</v>
      </c>
      <c r="AB20" t="s">
        <v>220</v>
      </c>
      <c r="AE20">
        <v>1630</v>
      </c>
      <c r="AF20">
        <v>51.990714359999998</v>
      </c>
      <c r="AG20">
        <v>4.2404608799999997</v>
      </c>
    </row>
    <row r="21" spans="1:34" x14ac:dyDescent="0.25">
      <c r="A21" t="s">
        <v>121</v>
      </c>
      <c r="B21" t="s">
        <v>205</v>
      </c>
      <c r="C21" t="s">
        <v>273</v>
      </c>
      <c r="D21" t="s">
        <v>82</v>
      </c>
      <c r="E21" t="s">
        <v>45</v>
      </c>
      <c r="F21" t="s">
        <v>292</v>
      </c>
      <c r="G21" t="str">
        <f>INDEX(well_info!A$2:AB$198,MATCH(Table1[[#This Row],[Fieldcode]],well_info!B$2:B$198,0),6)</f>
        <v>SL</v>
      </c>
      <c r="H21" t="str">
        <f>INDEX(well_info!A$2:AB$198,MATCH(Table1[[#This Row],[Fieldcode]],well_info!B$2:B$198,0),8)</f>
        <v>Delft Sandstone Member, Alblasserdam Member</v>
      </c>
      <c r="I21" s="13">
        <f>AVERAGEIFS(well_info!J$2:J$198,well_info!B$2:B$198,Table1[[#This Row],[Fieldcode]],well_info!J$2:J$198,"&lt;&gt;")</f>
        <v>2336.5</v>
      </c>
      <c r="J21" s="13">
        <f>AVERAGEIFS(well_info!K$2:K$198,well_info!B$2:B$198,Table1[[#This Row],[Fieldcode]],well_info!K$2:K$198,"&lt;&gt;")</f>
        <v>120.5</v>
      </c>
      <c r="K21" s="13" t="str">
        <f>IFERROR(AVERAGEIFS(well_info!M$2:M$198,well_info!B$2:B$198,Table1[[#This Row],[Fieldcode]],well_info!M$2:M$198,"&lt;&gt;")," ")</f>
        <v xml:space="preserve"> </v>
      </c>
      <c r="L21" s="11" t="str">
        <f>IFERROR(AVERAGEIFS(well_info!N$2:N$198,well_info!B$2:B$198,Table1[[#This Row],[Fieldcode]],well_info!N$2:N$198,"&lt;&gt;"),"")</f>
        <v/>
      </c>
      <c r="M21" s="3" t="str">
        <f>IFERROR(AVERAGEIFS(well_info!O$2:O$198,well_info!B$2:B$198,Table1[[#This Row],[Fieldcode]],well_info!O$2:O$198,"&lt;&gt;"),"")</f>
        <v/>
      </c>
      <c r="N21" s="13">
        <f>AVERAGEIFS(well_info!V$2:V$198,well_info!B$2:B$198,Table1[[#This Row],[Fieldcode]],well_info!V$2:V$198,"&lt;&gt;")</f>
        <v>88</v>
      </c>
      <c r="O21">
        <v>35</v>
      </c>
      <c r="P21" s="13">
        <f>IFERROR(AVERAGEIFS(well_info!U$2:U$198,well_info!B$2:B$198,Table1[[#This Row],[Fieldcode]],well_info!U$2:U$198,"&lt;&gt;"),"")</f>
        <v>23.200000000000003</v>
      </c>
      <c r="Q21" s="13">
        <f>IFERROR(AVERAGEIFS(well_info!U$2:U$198,well_info!B$2:B$198,Table1[[#This Row],[Fieldcode]],well_info!U$2:U$198,"&lt;&gt;",well_info!E$2:E$198,"injectie"),"")</f>
        <v>22.8</v>
      </c>
      <c r="R21">
        <v>6.24</v>
      </c>
      <c r="S21">
        <v>355</v>
      </c>
      <c r="U21" t="str">
        <f>IFERROR(AVERAGEIFS(well_info!T$2:T$198,well_info!B$2:B$198,Table1[[#This Row],[Fieldcode]],well_info!T$2:T$198,"&lt;&gt;"),"")</f>
        <v/>
      </c>
      <c r="V21">
        <v>15</v>
      </c>
      <c r="W21" s="9">
        <v>44378</v>
      </c>
      <c r="X21" s="6"/>
      <c r="Y21">
        <v>2</v>
      </c>
      <c r="Z21">
        <v>1</v>
      </c>
      <c r="AA21" t="s">
        <v>235</v>
      </c>
      <c r="AB21" t="s">
        <v>122</v>
      </c>
      <c r="AF21">
        <v>51.989727530000003</v>
      </c>
      <c r="AG21">
        <v>4.2394999999999996</v>
      </c>
    </row>
    <row r="22" spans="1:34" x14ac:dyDescent="0.25">
      <c r="A22" t="s">
        <v>124</v>
      </c>
      <c r="B22" t="s">
        <v>125</v>
      </c>
      <c r="C22" t="s">
        <v>123</v>
      </c>
      <c r="D22" t="s">
        <v>14</v>
      </c>
      <c r="E22" t="s">
        <v>104</v>
      </c>
      <c r="F22" t="s">
        <v>115</v>
      </c>
      <c r="G22" t="str">
        <f>INDEX(well_info!A$2:AB$198,MATCH(Table1[[#This Row],[Fieldcode]],well_info!B$2:B$198,0),6)</f>
        <v>RB</v>
      </c>
      <c r="H22" t="str">
        <f>INDEX(well_info!A$2:AB$198,MATCH(Table1[[#This Row],[Fieldcode]],well_info!B$2:B$198,0),8)</f>
        <v>Hardegsen, Detfurth, Volpriehausen</v>
      </c>
      <c r="I22" s="13">
        <f>AVERAGEIFS(well_info!J$2:J$198,well_info!B$2:B$198,Table1[[#This Row],[Fieldcode]],well_info!J$2:J$198,"&lt;&gt;")</f>
        <v>2276</v>
      </c>
      <c r="J22" s="13">
        <f>AVERAGEIFS(well_info!K$2:K$198,well_info!B$2:B$198,Table1[[#This Row],[Fieldcode]],well_info!K$2:K$198,"&lt;&gt;")</f>
        <v>197</v>
      </c>
      <c r="K22" s="13">
        <f>IFERROR(AVERAGEIFS(well_info!M$2:M$198,well_info!B$2:B$198,Table1[[#This Row],[Fieldcode]],well_info!M$2:M$198,"&lt;&gt;")," ")</f>
        <v>0.82</v>
      </c>
      <c r="L22" s="11">
        <f>IFERROR(AVERAGEIFS(well_info!N$2:N$198,well_info!B$2:B$198,Table1[[#This Row],[Fieldcode]],well_info!N$2:N$198,"&lt;&gt;"),"")</f>
        <v>0.14199999999999999</v>
      </c>
      <c r="M22" s="3">
        <f>IFERROR(AVERAGEIFS(well_info!O$2:O$198,well_info!B$2:B$198,Table1[[#This Row],[Fieldcode]],well_info!O$2:O$198,"&lt;&gt;"),"")</f>
        <v>252</v>
      </c>
      <c r="N22" s="13">
        <f>AVERAGEIFS(well_info!V$2:V$198,well_info!B$2:B$198,Table1[[#This Row],[Fieldcode]],well_info!V$2:V$198,"&lt;&gt;")</f>
        <v>84.7</v>
      </c>
      <c r="O22">
        <v>30</v>
      </c>
      <c r="P22" s="13">
        <f>IFERROR(AVERAGEIFS(well_info!U$2:U$198,well_info!B$2:B$198,Table1[[#This Row],[Fieldcode]],well_info!U$2:U$198,"&lt;&gt;"),"")</f>
        <v>22.85</v>
      </c>
      <c r="Q22" s="13">
        <f>IFERROR(AVERAGEIFS(well_info!U$2:U$198,well_info!B$2:B$198,Table1[[#This Row],[Fieldcode]],well_info!U$2:U$198,"&lt;&gt;",well_info!E$2:E$198,"injectie"),"")</f>
        <v>22.5</v>
      </c>
      <c r="R22">
        <v>4.3099999999999996</v>
      </c>
      <c r="S22">
        <v>300</v>
      </c>
      <c r="U22">
        <f>IFERROR(AVERAGEIFS(well_info!T$2:T$198,well_info!B$2:B$198,Table1[[#This Row],[Fieldcode]],well_info!T$2:T$198,"&lt;&gt;"),"")</f>
        <v>130000</v>
      </c>
      <c r="W22" s="9"/>
      <c r="X22" s="6"/>
      <c r="Y22">
        <v>2</v>
      </c>
      <c r="Z22">
        <v>1</v>
      </c>
      <c r="AA22" t="s">
        <v>126</v>
      </c>
      <c r="AB22" t="s">
        <v>127</v>
      </c>
      <c r="AE22">
        <v>1725</v>
      </c>
      <c r="AF22">
        <v>51.899219899999999</v>
      </c>
      <c r="AG22">
        <v>4.1345429300000003</v>
      </c>
      <c r="AH22" t="s">
        <v>306</v>
      </c>
    </row>
    <row r="23" spans="1:34" x14ac:dyDescent="0.25">
      <c r="A23" t="s">
        <v>21</v>
      </c>
      <c r="B23" t="s">
        <v>22</v>
      </c>
      <c r="C23" t="s">
        <v>100</v>
      </c>
      <c r="D23" t="s">
        <v>18</v>
      </c>
      <c r="E23" t="s">
        <v>102</v>
      </c>
      <c r="F23" t="s">
        <v>291</v>
      </c>
      <c r="G23" t="str">
        <f>INDEX(well_info!A$2:AB$198,MATCH(Table1[[#This Row],[Fieldcode]],well_info!B$2:B$198,0),6)</f>
        <v>KN/SL</v>
      </c>
      <c r="H23" t="str">
        <f>INDEX(well_info!A$2:AB$198,MATCH(Table1[[#This Row],[Fieldcode]],well_info!B$2:B$198,0),8)</f>
        <v>Rijswijk Sandstone Member, Delft Sandstone Member</v>
      </c>
      <c r="I23" s="13">
        <f>AVERAGEIFS(well_info!J$2:J$198,well_info!B$2:B$198,Table1[[#This Row],[Fieldcode]],well_info!J$2:J$198,"&lt;&gt;")</f>
        <v>2041.5</v>
      </c>
      <c r="J23" s="13">
        <f>AVERAGEIFS(well_info!K$2:K$198,well_info!B$2:B$198,Table1[[#This Row],[Fieldcode]],well_info!K$2:K$198,"&lt;&gt;")</f>
        <v>204.75</v>
      </c>
      <c r="K23" s="13">
        <f>IFERROR(AVERAGEIFS(well_info!M$2:M$198,well_info!B$2:B$198,Table1[[#This Row],[Fieldcode]],well_info!M$2:M$198,"&lt;&gt;")," ")</f>
        <v>0.71</v>
      </c>
      <c r="L23" s="11">
        <f>IFERROR(AVERAGEIFS(well_info!N$2:N$198,well_info!B$2:B$198,Table1[[#This Row],[Fieldcode]],well_info!N$2:N$198,"&lt;&gt;"),"")</f>
        <v>0.19</v>
      </c>
      <c r="M23" s="3">
        <f>IFERROR(AVERAGEIFS(well_info!O$2:O$198,well_info!B$2:B$198,Table1[[#This Row],[Fieldcode]],well_info!O$2:O$198,"&lt;&gt;"),"")</f>
        <v>345</v>
      </c>
      <c r="N23" s="13">
        <f>AVERAGEIFS(well_info!V$2:V$198,well_info!B$2:B$198,Table1[[#This Row],[Fieldcode]],well_info!V$2:V$198,"&lt;&gt;")</f>
        <v>72.066666666666663</v>
      </c>
      <c r="P23" s="13">
        <f>IFERROR(AVERAGEIFS(well_info!U$2:U$198,well_info!B$2:B$198,Table1[[#This Row],[Fieldcode]],well_info!U$2:U$198,"&lt;&gt;"),"")</f>
        <v>21.799999999999997</v>
      </c>
      <c r="Q23" s="13">
        <f>IFERROR(AVERAGEIFS(well_info!U$2:U$198,well_info!B$2:B$198,Table1[[#This Row],[Fieldcode]],well_info!U$2:U$198,"&lt;&gt;",well_info!E$2:E$198,"injectie"),"")</f>
        <v>21.4</v>
      </c>
      <c r="U23">
        <f>IFERROR(AVERAGEIFS(well_info!T$2:T$198,well_info!B$2:B$198,Table1[[#This Row],[Fieldcode]],well_info!T$2:T$198,"&lt;&gt;"),"")</f>
        <v>120000</v>
      </c>
      <c r="V23">
        <v>7</v>
      </c>
      <c r="W23" s="7">
        <v>40552</v>
      </c>
      <c r="X23" s="6">
        <v>42916</v>
      </c>
      <c r="Y23">
        <v>2</v>
      </c>
      <c r="Z23">
        <v>1</v>
      </c>
      <c r="AA23" t="s">
        <v>19</v>
      </c>
      <c r="AB23" t="s">
        <v>20</v>
      </c>
      <c r="AF23">
        <v>52.021924439999999</v>
      </c>
      <c r="AG23">
        <v>4.4233931499999999</v>
      </c>
      <c r="AH23" s="5" t="s">
        <v>109</v>
      </c>
    </row>
    <row r="24" spans="1:34" x14ac:dyDescent="0.25">
      <c r="A24" t="s">
        <v>21</v>
      </c>
      <c r="B24" t="s">
        <v>22</v>
      </c>
      <c r="C24" t="s">
        <v>219</v>
      </c>
      <c r="D24" t="s">
        <v>266</v>
      </c>
      <c r="E24" t="s">
        <v>45</v>
      </c>
      <c r="F24" t="s">
        <v>292</v>
      </c>
      <c r="G24" t="str">
        <f>INDEX(well_info!A$2:AB$198,MATCH(Table1[[#This Row],[Fieldcode]],well_info!B$2:B$198,0),6)</f>
        <v>KN/SL</v>
      </c>
      <c r="H24" t="str">
        <f>INDEX(well_info!A$2:AB$198,MATCH(Table1[[#This Row],[Fieldcode]],well_info!B$2:B$198,0),8)</f>
        <v>Rijswijk Sandstone Member, Delft Sandstone Member</v>
      </c>
      <c r="I24" s="13">
        <f>AVERAGEIFS(well_info!J$2:J$198,well_info!B$2:B$198,Table1[[#This Row],[Fieldcode]],well_info!J$2:J$198,"&lt;&gt;")</f>
        <v>2041.5</v>
      </c>
      <c r="J24" s="13">
        <f>AVERAGEIFS(well_info!K$2:K$198,well_info!B$2:B$198,Table1[[#This Row],[Fieldcode]],well_info!K$2:K$198,"&lt;&gt;")</f>
        <v>204.75</v>
      </c>
      <c r="K24" s="13">
        <f>IFERROR(AVERAGEIFS(well_info!M$2:M$198,well_info!B$2:B$198,Table1[[#This Row],[Fieldcode]],well_info!M$2:M$198,"&lt;&gt;")," ")</f>
        <v>0.71</v>
      </c>
      <c r="L24" s="11">
        <f>IFERROR(AVERAGEIFS(well_info!N$2:N$198,well_info!B$2:B$198,Table1[[#This Row],[Fieldcode]],well_info!N$2:N$198,"&lt;&gt;"),"")</f>
        <v>0.19</v>
      </c>
      <c r="M24" s="3">
        <f>IFERROR(AVERAGEIFS(well_info!O$2:O$198,well_info!B$2:B$198,Table1[[#This Row],[Fieldcode]],well_info!O$2:O$198,"&lt;&gt;"),"")</f>
        <v>345</v>
      </c>
      <c r="N24" s="13">
        <f>AVERAGEIFS(well_info!V$2:V$198,well_info!B$2:B$198,Table1[[#This Row],[Fieldcode]],well_info!V$2:V$198,"&lt;&gt;")</f>
        <v>72.066666666666663</v>
      </c>
      <c r="O24">
        <v>20</v>
      </c>
      <c r="P24" s="13">
        <f>IFERROR(AVERAGEIFS(well_info!U$2:U$198,well_info!B$2:B$198,Table1[[#This Row],[Fieldcode]],well_info!U$2:U$198,"&lt;&gt;"),"")</f>
        <v>21.799999999999997</v>
      </c>
      <c r="Q24" s="13">
        <f>IFERROR(AVERAGEIFS(well_info!U$2:U$198,well_info!B$2:B$198,Table1[[#This Row],[Fieldcode]],well_info!U$2:U$198,"&lt;&gt;",well_info!E$2:E$198,"injectie"),"")</f>
        <v>21.4</v>
      </c>
      <c r="R24">
        <v>3.93</v>
      </c>
      <c r="S24">
        <v>360</v>
      </c>
      <c r="T24">
        <v>110</v>
      </c>
      <c r="U24">
        <f>IFERROR(AVERAGEIFS(well_info!T$2:T$198,well_info!B$2:B$198,Table1[[#This Row],[Fieldcode]],well_info!T$2:T$198,"&lt;&gt;"),"")</f>
        <v>120000</v>
      </c>
      <c r="V24">
        <v>21</v>
      </c>
      <c r="W24" s="6">
        <v>43709</v>
      </c>
      <c r="X24" s="6"/>
      <c r="Y24">
        <v>2</v>
      </c>
      <c r="Z24">
        <v>1</v>
      </c>
      <c r="AA24" t="s">
        <v>174</v>
      </c>
      <c r="AB24" t="s">
        <v>173</v>
      </c>
      <c r="AE24">
        <v>1705</v>
      </c>
      <c r="AF24">
        <v>52.021924439999999</v>
      </c>
      <c r="AG24">
        <v>4.4233931499999999</v>
      </c>
      <c r="AH24" t="s">
        <v>344</v>
      </c>
    </row>
    <row r="25" spans="1:34" x14ac:dyDescent="0.25">
      <c r="A25" t="s">
        <v>250</v>
      </c>
      <c r="B25" t="s">
        <v>89</v>
      </c>
      <c r="C25" t="s">
        <v>312</v>
      </c>
      <c r="D25" t="s">
        <v>90</v>
      </c>
      <c r="E25" t="s">
        <v>45</v>
      </c>
      <c r="F25" t="s">
        <v>113</v>
      </c>
      <c r="G25" t="str">
        <f>INDEX(well_info!A$2:AB$198,MATCH(Table1[[#This Row],[Fieldcode]],well_info!B$2:B$198,0),6)</f>
        <v>KN/SL</v>
      </c>
      <c r="H25" t="str">
        <f>INDEX(well_info!A$2:AB$198,MATCH(Table1[[#This Row],[Fieldcode]],well_info!B$2:B$198,0),8)</f>
        <v>Rijswijk Sandstone Member, Delft Sandstone Member</v>
      </c>
      <c r="I25" s="13">
        <f>AVERAGEIFS(well_info!J$2:J$198,well_info!B$2:B$198,Table1[[#This Row],[Fieldcode]],well_info!J$2:J$198,"&lt;&gt;")</f>
        <v>2004</v>
      </c>
      <c r="J25" s="13">
        <f>AVERAGEIFS(well_info!K$2:K$198,well_info!B$2:B$198,Table1[[#This Row],[Fieldcode]],well_info!K$2:K$198,"&lt;&gt;")</f>
        <v>158</v>
      </c>
      <c r="K25" s="13">
        <f>IFERROR(AVERAGEIFS(well_info!M$2:M$198,well_info!B$2:B$198,Table1[[#This Row],[Fieldcode]],well_info!M$2:M$198,"&lt;&gt;")," ")</f>
        <v>0.85</v>
      </c>
      <c r="L25" s="11">
        <f>IFERROR(AVERAGEIFS(well_info!N$2:N$198,well_info!B$2:B$198,Table1[[#This Row],[Fieldcode]],well_info!N$2:N$198,"&lt;&gt;"),"")</f>
        <v>0.2</v>
      </c>
      <c r="M25" s="3" t="str">
        <f>IFERROR(AVERAGEIFS(well_info!O$2:O$198,well_info!B$2:B$198,Table1[[#This Row],[Fieldcode]],well_info!O$2:O$198,"&lt;&gt;"),"")</f>
        <v/>
      </c>
      <c r="N25" s="13">
        <f>AVERAGEIFS(well_info!V$2:V$198,well_info!B$2:B$198,Table1[[#This Row],[Fieldcode]],well_info!V$2:V$198,"&lt;&gt;")</f>
        <v>68.5</v>
      </c>
      <c r="O25">
        <v>16</v>
      </c>
      <c r="P25" s="13" t="str">
        <f>IFERROR(AVERAGEIFS(well_info!U$2:U$198,well_info!B$2:B$198,Table1[[#This Row],[Fieldcode]],well_info!U$2:U$198,"&lt;&gt;"),"")</f>
        <v/>
      </c>
      <c r="Q25" s="13" t="str">
        <f>IFERROR(AVERAGEIFS(well_info!U$2:U$198,well_info!B$2:B$198,Table1[[#This Row],[Fieldcode]],well_info!U$2:U$198,"&lt;&gt;",well_info!E$2:E$198,"injectie"),"")</f>
        <v/>
      </c>
      <c r="R25">
        <v>7.2</v>
      </c>
      <c r="S25">
        <v>210</v>
      </c>
      <c r="T25">
        <v>135</v>
      </c>
      <c r="U25">
        <f>IFERROR(AVERAGEIFS(well_info!T$2:T$198,well_info!B$2:B$198,Table1[[#This Row],[Fieldcode]],well_info!T$2:T$198,"&lt;&gt;"),"")</f>
        <v>120000</v>
      </c>
      <c r="V25">
        <v>8</v>
      </c>
      <c r="W25" s="6">
        <v>40603</v>
      </c>
      <c r="X25" s="6"/>
      <c r="Y25">
        <v>2</v>
      </c>
      <c r="Z25">
        <v>1</v>
      </c>
      <c r="AA25" t="s">
        <v>91</v>
      </c>
      <c r="AB25" t="s">
        <v>92</v>
      </c>
      <c r="AE25">
        <v>1785</v>
      </c>
      <c r="AF25">
        <v>52.008745089999998</v>
      </c>
      <c r="AG25">
        <v>4.4215601500000004</v>
      </c>
      <c r="AH25" t="s">
        <v>346</v>
      </c>
    </row>
    <row r="26" spans="1:34" x14ac:dyDescent="0.25">
      <c r="A26" t="s">
        <v>25</v>
      </c>
      <c r="B26" t="s">
        <v>26</v>
      </c>
      <c r="C26" t="s">
        <v>0</v>
      </c>
      <c r="D26" t="s">
        <v>3</v>
      </c>
      <c r="E26" t="s">
        <v>45</v>
      </c>
      <c r="F26" t="s">
        <v>115</v>
      </c>
      <c r="G26" t="str">
        <f>INDEX(well_info!A$2:AB$198,MATCH(Table1[[#This Row],[Fieldcode]],well_info!B$2:B$198,0),6)</f>
        <v>RB</v>
      </c>
      <c r="H26" t="str">
        <f>INDEX(well_info!A$2:AB$198,MATCH(Table1[[#This Row],[Fieldcode]],well_info!B$2:B$198,0),8)</f>
        <v>Hardegsen, Detfurth, Volpriehausen</v>
      </c>
      <c r="I26" s="13">
        <f>AVERAGEIFS(well_info!J$2:J$198,well_info!B$2:B$198,Table1[[#This Row],[Fieldcode]],well_info!J$2:J$198,"&lt;&gt;")</f>
        <v>2094.5</v>
      </c>
      <c r="J26" s="13">
        <f>AVERAGEIFS(well_info!K$2:K$198,well_info!B$2:B$198,Table1[[#This Row],[Fieldcode]],well_info!K$2:K$198,"&lt;&gt;")</f>
        <v>190</v>
      </c>
      <c r="K26" s="13">
        <f>IFERROR(AVERAGEIFS(well_info!M$2:M$198,well_info!B$2:B$198,Table1[[#This Row],[Fieldcode]],well_info!M$2:M$198,"&lt;&gt;")," ")</f>
        <v>0.9</v>
      </c>
      <c r="L26" s="11">
        <f>IFERROR(AVERAGEIFS(well_info!N$2:N$198,well_info!B$2:B$198,Table1[[#This Row],[Fieldcode]],well_info!N$2:N$198,"&lt;&gt;"),"")</f>
        <v>0.18</v>
      </c>
      <c r="M26" s="3">
        <f>IFERROR(AVERAGEIFS(well_info!O$2:O$198,well_info!B$2:B$198,Table1[[#This Row],[Fieldcode]],well_info!O$2:O$198,"&lt;&gt;"),"")</f>
        <v>145</v>
      </c>
      <c r="N26" s="13">
        <f>AVERAGEIFS(well_info!V$2:V$198,well_info!B$2:B$198,Table1[[#This Row],[Fieldcode]],well_info!V$2:V$198,"&lt;&gt;")</f>
        <v>81.5</v>
      </c>
      <c r="O26">
        <v>30</v>
      </c>
      <c r="P26" s="13">
        <f>IFERROR(AVERAGEIFS(well_info!U$2:U$198,well_info!B$2:B$198,Table1[[#This Row],[Fieldcode]],well_info!U$2:U$198,"&lt;&gt;"),"")</f>
        <v>22.15</v>
      </c>
      <c r="Q26" s="13">
        <f>IFERROR(AVERAGEIFS(well_info!U$2:U$198,well_info!B$2:B$198,Table1[[#This Row],[Fieldcode]],well_info!U$2:U$198,"&lt;&gt;",well_info!E$2:E$198,"injectie"),"")</f>
        <v>21.4</v>
      </c>
      <c r="R26">
        <v>6.6</v>
      </c>
      <c r="S26">
        <v>350</v>
      </c>
      <c r="T26">
        <v>152</v>
      </c>
      <c r="U26">
        <f>IFERROR(AVERAGEIFS(well_info!T$2:T$198,well_info!B$2:B$198,Table1[[#This Row],[Fieldcode]],well_info!T$2:T$198,"&lt;&gt;"),"")</f>
        <v>118000</v>
      </c>
      <c r="V26">
        <v>16</v>
      </c>
      <c r="W26" s="6">
        <v>42370</v>
      </c>
      <c r="X26" s="6"/>
      <c r="Y26">
        <v>2</v>
      </c>
      <c r="Z26">
        <v>1</v>
      </c>
      <c r="AA26" t="s">
        <v>13</v>
      </c>
      <c r="AB26" t="s">
        <v>15</v>
      </c>
      <c r="AE26">
        <v>1865</v>
      </c>
      <c r="AF26">
        <v>51.872530529999999</v>
      </c>
      <c r="AG26">
        <v>4.1604262399999996</v>
      </c>
      <c r="AH26" s="12" t="s">
        <v>221</v>
      </c>
    </row>
    <row r="27" spans="1:34" x14ac:dyDescent="0.25">
      <c r="A27" t="s">
        <v>264</v>
      </c>
      <c r="B27" t="s">
        <v>73</v>
      </c>
      <c r="C27" t="s">
        <v>39</v>
      </c>
      <c r="D27" t="s">
        <v>263</v>
      </c>
      <c r="E27" t="s">
        <v>45</v>
      </c>
      <c r="F27" t="s">
        <v>110</v>
      </c>
      <c r="G27" t="str">
        <f>INDEX(well_info!A$2:AB$198,MATCH(Table1[[#This Row],[Fieldcode]],well_info!B$2:B$198,0),6)</f>
        <v>NL</v>
      </c>
      <c r="H27" t="str">
        <f>INDEX(well_info!A$2:AB$198,MATCH(Table1[[#This Row],[Fieldcode]],well_info!B$2:B$198,0),8)</f>
        <v>Brussels Sand Member</v>
      </c>
      <c r="I27" s="13">
        <f>AVERAGEIFS(well_info!J$2:J$198,well_info!B$2:B$198,Table1[[#This Row],[Fieldcode]],well_info!J$2:J$198,"&lt;&gt;")</f>
        <v>654.65</v>
      </c>
      <c r="J27" s="13">
        <f>AVERAGEIFS(well_info!K$2:K$198,well_info!B$2:B$198,Table1[[#This Row],[Fieldcode]],well_info!K$2:K$198,"&lt;&gt;")</f>
        <v>55</v>
      </c>
      <c r="K27" s="13">
        <f>IFERROR(AVERAGEIFS(well_info!M$2:M$198,well_info!B$2:B$198,Table1[[#This Row],[Fieldcode]],well_info!M$2:M$198,"&lt;&gt;")," ")</f>
        <v>0.96</v>
      </c>
      <c r="L27" s="11">
        <f>IFERROR(AVERAGEIFS(well_info!N$2:N$198,well_info!B$2:B$198,Table1[[#This Row],[Fieldcode]],well_info!N$2:N$198,"&lt;&gt;"),"")</f>
        <v>0.35</v>
      </c>
      <c r="M27" s="3">
        <f>IFERROR(AVERAGEIFS(well_info!O$2:O$198,well_info!B$2:B$198,Table1[[#This Row],[Fieldcode]],well_info!O$2:O$198,"&lt;&gt;"),"")</f>
        <v>749</v>
      </c>
      <c r="N27" s="13">
        <f>AVERAGEIFS(well_info!V$2:V$198,well_info!B$2:B$198,Table1[[#This Row],[Fieldcode]],well_info!V$2:V$198,"&lt;&gt;")</f>
        <v>29.7</v>
      </c>
      <c r="O27">
        <v>8</v>
      </c>
      <c r="P27" s="13">
        <f>IFERROR(AVERAGEIFS(well_info!U$2:U$198,well_info!B$2:B$198,Table1[[#This Row],[Fieldcode]],well_info!U$2:U$198,"&lt;&gt;"),"")</f>
        <v>6.4</v>
      </c>
      <c r="Q27" s="13">
        <f>IFERROR(AVERAGEIFS(well_info!U$2:U$198,well_info!B$2:B$198,Table1[[#This Row],[Fieldcode]],well_info!U$2:U$198,"&lt;&gt;",well_info!E$2:E$198,"injectie"),"")</f>
        <v>6.4</v>
      </c>
      <c r="R27">
        <v>1.7</v>
      </c>
      <c r="S27">
        <v>160</v>
      </c>
      <c r="U27" t="str">
        <f>IFERROR(AVERAGEIFS(well_info!T$2:T$198,well_info!B$2:B$198,Table1[[#This Row],[Fieldcode]],well_info!T$2:T$198,"&lt;&gt;"),"")</f>
        <v/>
      </c>
      <c r="V27">
        <v>7</v>
      </c>
      <c r="W27" s="6">
        <v>43800</v>
      </c>
      <c r="X27" s="6"/>
      <c r="Y27">
        <v>2</v>
      </c>
      <c r="Z27">
        <v>1</v>
      </c>
      <c r="AA27" t="s">
        <v>243</v>
      </c>
      <c r="AB27" t="s">
        <v>77</v>
      </c>
      <c r="AE27">
        <v>2100</v>
      </c>
      <c r="AF27">
        <v>51.63604196</v>
      </c>
      <c r="AG27">
        <v>4.6265539599999999</v>
      </c>
    </row>
    <row r="31" spans="1:34" x14ac:dyDescent="0.25">
      <c r="AD31" s="1"/>
      <c r="AE31" s="8"/>
      <c r="AF31" s="1"/>
      <c r="AG31" s="1"/>
    </row>
    <row r="34" spans="5:34" x14ac:dyDescent="0.25">
      <c r="AH34" s="1"/>
    </row>
    <row r="35" spans="5:34" x14ac:dyDescent="0.25">
      <c r="E35" s="1"/>
      <c r="AH35" s="1"/>
    </row>
  </sheetData>
  <phoneticPr fontId="3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D6CE0-98F8-4CBB-AC5D-848AB35AE9F0}">
  <dimension ref="A1:AG67"/>
  <sheetViews>
    <sheetView workbookViewId="0">
      <pane ySplit="1" topLeftCell="A2" activePane="bottomLeft" state="frozen"/>
      <selection pane="bottomLeft" activeCell="AD28" sqref="AD28"/>
    </sheetView>
  </sheetViews>
  <sheetFormatPr defaultRowHeight="15" x14ac:dyDescent="0.25"/>
  <cols>
    <col min="1" max="5" width="11.140625" customWidth="1"/>
    <col min="6" max="6" width="5.7109375" customWidth="1"/>
    <col min="7" max="9" width="10" customWidth="1"/>
    <col min="10" max="10" width="11.5703125" customWidth="1"/>
    <col min="17" max="19" width="10.28515625" customWidth="1"/>
    <col min="22" max="26" width="9" customWidth="1"/>
    <col min="27" max="29" width="7.7109375" customWidth="1"/>
    <col min="30" max="30" width="11" bestFit="1" customWidth="1"/>
  </cols>
  <sheetData>
    <row r="1" spans="1:32" x14ac:dyDescent="0.25">
      <c r="A1" t="s">
        <v>153</v>
      </c>
      <c r="B1" t="s">
        <v>162</v>
      </c>
      <c r="C1" t="s">
        <v>2</v>
      </c>
      <c r="D1" t="s">
        <v>177</v>
      </c>
      <c r="E1" t="s">
        <v>188</v>
      </c>
      <c r="F1" t="s">
        <v>139</v>
      </c>
      <c r="G1" t="s">
        <v>183</v>
      </c>
      <c r="H1" t="s">
        <v>184</v>
      </c>
      <c r="I1" t="s">
        <v>166</v>
      </c>
      <c r="J1" t="s">
        <v>154</v>
      </c>
      <c r="K1" t="s">
        <v>155</v>
      </c>
      <c r="L1" t="s">
        <v>156</v>
      </c>
      <c r="M1" t="s">
        <v>157</v>
      </c>
      <c r="N1" t="s">
        <v>158</v>
      </c>
      <c r="O1" t="s">
        <v>203</v>
      </c>
      <c r="P1" t="s">
        <v>204</v>
      </c>
      <c r="Q1" t="s">
        <v>159</v>
      </c>
      <c r="R1" t="s">
        <v>186</v>
      </c>
      <c r="S1" t="s">
        <v>169</v>
      </c>
      <c r="T1" t="s">
        <v>161</v>
      </c>
      <c r="U1" t="s">
        <v>165</v>
      </c>
      <c r="V1" t="s">
        <v>163</v>
      </c>
      <c r="W1" t="s">
        <v>178</v>
      </c>
      <c r="X1" t="s">
        <v>179</v>
      </c>
      <c r="Y1" t="s">
        <v>180</v>
      </c>
      <c r="Z1" t="s">
        <v>181</v>
      </c>
      <c r="AA1" t="s">
        <v>175</v>
      </c>
      <c r="AB1" t="s">
        <v>176</v>
      </c>
      <c r="AD1" t="s">
        <v>160</v>
      </c>
      <c r="AE1" t="s">
        <v>214</v>
      </c>
      <c r="AF1" t="s">
        <v>187</v>
      </c>
    </row>
    <row r="2" spans="1:32" x14ac:dyDescent="0.25">
      <c r="A2" t="s">
        <v>164</v>
      </c>
      <c r="B2" t="s">
        <v>24</v>
      </c>
      <c r="C2" s="8">
        <v>43057</v>
      </c>
      <c r="D2" s="8">
        <v>43099</v>
      </c>
      <c r="E2" t="s">
        <v>189</v>
      </c>
      <c r="F2" t="s">
        <v>144</v>
      </c>
      <c r="G2" t="s">
        <v>145</v>
      </c>
      <c r="H2" t="s">
        <v>131</v>
      </c>
      <c r="I2">
        <v>2107</v>
      </c>
      <c r="J2">
        <v>1869</v>
      </c>
      <c r="K2">
        <v>181</v>
      </c>
      <c r="L2">
        <v>171</v>
      </c>
      <c r="M2">
        <v>0.98</v>
      </c>
      <c r="N2">
        <v>0.215</v>
      </c>
      <c r="O2">
        <v>118</v>
      </c>
      <c r="Q2">
        <v>22.4</v>
      </c>
      <c r="S2">
        <v>-2.5</v>
      </c>
      <c r="T2">
        <v>189000</v>
      </c>
      <c r="U2">
        <v>20.52</v>
      </c>
      <c r="V2">
        <v>84</v>
      </c>
      <c r="W2">
        <v>141923.43</v>
      </c>
      <c r="X2">
        <v>526448</v>
      </c>
      <c r="Y2">
        <v>140992.04999999999</v>
      </c>
      <c r="Z2">
        <v>526579.43000000005</v>
      </c>
      <c r="AA2">
        <v>2349</v>
      </c>
      <c r="AB2">
        <v>2053</v>
      </c>
      <c r="AD2" t="s">
        <v>191</v>
      </c>
    </row>
    <row r="3" spans="1:32" x14ac:dyDescent="0.25">
      <c r="A3" t="s">
        <v>12</v>
      </c>
      <c r="B3" t="s">
        <v>24</v>
      </c>
      <c r="C3" s="8">
        <v>43102</v>
      </c>
      <c r="D3" s="8">
        <v>43133</v>
      </c>
      <c r="E3" t="s">
        <v>190</v>
      </c>
      <c r="F3" t="s">
        <v>144</v>
      </c>
      <c r="G3" t="s">
        <v>145</v>
      </c>
      <c r="H3" t="s">
        <v>131</v>
      </c>
      <c r="I3">
        <v>1955</v>
      </c>
      <c r="J3">
        <v>1783</v>
      </c>
      <c r="K3">
        <v>204</v>
      </c>
      <c r="L3">
        <v>200</v>
      </c>
      <c r="M3">
        <v>0.98</v>
      </c>
      <c r="N3">
        <v>0.22</v>
      </c>
      <c r="O3">
        <v>302</v>
      </c>
      <c r="Q3">
        <v>21.4</v>
      </c>
      <c r="S3">
        <v>-1.5</v>
      </c>
      <c r="T3">
        <v>189000</v>
      </c>
      <c r="U3">
        <v>19.399999999999999</v>
      </c>
      <c r="V3">
        <v>81</v>
      </c>
      <c r="W3">
        <v>141925.85999999999</v>
      </c>
      <c r="X3">
        <v>526441.34</v>
      </c>
      <c r="Y3">
        <v>141607.25</v>
      </c>
      <c r="Z3">
        <v>525682.73</v>
      </c>
      <c r="AA3">
        <v>2244</v>
      </c>
      <c r="AB3">
        <v>1999</v>
      </c>
      <c r="AD3" t="s">
        <v>191</v>
      </c>
    </row>
    <row r="4" spans="1:32" x14ac:dyDescent="0.25">
      <c r="A4" t="s">
        <v>136</v>
      </c>
      <c r="B4" t="s">
        <v>24</v>
      </c>
      <c r="C4" s="8">
        <v>43135</v>
      </c>
      <c r="D4" s="8">
        <v>43162</v>
      </c>
      <c r="E4" t="s">
        <v>189</v>
      </c>
      <c r="F4" t="s">
        <v>144</v>
      </c>
      <c r="G4" t="s">
        <v>145</v>
      </c>
      <c r="H4" t="s">
        <v>131</v>
      </c>
      <c r="I4">
        <v>2047</v>
      </c>
      <c r="J4">
        <v>1876</v>
      </c>
      <c r="K4">
        <v>164</v>
      </c>
      <c r="L4">
        <v>160</v>
      </c>
      <c r="M4">
        <v>0.98</v>
      </c>
      <c r="N4">
        <v>0.215</v>
      </c>
      <c r="O4">
        <v>180</v>
      </c>
      <c r="Q4">
        <v>20.3</v>
      </c>
      <c r="S4">
        <v>-2</v>
      </c>
      <c r="T4">
        <v>189000</v>
      </c>
      <c r="U4">
        <v>20.52</v>
      </c>
      <c r="V4">
        <v>82</v>
      </c>
      <c r="W4">
        <v>141929.1</v>
      </c>
      <c r="X4">
        <v>526431.85</v>
      </c>
      <c r="Y4">
        <v>142267.63</v>
      </c>
      <c r="Z4">
        <v>527158.21</v>
      </c>
      <c r="AA4">
        <v>2275</v>
      </c>
      <c r="AB4">
        <v>2056</v>
      </c>
      <c r="AD4" t="s">
        <v>191</v>
      </c>
    </row>
    <row r="5" spans="1:32" x14ac:dyDescent="0.25">
      <c r="A5" t="s">
        <v>137</v>
      </c>
      <c r="B5" t="s">
        <v>24</v>
      </c>
      <c r="C5" s="8">
        <v>43163</v>
      </c>
      <c r="D5" s="8">
        <v>43189</v>
      </c>
      <c r="E5" t="s">
        <v>190</v>
      </c>
      <c r="F5" t="s">
        <v>144</v>
      </c>
      <c r="G5" t="s">
        <v>145</v>
      </c>
      <c r="H5" t="s">
        <v>131</v>
      </c>
      <c r="I5">
        <v>1979</v>
      </c>
      <c r="J5">
        <v>1802</v>
      </c>
      <c r="K5">
        <v>130</v>
      </c>
      <c r="L5">
        <v>125</v>
      </c>
      <c r="M5">
        <v>0.98</v>
      </c>
      <c r="N5">
        <v>0.22</v>
      </c>
      <c r="O5">
        <v>240</v>
      </c>
      <c r="Q5">
        <v>16.100000000000001</v>
      </c>
      <c r="S5">
        <v>-3</v>
      </c>
      <c r="T5">
        <v>189000</v>
      </c>
      <c r="U5">
        <v>19.5</v>
      </c>
      <c r="V5">
        <v>81</v>
      </c>
      <c r="W5">
        <v>141931.51999999999</v>
      </c>
      <c r="X5">
        <v>526424.71</v>
      </c>
      <c r="Y5">
        <v>142636.31</v>
      </c>
      <c r="Z5">
        <v>526143.59</v>
      </c>
      <c r="AA5">
        <v>2168</v>
      </c>
      <c r="AB5">
        <v>1958</v>
      </c>
      <c r="AD5" t="s">
        <v>191</v>
      </c>
    </row>
    <row r="6" spans="1:32" x14ac:dyDescent="0.25">
      <c r="A6" t="s">
        <v>13</v>
      </c>
      <c r="B6" t="s">
        <v>26</v>
      </c>
      <c r="C6" s="8">
        <v>42189</v>
      </c>
      <c r="D6" s="8">
        <v>42234</v>
      </c>
      <c r="E6" t="s">
        <v>189</v>
      </c>
      <c r="F6" t="s">
        <v>146</v>
      </c>
      <c r="G6" t="s">
        <v>147</v>
      </c>
      <c r="H6" t="s">
        <v>185</v>
      </c>
      <c r="I6">
        <v>2772</v>
      </c>
      <c r="J6">
        <v>2165</v>
      </c>
      <c r="K6">
        <v>204</v>
      </c>
      <c r="L6">
        <f>M6*K6</f>
        <v>183.6</v>
      </c>
      <c r="M6">
        <v>0.9</v>
      </c>
      <c r="N6">
        <v>0.18</v>
      </c>
      <c r="O6">
        <v>120</v>
      </c>
      <c r="Q6">
        <f>O6*L6/1000</f>
        <v>22.032</v>
      </c>
      <c r="S6">
        <v>2.8</v>
      </c>
      <c r="T6">
        <v>116000</v>
      </c>
      <c r="U6">
        <v>22.9</v>
      </c>
      <c r="V6">
        <v>83</v>
      </c>
      <c r="W6">
        <v>70428</v>
      </c>
      <c r="X6">
        <v>432179</v>
      </c>
      <c r="Y6">
        <v>68760</v>
      </c>
      <c r="Z6">
        <v>432445</v>
      </c>
      <c r="AA6">
        <v>3094</v>
      </c>
      <c r="AB6">
        <v>2377</v>
      </c>
      <c r="AD6" t="s">
        <v>194</v>
      </c>
      <c r="AF6" t="s">
        <v>313</v>
      </c>
    </row>
    <row r="7" spans="1:32" x14ac:dyDescent="0.25">
      <c r="A7" t="s">
        <v>15</v>
      </c>
      <c r="B7" t="s">
        <v>26</v>
      </c>
      <c r="C7" s="8">
        <v>42234</v>
      </c>
      <c r="D7" s="8">
        <v>42270</v>
      </c>
      <c r="E7" t="s">
        <v>190</v>
      </c>
      <c r="F7" t="s">
        <v>146</v>
      </c>
      <c r="G7" t="s">
        <v>147</v>
      </c>
      <c r="H7" t="s">
        <v>185</v>
      </c>
      <c r="I7">
        <v>2276</v>
      </c>
      <c r="J7">
        <v>2024</v>
      </c>
      <c r="K7">
        <v>176</v>
      </c>
      <c r="L7">
        <f>K7*M7</f>
        <v>158.4</v>
      </c>
      <c r="M7">
        <v>0.9</v>
      </c>
      <c r="N7">
        <v>0.18</v>
      </c>
      <c r="O7">
        <v>170</v>
      </c>
      <c r="Q7">
        <f>O7*L7/1000</f>
        <v>26.928000000000001</v>
      </c>
      <c r="S7">
        <v>-0.4</v>
      </c>
      <c r="T7">
        <v>120000</v>
      </c>
      <c r="U7">
        <v>21.4</v>
      </c>
      <c r="V7">
        <v>80</v>
      </c>
      <c r="W7">
        <v>70431</v>
      </c>
      <c r="X7">
        <v>432182</v>
      </c>
      <c r="Y7">
        <v>70274</v>
      </c>
      <c r="Z7">
        <v>431358</v>
      </c>
      <c r="AA7">
        <v>2567</v>
      </c>
      <c r="AB7">
        <v>2209</v>
      </c>
      <c r="AD7" t="s">
        <v>192</v>
      </c>
      <c r="AE7" t="s">
        <v>193</v>
      </c>
      <c r="AF7" t="s">
        <v>313</v>
      </c>
    </row>
    <row r="8" spans="1:32" x14ac:dyDescent="0.25">
      <c r="A8" t="s">
        <v>284</v>
      </c>
      <c r="B8" t="s">
        <v>27</v>
      </c>
      <c r="C8" s="8">
        <v>41080</v>
      </c>
      <c r="D8" s="8">
        <v>41128</v>
      </c>
      <c r="E8" t="s">
        <v>189</v>
      </c>
      <c r="F8" t="s">
        <v>287</v>
      </c>
      <c r="G8" t="s">
        <v>277</v>
      </c>
      <c r="H8" t="s">
        <v>288</v>
      </c>
      <c r="I8">
        <v>1685.23</v>
      </c>
      <c r="J8">
        <v>1525</v>
      </c>
      <c r="N8">
        <v>0.03</v>
      </c>
      <c r="Q8">
        <v>180</v>
      </c>
      <c r="T8">
        <v>74000</v>
      </c>
      <c r="V8">
        <v>76</v>
      </c>
      <c r="W8">
        <v>203895</v>
      </c>
      <c r="X8">
        <v>381599</v>
      </c>
      <c r="Y8">
        <v>203475</v>
      </c>
      <c r="Z8">
        <v>380871</v>
      </c>
      <c r="AA8">
        <v>2690</v>
      </c>
      <c r="AB8">
        <v>2477.17</v>
      </c>
      <c r="AD8" t="s">
        <v>167</v>
      </c>
      <c r="AE8" t="s">
        <v>196</v>
      </c>
      <c r="AF8" t="s">
        <v>197</v>
      </c>
    </row>
    <row r="9" spans="1:32" x14ac:dyDescent="0.25">
      <c r="A9" t="s">
        <v>134</v>
      </c>
      <c r="B9" t="s">
        <v>27</v>
      </c>
      <c r="C9" s="8">
        <v>41141</v>
      </c>
      <c r="D9" s="8">
        <v>41173</v>
      </c>
      <c r="E9" t="s">
        <v>190</v>
      </c>
      <c r="F9" t="s">
        <v>287</v>
      </c>
      <c r="G9" t="s">
        <v>277</v>
      </c>
      <c r="H9" t="s">
        <v>288</v>
      </c>
      <c r="I9">
        <v>1341</v>
      </c>
      <c r="J9">
        <v>1186</v>
      </c>
      <c r="K9">
        <v>295</v>
      </c>
      <c r="N9">
        <v>9.9000000000000005E-2</v>
      </c>
      <c r="Q9">
        <v>140</v>
      </c>
      <c r="T9">
        <v>41000</v>
      </c>
      <c r="W9">
        <v>203898</v>
      </c>
      <c r="X9">
        <v>381606</v>
      </c>
      <c r="Y9">
        <f>W9+358</f>
        <v>204256</v>
      </c>
      <c r="Z9">
        <f>X9+609</f>
        <v>382215</v>
      </c>
      <c r="AA9">
        <v>1694</v>
      </c>
      <c r="AB9">
        <v>1449.68</v>
      </c>
      <c r="AD9" t="s">
        <v>197</v>
      </c>
      <c r="AE9" t="s">
        <v>199</v>
      </c>
    </row>
    <row r="10" spans="1:32" x14ac:dyDescent="0.25">
      <c r="A10" t="s">
        <v>105</v>
      </c>
      <c r="B10" t="s">
        <v>27</v>
      </c>
      <c r="C10" s="8">
        <v>41224</v>
      </c>
      <c r="D10" s="8">
        <v>41294</v>
      </c>
      <c r="E10" t="s">
        <v>190</v>
      </c>
      <c r="F10" t="s">
        <v>287</v>
      </c>
      <c r="G10" t="s">
        <v>277</v>
      </c>
      <c r="H10" t="s">
        <v>288</v>
      </c>
      <c r="I10">
        <v>1618</v>
      </c>
      <c r="J10">
        <v>1377</v>
      </c>
      <c r="R10">
        <v>6</v>
      </c>
      <c r="W10">
        <v>203901</v>
      </c>
      <c r="X10">
        <v>381613</v>
      </c>
      <c r="Y10">
        <f>W10+116.6</f>
        <v>204017.6</v>
      </c>
      <c r="Z10">
        <f>X10-1641.5</f>
        <v>379971.5</v>
      </c>
      <c r="AA10">
        <v>2955</v>
      </c>
      <c r="AB10">
        <v>2241.8000000000002</v>
      </c>
      <c r="AD10" t="s">
        <v>201</v>
      </c>
    </row>
    <row r="11" spans="1:32" x14ac:dyDescent="0.25">
      <c r="A11" t="s">
        <v>11</v>
      </c>
      <c r="B11" t="s">
        <v>255</v>
      </c>
      <c r="C11" s="8">
        <v>42340</v>
      </c>
      <c r="D11" s="8">
        <v>42404</v>
      </c>
      <c r="E11" t="s">
        <v>189</v>
      </c>
      <c r="F11" t="s">
        <v>276</v>
      </c>
      <c r="G11" t="s">
        <v>277</v>
      </c>
      <c r="H11" t="s">
        <v>275</v>
      </c>
      <c r="I11">
        <v>1818</v>
      </c>
      <c r="J11">
        <v>1583</v>
      </c>
      <c r="K11">
        <v>748</v>
      </c>
      <c r="L11">
        <v>480</v>
      </c>
      <c r="M11">
        <f>L11/K11</f>
        <v>0.64171122994652408</v>
      </c>
      <c r="N11">
        <v>0.03</v>
      </c>
      <c r="O11">
        <v>175</v>
      </c>
      <c r="Q11">
        <v>93.7</v>
      </c>
      <c r="S11">
        <v>-8</v>
      </c>
      <c r="T11">
        <v>85000</v>
      </c>
      <c r="U11">
        <v>15.5</v>
      </c>
      <c r="V11">
        <v>79.900000000000006</v>
      </c>
      <c r="W11">
        <v>203337.28</v>
      </c>
      <c r="X11">
        <v>382807.38</v>
      </c>
      <c r="Y11">
        <v>202154.09</v>
      </c>
      <c r="Z11">
        <v>382124.26</v>
      </c>
      <c r="AA11">
        <v>3037.4</v>
      </c>
      <c r="AB11">
        <v>2592.5</v>
      </c>
      <c r="AD11" t="s">
        <v>201</v>
      </c>
    </row>
    <row r="12" spans="1:32" x14ac:dyDescent="0.25">
      <c r="A12" t="s">
        <v>10</v>
      </c>
      <c r="B12" t="s">
        <v>255</v>
      </c>
      <c r="C12" s="8">
        <v>42406</v>
      </c>
      <c r="D12" s="8">
        <v>42465</v>
      </c>
      <c r="E12" t="s">
        <v>190</v>
      </c>
      <c r="F12" t="s">
        <v>276</v>
      </c>
      <c r="G12" t="s">
        <v>277</v>
      </c>
      <c r="H12" t="s">
        <v>275</v>
      </c>
      <c r="I12">
        <v>1560</v>
      </c>
      <c r="J12">
        <v>1378</v>
      </c>
      <c r="K12">
        <v>620</v>
      </c>
      <c r="L12">
        <v>370</v>
      </c>
      <c r="M12">
        <v>0.6</v>
      </c>
      <c r="N12">
        <v>0.03</v>
      </c>
      <c r="O12">
        <v>4.5</v>
      </c>
      <c r="P12">
        <v>10</v>
      </c>
      <c r="S12">
        <v>-3</v>
      </c>
      <c r="T12">
        <v>61000</v>
      </c>
      <c r="U12">
        <v>13.65</v>
      </c>
      <c r="V12">
        <v>75.900000000000006</v>
      </c>
      <c r="W12">
        <v>203340.6</v>
      </c>
      <c r="X12">
        <v>382816.69</v>
      </c>
      <c r="Y12">
        <v>204711.17</v>
      </c>
      <c r="Z12">
        <v>383607.99</v>
      </c>
      <c r="AA12">
        <v>2433</v>
      </c>
      <c r="AB12">
        <v>2011</v>
      </c>
      <c r="AC12" t="s">
        <v>340</v>
      </c>
      <c r="AD12" t="s">
        <v>201</v>
      </c>
    </row>
    <row r="13" spans="1:32" x14ac:dyDescent="0.25">
      <c r="A13" t="s">
        <v>93</v>
      </c>
      <c r="B13" t="s">
        <v>95</v>
      </c>
      <c r="C13" s="8">
        <v>40314</v>
      </c>
      <c r="D13" s="8">
        <v>40444</v>
      </c>
      <c r="E13" t="s">
        <v>189</v>
      </c>
      <c r="F13" t="s">
        <v>142</v>
      </c>
      <c r="G13" t="s">
        <v>171</v>
      </c>
      <c r="H13" t="s">
        <v>129</v>
      </c>
      <c r="I13">
        <v>2532</v>
      </c>
      <c r="J13">
        <v>2192</v>
      </c>
      <c r="K13">
        <v>98</v>
      </c>
      <c r="L13">
        <v>63</v>
      </c>
      <c r="M13">
        <v>0.64</v>
      </c>
      <c r="N13">
        <v>0.18</v>
      </c>
      <c r="O13">
        <v>2300</v>
      </c>
      <c r="P13">
        <v>523</v>
      </c>
      <c r="Q13">
        <f>O13*L13/1000</f>
        <v>144.9</v>
      </c>
      <c r="S13">
        <v>20</v>
      </c>
      <c r="T13">
        <v>120000</v>
      </c>
      <c r="U13">
        <v>23.3</v>
      </c>
      <c r="W13">
        <v>78210.955000000002</v>
      </c>
      <c r="X13">
        <v>452500.55</v>
      </c>
      <c r="Y13">
        <v>79337.835000000006</v>
      </c>
      <c r="Z13">
        <v>452712.77</v>
      </c>
      <c r="AA13">
        <v>2694</v>
      </c>
      <c r="AB13">
        <v>2298</v>
      </c>
      <c r="AC13" t="s">
        <v>359</v>
      </c>
      <c r="AD13" t="s">
        <v>170</v>
      </c>
      <c r="AE13" t="s">
        <v>358</v>
      </c>
    </row>
    <row r="14" spans="1:32" x14ac:dyDescent="0.25">
      <c r="A14" t="s">
        <v>94</v>
      </c>
      <c r="B14" t="s">
        <v>95</v>
      </c>
      <c r="C14" s="8">
        <v>40450</v>
      </c>
      <c r="D14" s="8">
        <v>40486</v>
      </c>
      <c r="E14" t="s">
        <v>190</v>
      </c>
      <c r="F14" t="s">
        <v>142</v>
      </c>
      <c r="G14" t="s">
        <v>171</v>
      </c>
      <c r="H14" t="s">
        <v>129</v>
      </c>
      <c r="I14">
        <v>2138</v>
      </c>
      <c r="J14">
        <v>1776</v>
      </c>
      <c r="K14">
        <v>112</v>
      </c>
      <c r="L14">
        <v>96</v>
      </c>
      <c r="M14">
        <v>0.86</v>
      </c>
      <c r="N14">
        <v>0.2</v>
      </c>
      <c r="O14">
        <v>1400</v>
      </c>
      <c r="P14">
        <v>324</v>
      </c>
      <c r="Q14">
        <v>134.4</v>
      </c>
      <c r="R14">
        <v>34.4</v>
      </c>
      <c r="S14">
        <v>1.6</v>
      </c>
      <c r="T14">
        <v>120000</v>
      </c>
      <c r="U14">
        <v>17.899999999999999</v>
      </c>
      <c r="V14">
        <v>73</v>
      </c>
      <c r="W14">
        <v>78215.399999999994</v>
      </c>
      <c r="X14">
        <v>452494.28</v>
      </c>
      <c r="Y14">
        <v>77165.58</v>
      </c>
      <c r="Z14">
        <v>452325.24</v>
      </c>
      <c r="AA14">
        <v>2322</v>
      </c>
      <c r="AB14">
        <v>1884</v>
      </c>
      <c r="AC14" t="s">
        <v>360</v>
      </c>
      <c r="AD14" t="s">
        <v>210</v>
      </c>
    </row>
    <row r="15" spans="1:32" x14ac:dyDescent="0.25">
      <c r="A15" t="s">
        <v>198</v>
      </c>
      <c r="B15" t="s">
        <v>41</v>
      </c>
      <c r="C15" s="8">
        <v>41348</v>
      </c>
      <c r="D15" s="8">
        <v>41415</v>
      </c>
      <c r="E15" t="s">
        <v>189</v>
      </c>
      <c r="F15" t="s">
        <v>144</v>
      </c>
      <c r="G15" t="s">
        <v>145</v>
      </c>
      <c r="H15" t="s">
        <v>131</v>
      </c>
      <c r="I15">
        <v>2871</v>
      </c>
      <c r="J15">
        <v>2530</v>
      </c>
      <c r="K15">
        <v>189</v>
      </c>
      <c r="L15">
        <v>187</v>
      </c>
      <c r="M15">
        <v>0.99</v>
      </c>
      <c r="N15">
        <v>0.17</v>
      </c>
      <c r="O15">
        <v>68</v>
      </c>
      <c r="Q15">
        <f>O15*L15/1000</f>
        <v>12.715999999999999</v>
      </c>
      <c r="R15">
        <v>3.9</v>
      </c>
      <c r="S15">
        <v>13.5</v>
      </c>
      <c r="T15">
        <v>206000</v>
      </c>
      <c r="V15">
        <v>94.1</v>
      </c>
      <c r="W15">
        <v>104308</v>
      </c>
      <c r="X15">
        <v>502446</v>
      </c>
      <c r="AA15">
        <v>3116</v>
      </c>
      <c r="AB15">
        <v>2718</v>
      </c>
      <c r="AD15" t="s">
        <v>202</v>
      </c>
    </row>
    <row r="16" spans="1:32" x14ac:dyDescent="0.25">
      <c r="A16" t="s">
        <v>44</v>
      </c>
      <c r="B16" t="s">
        <v>41</v>
      </c>
      <c r="C16" s="8">
        <v>41553</v>
      </c>
      <c r="D16" s="8">
        <v>41611</v>
      </c>
      <c r="E16" t="s">
        <v>190</v>
      </c>
      <c r="F16" t="s">
        <v>144</v>
      </c>
      <c r="G16" t="s">
        <v>145</v>
      </c>
      <c r="H16" t="s">
        <v>131</v>
      </c>
      <c r="I16">
        <v>2646</v>
      </c>
      <c r="J16">
        <v>2384</v>
      </c>
      <c r="K16">
        <v>205</v>
      </c>
      <c r="L16">
        <v>203</v>
      </c>
      <c r="M16">
        <v>0.99</v>
      </c>
      <c r="N16">
        <v>0.17</v>
      </c>
      <c r="O16">
        <v>69</v>
      </c>
      <c r="Q16">
        <f>O16*L16/1000</f>
        <v>14.007</v>
      </c>
      <c r="T16">
        <v>183000</v>
      </c>
      <c r="U16">
        <v>27</v>
      </c>
      <c r="V16">
        <v>100</v>
      </c>
      <c r="W16">
        <v>104306</v>
      </c>
      <c r="X16">
        <v>502453</v>
      </c>
      <c r="AA16">
        <v>2947</v>
      </c>
      <c r="AB16">
        <v>2593</v>
      </c>
      <c r="AD16" t="s">
        <v>202</v>
      </c>
    </row>
    <row r="17" spans="1:32" x14ac:dyDescent="0.25">
      <c r="A17" t="s">
        <v>49</v>
      </c>
      <c r="B17" t="s">
        <v>47</v>
      </c>
      <c r="C17" s="8">
        <v>42174</v>
      </c>
      <c r="D17" s="8">
        <v>42185</v>
      </c>
      <c r="E17" t="s">
        <v>189</v>
      </c>
      <c r="F17" t="s">
        <v>142</v>
      </c>
      <c r="G17" t="s">
        <v>143</v>
      </c>
      <c r="H17" t="s">
        <v>129</v>
      </c>
      <c r="I17">
        <v>2560</v>
      </c>
      <c r="J17">
        <v>2366</v>
      </c>
      <c r="K17">
        <v>52</v>
      </c>
      <c r="L17">
        <f>K17*M17</f>
        <v>15.6</v>
      </c>
      <c r="M17">
        <v>0.3</v>
      </c>
      <c r="N17">
        <v>0.16300000000000001</v>
      </c>
      <c r="O17">
        <v>155</v>
      </c>
      <c r="P17">
        <v>446</v>
      </c>
      <c r="Q17">
        <v>8.5</v>
      </c>
      <c r="S17">
        <v>-0.4</v>
      </c>
      <c r="T17">
        <v>123224</v>
      </c>
      <c r="U17">
        <v>25.5</v>
      </c>
      <c r="V17">
        <v>92</v>
      </c>
      <c r="W17">
        <v>75242.8</v>
      </c>
      <c r="X17">
        <v>448081</v>
      </c>
      <c r="Y17">
        <v>74823.199999999997</v>
      </c>
      <c r="Z17">
        <v>448655.5</v>
      </c>
      <c r="AA17">
        <v>2615</v>
      </c>
      <c r="AB17">
        <v>2419</v>
      </c>
      <c r="AD17" t="s">
        <v>202</v>
      </c>
    </row>
    <row r="18" spans="1:32" x14ac:dyDescent="0.25">
      <c r="A18" t="s">
        <v>48</v>
      </c>
      <c r="B18" t="s">
        <v>47</v>
      </c>
      <c r="C18" s="8">
        <v>40981</v>
      </c>
      <c r="D18" s="8">
        <v>41037</v>
      </c>
      <c r="E18" t="s">
        <v>190</v>
      </c>
      <c r="F18" t="s">
        <v>142</v>
      </c>
      <c r="G18" t="s">
        <v>143</v>
      </c>
      <c r="H18" t="s">
        <v>129</v>
      </c>
      <c r="I18">
        <v>2590</v>
      </c>
      <c r="J18">
        <v>2440</v>
      </c>
      <c r="K18">
        <v>74</v>
      </c>
      <c r="L18">
        <f>K18*M18</f>
        <v>59.2</v>
      </c>
      <c r="M18">
        <v>0.8</v>
      </c>
      <c r="N18">
        <v>0.16500000000000001</v>
      </c>
      <c r="O18">
        <v>145</v>
      </c>
      <c r="Q18">
        <f>O18*L18/1000</f>
        <v>8.5839999999999996</v>
      </c>
      <c r="R18">
        <v>8.4</v>
      </c>
      <c r="S18">
        <v>-0.4</v>
      </c>
      <c r="T18">
        <v>127539</v>
      </c>
      <c r="V18">
        <v>95</v>
      </c>
      <c r="W18">
        <v>75235.100000000006</v>
      </c>
      <c r="X18">
        <v>448079.1</v>
      </c>
      <c r="Y18">
        <v>76126.100000000006</v>
      </c>
      <c r="Z18">
        <v>447672.1</v>
      </c>
      <c r="AA18">
        <v>3031.08</v>
      </c>
      <c r="AB18">
        <v>2726.45</v>
      </c>
      <c r="AC18" t="s">
        <v>211</v>
      </c>
      <c r="AD18" t="s">
        <v>209</v>
      </c>
    </row>
    <row r="19" spans="1:32" x14ac:dyDescent="0.25">
      <c r="A19" t="s">
        <v>83</v>
      </c>
      <c r="B19" t="s">
        <v>80</v>
      </c>
      <c r="C19" s="8">
        <v>42565</v>
      </c>
      <c r="D19" s="8">
        <v>42671</v>
      </c>
      <c r="E19" t="s">
        <v>190</v>
      </c>
      <c r="F19" t="s">
        <v>142</v>
      </c>
      <c r="G19" t="s">
        <v>143</v>
      </c>
      <c r="H19" t="s">
        <v>232</v>
      </c>
      <c r="I19">
        <v>2703</v>
      </c>
      <c r="J19">
        <v>2238</v>
      </c>
      <c r="K19">
        <v>201</v>
      </c>
      <c r="L19">
        <v>150</v>
      </c>
      <c r="M19">
        <v>0.75</v>
      </c>
      <c r="N19">
        <v>0.18</v>
      </c>
      <c r="O19">
        <v>953</v>
      </c>
      <c r="Q19">
        <v>143</v>
      </c>
      <c r="S19">
        <v>0</v>
      </c>
      <c r="T19">
        <v>120000</v>
      </c>
      <c r="U19">
        <f>J19*10.58/1000</f>
        <v>23.678039999999999</v>
      </c>
      <c r="V19">
        <v>88.5</v>
      </c>
      <c r="W19">
        <v>78288.6973</v>
      </c>
      <c r="X19">
        <v>447042.299</v>
      </c>
      <c r="Y19">
        <v>79666.89</v>
      </c>
      <c r="Z19">
        <v>447098.19</v>
      </c>
      <c r="AA19">
        <v>2899</v>
      </c>
      <c r="AB19">
        <v>2376</v>
      </c>
      <c r="AC19" t="s">
        <v>314</v>
      </c>
      <c r="AD19" t="s">
        <v>209</v>
      </c>
    </row>
    <row r="20" spans="1:32" x14ac:dyDescent="0.25">
      <c r="A20" t="s">
        <v>84</v>
      </c>
      <c r="B20" t="s">
        <v>80</v>
      </c>
      <c r="C20" s="8">
        <v>42694</v>
      </c>
      <c r="D20" s="8">
        <v>42767</v>
      </c>
      <c r="E20" t="s">
        <v>189</v>
      </c>
      <c r="F20" t="s">
        <v>142</v>
      </c>
      <c r="G20" t="s">
        <v>143</v>
      </c>
      <c r="H20" t="s">
        <v>232</v>
      </c>
      <c r="I20">
        <v>2500</v>
      </c>
      <c r="J20">
        <v>2242</v>
      </c>
      <c r="K20">
        <v>220</v>
      </c>
      <c r="L20">
        <v>186</v>
      </c>
      <c r="M20">
        <v>0.85</v>
      </c>
      <c r="N20">
        <v>0.18</v>
      </c>
      <c r="O20">
        <v>771</v>
      </c>
      <c r="Q20">
        <v>143</v>
      </c>
      <c r="S20">
        <v>0</v>
      </c>
      <c r="T20">
        <v>120000</v>
      </c>
      <c r="U20">
        <f>J20*10.58/1000</f>
        <v>23.720359999999999</v>
      </c>
      <c r="V20">
        <v>88.5</v>
      </c>
      <c r="W20">
        <v>78263.168399999995</v>
      </c>
      <c r="X20">
        <v>447047.33100000001</v>
      </c>
      <c r="Y20">
        <v>78375.210000000006</v>
      </c>
      <c r="Z20">
        <v>448082.25</v>
      </c>
      <c r="AA20">
        <v>2803</v>
      </c>
      <c r="AB20">
        <v>2478</v>
      </c>
      <c r="AC20" t="s">
        <v>314</v>
      </c>
      <c r="AD20" t="s">
        <v>209</v>
      </c>
    </row>
    <row r="21" spans="1:32" x14ac:dyDescent="0.25">
      <c r="A21" t="s">
        <v>87</v>
      </c>
      <c r="B21" t="s">
        <v>86</v>
      </c>
      <c r="C21" s="8">
        <v>40691</v>
      </c>
      <c r="D21" s="8">
        <v>40745</v>
      </c>
      <c r="E21" t="s">
        <v>189</v>
      </c>
      <c r="F21" t="s">
        <v>144</v>
      </c>
      <c r="G21" t="s">
        <v>145</v>
      </c>
      <c r="H21" t="s">
        <v>131</v>
      </c>
      <c r="I21">
        <v>2138</v>
      </c>
      <c r="J21">
        <v>1859</v>
      </c>
      <c r="K21">
        <v>92</v>
      </c>
      <c r="L21">
        <f>K21*M21</f>
        <v>59.800000000000004</v>
      </c>
      <c r="M21">
        <v>0.65</v>
      </c>
      <c r="N21">
        <v>0.183</v>
      </c>
      <c r="O21">
        <v>175</v>
      </c>
      <c r="Q21">
        <v>16.100000000000001</v>
      </c>
      <c r="S21">
        <v>0.22</v>
      </c>
      <c r="T21">
        <v>125000</v>
      </c>
      <c r="U21">
        <v>19.600000000000001</v>
      </c>
      <c r="V21">
        <v>74</v>
      </c>
      <c r="W21">
        <v>193090</v>
      </c>
      <c r="X21">
        <v>510433</v>
      </c>
      <c r="Y21">
        <v>193932</v>
      </c>
      <c r="Z21">
        <v>510425</v>
      </c>
      <c r="AA21">
        <v>2258</v>
      </c>
      <c r="AB21">
        <v>1947</v>
      </c>
      <c r="AD21" t="s">
        <v>208</v>
      </c>
    </row>
    <row r="22" spans="1:32" x14ac:dyDescent="0.25">
      <c r="A22" t="s">
        <v>168</v>
      </c>
      <c r="B22" t="s">
        <v>86</v>
      </c>
      <c r="C22" s="8">
        <v>40751</v>
      </c>
      <c r="D22" s="8">
        <v>40796</v>
      </c>
      <c r="E22" t="s">
        <v>190</v>
      </c>
      <c r="F22" t="s">
        <v>144</v>
      </c>
      <c r="G22" t="s">
        <v>145</v>
      </c>
      <c r="H22" t="s">
        <v>131</v>
      </c>
      <c r="I22">
        <v>2106</v>
      </c>
      <c r="J22">
        <v>1849</v>
      </c>
      <c r="K22">
        <v>76</v>
      </c>
      <c r="L22">
        <f>K22*M22</f>
        <v>49.4</v>
      </c>
      <c r="M22">
        <v>0.65</v>
      </c>
      <c r="N22">
        <v>0.16800000000000001</v>
      </c>
      <c r="O22">
        <v>207</v>
      </c>
      <c r="Q22">
        <v>15.8</v>
      </c>
      <c r="S22">
        <v>1.85</v>
      </c>
      <c r="T22">
        <v>131000</v>
      </c>
      <c r="U22">
        <v>19.600000000000001</v>
      </c>
      <c r="V22">
        <v>76</v>
      </c>
      <c r="W22">
        <v>193083</v>
      </c>
      <c r="X22">
        <v>510429</v>
      </c>
      <c r="Y22">
        <v>192406</v>
      </c>
      <c r="Z22">
        <v>510851</v>
      </c>
      <c r="AA22">
        <v>2205</v>
      </c>
      <c r="AB22">
        <v>1923.7</v>
      </c>
      <c r="AD22" t="s">
        <v>208</v>
      </c>
    </row>
    <row r="23" spans="1:32" x14ac:dyDescent="0.25">
      <c r="A23" t="s">
        <v>200</v>
      </c>
      <c r="B23" t="s">
        <v>86</v>
      </c>
      <c r="C23" s="8">
        <v>44709</v>
      </c>
      <c r="D23" s="8">
        <v>44747</v>
      </c>
      <c r="E23" t="s">
        <v>189</v>
      </c>
      <c r="F23" t="s">
        <v>144</v>
      </c>
      <c r="G23" t="s">
        <v>145</v>
      </c>
      <c r="H23" t="s">
        <v>131</v>
      </c>
      <c r="I23">
        <v>1847</v>
      </c>
      <c r="J23">
        <v>1842</v>
      </c>
      <c r="K23">
        <v>93</v>
      </c>
      <c r="L23">
        <f>K23*M23</f>
        <v>60.45</v>
      </c>
      <c r="M23">
        <v>0.65</v>
      </c>
      <c r="N23">
        <v>0.183</v>
      </c>
      <c r="U23">
        <v>19.8</v>
      </c>
      <c r="V23">
        <v>74</v>
      </c>
      <c r="W23">
        <v>193050</v>
      </c>
      <c r="X23">
        <v>510421</v>
      </c>
      <c r="Y23">
        <v>193088</v>
      </c>
      <c r="Z23">
        <v>510410</v>
      </c>
      <c r="AA23">
        <v>1847</v>
      </c>
      <c r="AB23">
        <v>1840</v>
      </c>
      <c r="AD23" t="s">
        <v>213</v>
      </c>
      <c r="AE23" t="s">
        <v>313</v>
      </c>
    </row>
    <row r="24" spans="1:32" x14ac:dyDescent="0.25">
      <c r="A24" t="s">
        <v>366</v>
      </c>
      <c r="B24" t="s">
        <v>367</v>
      </c>
      <c r="C24" s="8">
        <v>44403</v>
      </c>
      <c r="D24" s="8">
        <v>44377</v>
      </c>
      <c r="F24" t="s">
        <v>144</v>
      </c>
      <c r="W24">
        <v>179795.31</v>
      </c>
      <c r="X24">
        <v>577401.18000000005</v>
      </c>
      <c r="AD24" s="2" t="s">
        <v>213</v>
      </c>
      <c r="AE24" t="s">
        <v>313</v>
      </c>
    </row>
    <row r="25" spans="1:32" x14ac:dyDescent="0.25">
      <c r="A25" t="s">
        <v>52</v>
      </c>
      <c r="B25" t="s">
        <v>50</v>
      </c>
      <c r="C25" s="8">
        <v>41779</v>
      </c>
      <c r="D25" s="8">
        <v>41827</v>
      </c>
      <c r="E25" t="s">
        <v>189</v>
      </c>
      <c r="F25" t="s">
        <v>142</v>
      </c>
      <c r="G25" t="s">
        <v>143</v>
      </c>
      <c r="H25" t="s">
        <v>212</v>
      </c>
      <c r="I25">
        <v>2651</v>
      </c>
      <c r="J25">
        <v>2387</v>
      </c>
      <c r="K25">
        <v>166</v>
      </c>
      <c r="L25">
        <v>83</v>
      </c>
      <c r="M25">
        <f>L25/K25</f>
        <v>0.5</v>
      </c>
      <c r="N25">
        <v>0.16300000000000001</v>
      </c>
      <c r="O25">
        <v>930</v>
      </c>
      <c r="Q25">
        <v>65.099999999999994</v>
      </c>
      <c r="S25">
        <v>-1.3</v>
      </c>
      <c r="T25">
        <v>140000</v>
      </c>
      <c r="U25">
        <v>24.5</v>
      </c>
      <c r="V25">
        <v>91</v>
      </c>
      <c r="W25">
        <v>79087.73</v>
      </c>
      <c r="X25">
        <v>443732.32</v>
      </c>
      <c r="Y25">
        <v>78891.360000000001</v>
      </c>
      <c r="Z25">
        <v>444728.93</v>
      </c>
      <c r="AA25">
        <v>2897</v>
      </c>
      <c r="AB25">
        <v>2575</v>
      </c>
      <c r="AE25" t="s">
        <v>215</v>
      </c>
    </row>
    <row r="26" spans="1:32" s="16" customFormat="1" x14ac:dyDescent="0.25">
      <c r="A26" s="17" t="s">
        <v>54</v>
      </c>
      <c r="B26" s="17" t="s">
        <v>50</v>
      </c>
      <c r="C26" s="5">
        <v>41828</v>
      </c>
      <c r="D26" s="5">
        <v>41863</v>
      </c>
      <c r="E26" s="17" t="s">
        <v>190</v>
      </c>
      <c r="F26" s="17" t="s">
        <v>142</v>
      </c>
      <c r="G26" s="17" t="s">
        <v>143</v>
      </c>
      <c r="H26" s="17" t="s">
        <v>212</v>
      </c>
      <c r="I26" s="17">
        <v>2590</v>
      </c>
      <c r="J26" s="17">
        <v>2324</v>
      </c>
      <c r="K26" s="17">
        <v>210</v>
      </c>
      <c r="L26" s="17">
        <v>105</v>
      </c>
      <c r="M26" s="17">
        <f>L26/K26</f>
        <v>0.5</v>
      </c>
      <c r="N26" s="17">
        <v>0.16800000000000001</v>
      </c>
      <c r="O26" s="17">
        <v>1300</v>
      </c>
      <c r="P26" s="17"/>
      <c r="Q26" s="17">
        <v>83</v>
      </c>
      <c r="R26" s="17"/>
      <c r="S26" s="17">
        <v>7.2</v>
      </c>
      <c r="T26" s="17">
        <v>140000</v>
      </c>
      <c r="U26" s="17">
        <v>23.9</v>
      </c>
      <c r="V26" s="17">
        <v>88</v>
      </c>
      <c r="W26" s="17">
        <v>79090.55</v>
      </c>
      <c r="X26" s="17">
        <v>443734.5</v>
      </c>
      <c r="Y26" s="17">
        <v>79661.59</v>
      </c>
      <c r="Z26" s="17">
        <v>443234.94</v>
      </c>
      <c r="AA26" s="17">
        <v>2880</v>
      </c>
      <c r="AB26" s="17">
        <v>2544</v>
      </c>
      <c r="AC26" s="17"/>
      <c r="AD26" s="17"/>
      <c r="AE26" s="17" t="s">
        <v>215</v>
      </c>
      <c r="AF26" s="17" t="s">
        <v>216</v>
      </c>
    </row>
    <row r="27" spans="1:32" x14ac:dyDescent="0.25">
      <c r="A27" t="s">
        <v>57</v>
      </c>
      <c r="B27" t="s">
        <v>56</v>
      </c>
      <c r="C27" s="8">
        <v>42972</v>
      </c>
      <c r="D27" s="8">
        <v>43030</v>
      </c>
      <c r="E27" t="s">
        <v>189</v>
      </c>
      <c r="F27" t="s">
        <v>247</v>
      </c>
      <c r="G27" t="s">
        <v>248</v>
      </c>
      <c r="H27" t="s">
        <v>278</v>
      </c>
      <c r="I27">
        <v>2005</v>
      </c>
      <c r="J27">
        <v>1621</v>
      </c>
      <c r="K27">
        <v>88</v>
      </c>
      <c r="L27">
        <v>35</v>
      </c>
      <c r="M27">
        <v>0.47</v>
      </c>
      <c r="N27">
        <v>0.19</v>
      </c>
      <c r="O27">
        <v>570</v>
      </c>
      <c r="Q27">
        <v>50.2</v>
      </c>
      <c r="R27">
        <v>18.399999999999999</v>
      </c>
      <c r="S27">
        <v>1.8</v>
      </c>
      <c r="T27">
        <v>121000</v>
      </c>
      <c r="U27">
        <v>16.399999999999999</v>
      </c>
      <c r="V27">
        <v>62</v>
      </c>
      <c r="W27">
        <v>94634.02</v>
      </c>
      <c r="X27">
        <v>446400.99</v>
      </c>
      <c r="AE27" t="s">
        <v>217</v>
      </c>
    </row>
    <row r="28" spans="1:32" x14ac:dyDescent="0.25">
      <c r="A28" t="s">
        <v>58</v>
      </c>
      <c r="B28" t="s">
        <v>56</v>
      </c>
      <c r="C28" s="8">
        <v>43035</v>
      </c>
      <c r="D28" s="8">
        <v>43078</v>
      </c>
      <c r="E28" t="s">
        <v>190</v>
      </c>
      <c r="F28" t="s">
        <v>247</v>
      </c>
      <c r="G28" t="s">
        <v>248</v>
      </c>
      <c r="H28" t="s">
        <v>278</v>
      </c>
      <c r="I28">
        <v>2328</v>
      </c>
      <c r="J28">
        <v>1556</v>
      </c>
      <c r="W28">
        <v>94635.98</v>
      </c>
      <c r="X28">
        <v>446408.47</v>
      </c>
      <c r="AE28" t="s">
        <v>217</v>
      </c>
    </row>
    <row r="29" spans="1:32" x14ac:dyDescent="0.25">
      <c r="A29" t="s">
        <v>62</v>
      </c>
      <c r="B29" t="s">
        <v>61</v>
      </c>
      <c r="C29" s="8">
        <v>43150</v>
      </c>
      <c r="D29" s="8">
        <v>43181</v>
      </c>
      <c r="E29" t="s">
        <v>189</v>
      </c>
      <c r="F29" t="s">
        <v>144</v>
      </c>
      <c r="G29" t="s">
        <v>145</v>
      </c>
      <c r="H29" t="s">
        <v>131</v>
      </c>
      <c r="I29">
        <v>1826</v>
      </c>
      <c r="J29">
        <v>1741</v>
      </c>
      <c r="K29">
        <v>81</v>
      </c>
      <c r="L29">
        <f>M29*K29</f>
        <v>81</v>
      </c>
      <c r="M29">
        <v>1</v>
      </c>
      <c r="N29">
        <v>0.17699999999999999</v>
      </c>
      <c r="O29">
        <v>230</v>
      </c>
      <c r="P29">
        <v>600</v>
      </c>
      <c r="Q29">
        <v>18.600000000000001</v>
      </c>
      <c r="S29">
        <v>-0.5</v>
      </c>
      <c r="T29">
        <v>190918</v>
      </c>
      <c r="V29">
        <v>77.7</v>
      </c>
      <c r="W29">
        <v>186839.432</v>
      </c>
      <c r="X29">
        <v>528102.63399999996</v>
      </c>
      <c r="Y29">
        <v>186540.01</v>
      </c>
      <c r="Z29">
        <v>528396.59</v>
      </c>
      <c r="AA29">
        <v>1952</v>
      </c>
      <c r="AB29">
        <v>1863</v>
      </c>
      <c r="AD29" t="s">
        <v>182</v>
      </c>
      <c r="AE29" t="s">
        <v>182</v>
      </c>
      <c r="AF29" t="s">
        <v>187</v>
      </c>
    </row>
    <row r="30" spans="1:32" x14ac:dyDescent="0.25">
      <c r="A30" t="s">
        <v>63</v>
      </c>
      <c r="B30" t="s">
        <v>61</v>
      </c>
      <c r="C30" s="8">
        <v>43182</v>
      </c>
      <c r="D30" s="8">
        <v>43207</v>
      </c>
      <c r="E30" t="s">
        <v>190</v>
      </c>
      <c r="F30" t="s">
        <v>144</v>
      </c>
      <c r="G30" t="s">
        <v>145</v>
      </c>
      <c r="H30" t="s">
        <v>131</v>
      </c>
      <c r="I30">
        <v>2183</v>
      </c>
      <c r="J30">
        <v>1726</v>
      </c>
      <c r="K30">
        <v>67</v>
      </c>
      <c r="L30">
        <f>M30*K30</f>
        <v>67</v>
      </c>
      <c r="M30">
        <v>1</v>
      </c>
      <c r="N30">
        <v>0.191</v>
      </c>
      <c r="O30">
        <v>347</v>
      </c>
      <c r="P30">
        <v>600</v>
      </c>
      <c r="Q30">
        <v>23.4</v>
      </c>
      <c r="S30">
        <v>-0.8</v>
      </c>
      <c r="T30">
        <v>156004</v>
      </c>
      <c r="V30">
        <v>76.400000000000006</v>
      </c>
      <c r="W30">
        <v>186842.11600000001</v>
      </c>
      <c r="X30">
        <v>528093.05200000003</v>
      </c>
      <c r="Y30">
        <v>186235.24</v>
      </c>
      <c r="Z30">
        <v>527003.30000000005</v>
      </c>
      <c r="AA30">
        <v>2320</v>
      </c>
      <c r="AB30">
        <v>1808</v>
      </c>
      <c r="AD30" t="s">
        <v>182</v>
      </c>
      <c r="AE30" t="s">
        <v>182</v>
      </c>
    </row>
    <row r="31" spans="1:32" x14ac:dyDescent="0.25">
      <c r="A31" t="s">
        <v>138</v>
      </c>
      <c r="B31" t="s">
        <v>61</v>
      </c>
      <c r="C31" s="8">
        <v>43209</v>
      </c>
      <c r="D31" s="8">
        <v>43236</v>
      </c>
      <c r="E31" t="s">
        <v>190</v>
      </c>
      <c r="F31" t="s">
        <v>144</v>
      </c>
      <c r="G31" t="s">
        <v>145</v>
      </c>
      <c r="H31" t="s">
        <v>131</v>
      </c>
      <c r="I31">
        <v>2117</v>
      </c>
      <c r="J31">
        <v>1717</v>
      </c>
      <c r="K31">
        <v>71</v>
      </c>
      <c r="L31">
        <v>66</v>
      </c>
      <c r="M31">
        <v>0.93</v>
      </c>
      <c r="N31">
        <v>0.17100000000000001</v>
      </c>
      <c r="O31">
        <v>197</v>
      </c>
      <c r="P31">
        <v>600</v>
      </c>
      <c r="Q31">
        <v>13.1</v>
      </c>
      <c r="S31">
        <v>0.9</v>
      </c>
      <c r="T31">
        <v>110000</v>
      </c>
      <c r="U31">
        <v>19.2</v>
      </c>
      <c r="V31">
        <v>75.3</v>
      </c>
      <c r="W31">
        <v>186844.77</v>
      </c>
      <c r="X31">
        <v>528083.43000000005</v>
      </c>
      <c r="Y31">
        <v>187183</v>
      </c>
      <c r="Z31">
        <v>527067</v>
      </c>
      <c r="AA31">
        <v>2265</v>
      </c>
      <c r="AB31">
        <v>1808</v>
      </c>
      <c r="AE31" t="s">
        <v>218</v>
      </c>
    </row>
    <row r="32" spans="1:32" x14ac:dyDescent="0.25">
      <c r="A32" t="s">
        <v>119</v>
      </c>
      <c r="B32" t="s">
        <v>118</v>
      </c>
      <c r="C32" s="8">
        <v>43939</v>
      </c>
      <c r="D32" s="8">
        <v>43997</v>
      </c>
      <c r="E32" t="s">
        <v>189</v>
      </c>
      <c r="F32" t="s">
        <v>144</v>
      </c>
      <c r="G32" t="s">
        <v>145</v>
      </c>
      <c r="H32" t="s">
        <v>131</v>
      </c>
      <c r="I32">
        <v>1912</v>
      </c>
      <c r="J32">
        <v>1804</v>
      </c>
      <c r="K32">
        <v>80</v>
      </c>
      <c r="N32">
        <v>0.2</v>
      </c>
      <c r="P32">
        <v>280</v>
      </c>
      <c r="V32">
        <v>78</v>
      </c>
      <c r="W32">
        <v>185744.20240000001</v>
      </c>
      <c r="X32">
        <v>529664.93200000003</v>
      </c>
      <c r="AE32" t="s">
        <v>218</v>
      </c>
    </row>
    <row r="33" spans="1:31" x14ac:dyDescent="0.25">
      <c r="A33" t="s">
        <v>120</v>
      </c>
      <c r="B33" t="s">
        <v>118</v>
      </c>
      <c r="C33" s="8">
        <v>44016</v>
      </c>
      <c r="D33" s="8">
        <v>44070</v>
      </c>
      <c r="E33" t="s">
        <v>190</v>
      </c>
      <c r="F33" t="s">
        <v>144</v>
      </c>
      <c r="G33" t="s">
        <v>145</v>
      </c>
      <c r="H33" t="s">
        <v>131</v>
      </c>
      <c r="I33">
        <v>2162</v>
      </c>
      <c r="J33">
        <v>1791</v>
      </c>
      <c r="K33">
        <v>77</v>
      </c>
      <c r="V33">
        <v>78</v>
      </c>
      <c r="W33">
        <v>185735.9</v>
      </c>
      <c r="X33">
        <v>529670.5</v>
      </c>
      <c r="AE33" t="s">
        <v>222</v>
      </c>
    </row>
    <row r="34" spans="1:31" x14ac:dyDescent="0.25">
      <c r="A34" t="s">
        <v>206</v>
      </c>
      <c r="B34" t="s">
        <v>118</v>
      </c>
      <c r="C34" s="8">
        <v>44088</v>
      </c>
      <c r="D34" s="8">
        <v>44136</v>
      </c>
      <c r="E34" t="s">
        <v>190</v>
      </c>
      <c r="F34" t="s">
        <v>144</v>
      </c>
      <c r="G34" t="s">
        <v>145</v>
      </c>
      <c r="H34" t="s">
        <v>131</v>
      </c>
      <c r="I34">
        <v>2205</v>
      </c>
      <c r="J34">
        <v>1819</v>
      </c>
      <c r="K34">
        <v>79</v>
      </c>
      <c r="V34">
        <v>78</v>
      </c>
      <c r="W34">
        <v>185727.6</v>
      </c>
      <c r="X34">
        <v>529676.1</v>
      </c>
      <c r="AE34" t="s">
        <v>222</v>
      </c>
    </row>
    <row r="35" spans="1:31" x14ac:dyDescent="0.25">
      <c r="A35" t="s">
        <v>348</v>
      </c>
      <c r="B35" t="s">
        <v>61</v>
      </c>
      <c r="C35" s="8">
        <v>44671</v>
      </c>
      <c r="D35" s="8">
        <v>44696</v>
      </c>
      <c r="W35">
        <v>186835.41</v>
      </c>
      <c r="X35">
        <v>528117.07999999996</v>
      </c>
      <c r="AE35" t="s">
        <v>223</v>
      </c>
    </row>
    <row r="36" spans="1:31" x14ac:dyDescent="0.25">
      <c r="A36" t="s">
        <v>349</v>
      </c>
      <c r="B36" t="s">
        <v>61</v>
      </c>
      <c r="C36" s="8">
        <v>44582</v>
      </c>
      <c r="D36" s="8">
        <v>44605</v>
      </c>
      <c r="W36">
        <v>186832.73</v>
      </c>
      <c r="X36">
        <v>528126.71999999997</v>
      </c>
      <c r="AE36" t="s">
        <v>223</v>
      </c>
    </row>
    <row r="37" spans="1:31" x14ac:dyDescent="0.25">
      <c r="A37" t="s">
        <v>350</v>
      </c>
      <c r="B37" t="s">
        <v>61</v>
      </c>
      <c r="C37" s="8">
        <v>44558</v>
      </c>
      <c r="D37" s="8">
        <v>44581</v>
      </c>
      <c r="W37">
        <v>186830.05</v>
      </c>
      <c r="X37">
        <v>528136.36</v>
      </c>
      <c r="AE37" t="s">
        <v>223</v>
      </c>
    </row>
    <row r="38" spans="1:31" x14ac:dyDescent="0.25">
      <c r="A38" t="s">
        <v>351</v>
      </c>
      <c r="B38" t="s">
        <v>61</v>
      </c>
      <c r="C38" s="8">
        <v>44532</v>
      </c>
      <c r="D38" s="8">
        <v>44557</v>
      </c>
      <c r="W38">
        <v>186827.37</v>
      </c>
      <c r="X38">
        <v>528146</v>
      </c>
    </row>
    <row r="39" spans="1:31" x14ac:dyDescent="0.25">
      <c r="A39" t="s">
        <v>356</v>
      </c>
      <c r="B39" t="s">
        <v>61</v>
      </c>
      <c r="C39" s="8">
        <v>44608</v>
      </c>
      <c r="D39" s="8">
        <v>44657</v>
      </c>
      <c r="AE39" t="s">
        <v>227</v>
      </c>
    </row>
    <row r="40" spans="1:31" x14ac:dyDescent="0.25">
      <c r="A40" t="s">
        <v>65</v>
      </c>
      <c r="B40" t="s">
        <v>64</v>
      </c>
      <c r="C40" s="8">
        <v>41429</v>
      </c>
      <c r="D40" s="8">
        <v>41488</v>
      </c>
      <c r="E40" t="s">
        <v>190</v>
      </c>
      <c r="F40" t="s">
        <v>144</v>
      </c>
      <c r="G40" t="s">
        <v>145</v>
      </c>
      <c r="H40" t="s">
        <v>131</v>
      </c>
      <c r="I40">
        <v>2512</v>
      </c>
      <c r="J40">
        <v>2231</v>
      </c>
      <c r="K40">
        <v>196</v>
      </c>
      <c r="L40">
        <f>M40*K40</f>
        <v>172.48</v>
      </c>
      <c r="M40">
        <v>0.88</v>
      </c>
      <c r="N40">
        <v>0.19</v>
      </c>
      <c r="O40">
        <v>47</v>
      </c>
      <c r="P40">
        <v>260</v>
      </c>
      <c r="Q40">
        <v>9.2100000000000009</v>
      </c>
      <c r="S40">
        <v>-1.9</v>
      </c>
      <c r="U40">
        <v>23.6</v>
      </c>
      <c r="V40">
        <v>91.5</v>
      </c>
      <c r="W40">
        <v>131901</v>
      </c>
      <c r="X40">
        <v>531204.53</v>
      </c>
      <c r="Y40">
        <v>132797.4</v>
      </c>
      <c r="Z40">
        <v>531786.30000000005</v>
      </c>
      <c r="AA40">
        <v>2757</v>
      </c>
      <c r="AB40">
        <v>2442</v>
      </c>
      <c r="AE40" t="s">
        <v>227</v>
      </c>
    </row>
    <row r="41" spans="1:31" x14ac:dyDescent="0.25">
      <c r="A41" t="s">
        <v>135</v>
      </c>
      <c r="B41" t="s">
        <v>64</v>
      </c>
      <c r="C41" s="8">
        <v>41488</v>
      </c>
      <c r="D41" s="8">
        <v>41936</v>
      </c>
      <c r="E41" t="s">
        <v>189</v>
      </c>
      <c r="F41" t="s">
        <v>144</v>
      </c>
      <c r="G41" t="s">
        <v>145</v>
      </c>
      <c r="H41" t="s">
        <v>131</v>
      </c>
      <c r="I41">
        <v>2304</v>
      </c>
      <c r="J41">
        <v>2211</v>
      </c>
      <c r="K41">
        <v>200</v>
      </c>
      <c r="L41">
        <v>200</v>
      </c>
      <c r="M41">
        <v>1</v>
      </c>
      <c r="N41">
        <v>0.14000000000000001</v>
      </c>
      <c r="O41">
        <v>50</v>
      </c>
      <c r="P41">
        <v>260</v>
      </c>
      <c r="Q41">
        <v>10</v>
      </c>
      <c r="S41">
        <v>-1.2</v>
      </c>
      <c r="T41">
        <v>180000</v>
      </c>
      <c r="U41">
        <v>23.97</v>
      </c>
      <c r="V41">
        <v>91.5</v>
      </c>
      <c r="W41">
        <v>131894.07</v>
      </c>
      <c r="X41">
        <v>531204.57999999996</v>
      </c>
      <c r="Y41">
        <v>132013.16</v>
      </c>
      <c r="Z41">
        <v>531707.18999999994</v>
      </c>
      <c r="AA41">
        <v>2580</v>
      </c>
      <c r="AB41">
        <v>2409</v>
      </c>
    </row>
    <row r="42" spans="1:31" x14ac:dyDescent="0.25">
      <c r="A42" t="s">
        <v>225</v>
      </c>
      <c r="B42" t="s">
        <v>64</v>
      </c>
      <c r="C42" s="8">
        <v>41587</v>
      </c>
      <c r="D42" s="8">
        <v>41767</v>
      </c>
      <c r="E42" t="s">
        <v>190</v>
      </c>
      <c r="F42" t="s">
        <v>144</v>
      </c>
      <c r="G42" t="s">
        <v>145</v>
      </c>
      <c r="H42" t="s">
        <v>131</v>
      </c>
      <c r="I42">
        <v>2385</v>
      </c>
      <c r="J42">
        <v>2172</v>
      </c>
      <c r="K42">
        <v>180</v>
      </c>
      <c r="L42">
        <v>180</v>
      </c>
      <c r="M42">
        <v>1</v>
      </c>
      <c r="N42">
        <v>0.16</v>
      </c>
      <c r="O42">
        <v>53</v>
      </c>
      <c r="P42">
        <v>260</v>
      </c>
      <c r="Q42">
        <v>9.5399999999999991</v>
      </c>
      <c r="S42">
        <v>-2.2999999999999998</v>
      </c>
      <c r="T42">
        <v>180000</v>
      </c>
      <c r="U42">
        <v>24.3</v>
      </c>
      <c r="V42">
        <v>91</v>
      </c>
      <c r="W42">
        <v>131846.04999999999</v>
      </c>
      <c r="X42">
        <v>5312014.5999999996</v>
      </c>
      <c r="Y42">
        <v>130970.68</v>
      </c>
      <c r="Z42">
        <v>531595.84</v>
      </c>
      <c r="AA42">
        <v>2708</v>
      </c>
      <c r="AB42">
        <v>2449</v>
      </c>
      <c r="AC42" t="s">
        <v>233</v>
      </c>
    </row>
    <row r="43" spans="1:31" x14ac:dyDescent="0.25">
      <c r="A43" t="s">
        <v>226</v>
      </c>
      <c r="B43" t="s">
        <v>64</v>
      </c>
      <c r="C43" s="8">
        <v>41641</v>
      </c>
      <c r="D43" s="8">
        <v>41692</v>
      </c>
      <c r="E43" t="s">
        <v>189</v>
      </c>
      <c r="F43" t="s">
        <v>144</v>
      </c>
      <c r="G43" t="s">
        <v>145</v>
      </c>
      <c r="H43" t="s">
        <v>131</v>
      </c>
      <c r="I43">
        <v>2385</v>
      </c>
      <c r="J43">
        <v>2147</v>
      </c>
      <c r="K43">
        <v>188</v>
      </c>
      <c r="L43">
        <v>186</v>
      </c>
      <c r="M43">
        <v>0.99</v>
      </c>
      <c r="N43">
        <v>0.18</v>
      </c>
      <c r="O43">
        <v>108.5</v>
      </c>
      <c r="P43">
        <v>260</v>
      </c>
      <c r="Q43">
        <v>20.399999999999999</v>
      </c>
      <c r="S43">
        <v>-2.4700000000000002</v>
      </c>
      <c r="T43">
        <v>180000</v>
      </c>
      <c r="U43">
        <v>23.18</v>
      </c>
      <c r="V43">
        <v>91.1</v>
      </c>
      <c r="W43">
        <v>131839.01</v>
      </c>
      <c r="X43">
        <v>531204.48</v>
      </c>
      <c r="Y43">
        <v>131493.09</v>
      </c>
      <c r="Z43">
        <v>530262.49</v>
      </c>
      <c r="AA43">
        <v>2643</v>
      </c>
      <c r="AB43">
        <v>2370</v>
      </c>
      <c r="AC43" t="s">
        <v>362</v>
      </c>
      <c r="AE43" t="s">
        <v>231</v>
      </c>
    </row>
    <row r="44" spans="1:31" x14ac:dyDescent="0.25">
      <c r="A44" t="s">
        <v>98</v>
      </c>
      <c r="B44" t="s">
        <v>64</v>
      </c>
      <c r="C44" s="8">
        <v>42811</v>
      </c>
      <c r="D44" s="8">
        <v>42847</v>
      </c>
      <c r="E44" t="s">
        <v>190</v>
      </c>
      <c r="F44" t="s">
        <v>144</v>
      </c>
      <c r="G44" t="s">
        <v>145</v>
      </c>
      <c r="H44" t="s">
        <v>131</v>
      </c>
      <c r="I44">
        <v>2149</v>
      </c>
      <c r="J44">
        <v>2148</v>
      </c>
      <c r="K44">
        <v>176</v>
      </c>
      <c r="L44">
        <v>176</v>
      </c>
      <c r="M44">
        <v>1</v>
      </c>
      <c r="N44">
        <v>0.19</v>
      </c>
      <c r="O44">
        <v>95</v>
      </c>
      <c r="P44">
        <v>84</v>
      </c>
      <c r="Q44">
        <v>16.7</v>
      </c>
      <c r="S44">
        <v>-2.2999999999999998</v>
      </c>
      <c r="U44">
        <v>22.8</v>
      </c>
      <c r="V44">
        <v>90.8</v>
      </c>
      <c r="W44">
        <v>131703</v>
      </c>
      <c r="X44">
        <v>533139</v>
      </c>
      <c r="Y44">
        <v>131700.79999999999</v>
      </c>
      <c r="Z44">
        <v>533079.32999999996</v>
      </c>
      <c r="AA44">
        <v>2376</v>
      </c>
      <c r="AB44">
        <v>2375</v>
      </c>
      <c r="AC44" t="s">
        <v>362</v>
      </c>
      <c r="AE44" t="s">
        <v>231</v>
      </c>
    </row>
    <row r="45" spans="1:31" x14ac:dyDescent="0.25">
      <c r="A45" t="s">
        <v>230</v>
      </c>
      <c r="B45" t="s">
        <v>64</v>
      </c>
      <c r="C45" s="8">
        <v>42862</v>
      </c>
      <c r="D45" s="8">
        <v>43016</v>
      </c>
      <c r="E45" t="s">
        <v>189</v>
      </c>
      <c r="F45" t="s">
        <v>144</v>
      </c>
      <c r="G45" t="s">
        <v>145</v>
      </c>
      <c r="H45" t="s">
        <v>131</v>
      </c>
      <c r="I45">
        <v>3016</v>
      </c>
      <c r="J45">
        <v>2240</v>
      </c>
      <c r="K45">
        <v>206</v>
      </c>
      <c r="L45">
        <v>206</v>
      </c>
      <c r="M45">
        <v>1</v>
      </c>
      <c r="T45">
        <v>180000</v>
      </c>
      <c r="U45">
        <v>24</v>
      </c>
      <c r="V45">
        <v>96</v>
      </c>
      <c r="W45">
        <v>131809</v>
      </c>
      <c r="X45">
        <v>531205</v>
      </c>
      <c r="Y45">
        <v>133477</v>
      </c>
      <c r="Z45">
        <v>529938</v>
      </c>
      <c r="AA45">
        <v>3269</v>
      </c>
      <c r="AB45">
        <v>2438</v>
      </c>
      <c r="AC45" t="s">
        <v>361</v>
      </c>
      <c r="AD45" t="s">
        <v>313</v>
      </c>
      <c r="AE45" t="s">
        <v>234</v>
      </c>
    </row>
    <row r="46" spans="1:31" x14ac:dyDescent="0.25">
      <c r="A46" t="s">
        <v>78</v>
      </c>
      <c r="B46" t="s">
        <v>195</v>
      </c>
      <c r="C46" s="8">
        <v>42933</v>
      </c>
      <c r="D46" s="8">
        <v>42985</v>
      </c>
      <c r="E46" t="s">
        <v>189</v>
      </c>
      <c r="F46" t="s">
        <v>142</v>
      </c>
      <c r="G46" t="s">
        <v>172</v>
      </c>
      <c r="H46" t="s">
        <v>130</v>
      </c>
      <c r="I46">
        <v>3081</v>
      </c>
      <c r="J46">
        <v>2698</v>
      </c>
      <c r="K46">
        <v>146</v>
      </c>
      <c r="L46">
        <f>M46*K46</f>
        <v>113.88000000000001</v>
      </c>
      <c r="M46">
        <v>0.78</v>
      </c>
      <c r="N46">
        <v>0.17</v>
      </c>
      <c r="O46">
        <v>24</v>
      </c>
      <c r="Q46">
        <v>2.7</v>
      </c>
      <c r="S46">
        <v>-2.35</v>
      </c>
      <c r="T46">
        <v>11200</v>
      </c>
      <c r="U46">
        <v>28.4</v>
      </c>
      <c r="V46">
        <v>96</v>
      </c>
      <c r="W46">
        <v>76055.19</v>
      </c>
      <c r="X46">
        <v>440305.38</v>
      </c>
      <c r="Y46">
        <v>77464.304999999993</v>
      </c>
      <c r="Z46">
        <v>438833.77100000001</v>
      </c>
      <c r="AA46">
        <v>3300</v>
      </c>
      <c r="AB46">
        <v>2879</v>
      </c>
      <c r="AC46" t="s">
        <v>361</v>
      </c>
      <c r="AD46" t="s">
        <v>313</v>
      </c>
      <c r="AE46" t="s">
        <v>234</v>
      </c>
    </row>
    <row r="47" spans="1:31" x14ac:dyDescent="0.25">
      <c r="A47" t="s">
        <v>79</v>
      </c>
      <c r="B47" t="s">
        <v>195</v>
      </c>
      <c r="C47" s="8">
        <v>42986</v>
      </c>
      <c r="D47" s="8">
        <v>43036</v>
      </c>
      <c r="E47" t="s">
        <v>190</v>
      </c>
      <c r="F47" t="s">
        <v>142</v>
      </c>
      <c r="G47" t="s">
        <v>172</v>
      </c>
      <c r="H47" t="s">
        <v>130</v>
      </c>
      <c r="I47">
        <v>2692</v>
      </c>
      <c r="J47">
        <v>2637</v>
      </c>
      <c r="K47">
        <v>136</v>
      </c>
      <c r="L47">
        <f>M47*K47</f>
        <v>97.92</v>
      </c>
      <c r="M47">
        <v>0.72</v>
      </c>
      <c r="N47">
        <v>0.17</v>
      </c>
      <c r="O47">
        <v>67</v>
      </c>
      <c r="Q47">
        <v>6.6</v>
      </c>
      <c r="S47">
        <v>-1.9</v>
      </c>
      <c r="T47">
        <v>11500</v>
      </c>
      <c r="U47">
        <v>27.5</v>
      </c>
      <c r="V47">
        <v>93</v>
      </c>
      <c r="W47">
        <v>76049.7</v>
      </c>
      <c r="X47">
        <v>440313.65</v>
      </c>
      <c r="Y47">
        <v>75577.2</v>
      </c>
      <c r="Z47">
        <v>440568.09</v>
      </c>
      <c r="AA47">
        <v>2860</v>
      </c>
      <c r="AB47">
        <v>2801</v>
      </c>
      <c r="AC47" t="s">
        <v>341</v>
      </c>
    </row>
    <row r="48" spans="1:31" x14ac:dyDescent="0.25">
      <c r="A48" t="s">
        <v>53</v>
      </c>
      <c r="B48" t="s">
        <v>37</v>
      </c>
      <c r="C48" s="8">
        <v>43048</v>
      </c>
      <c r="D48" s="8">
        <v>43164</v>
      </c>
      <c r="E48" t="s">
        <v>190</v>
      </c>
      <c r="F48" t="s">
        <v>142</v>
      </c>
      <c r="G48" t="s">
        <v>143</v>
      </c>
      <c r="H48" t="s">
        <v>232</v>
      </c>
      <c r="I48">
        <v>2604</v>
      </c>
      <c r="J48">
        <v>2313.1999999999998</v>
      </c>
      <c r="K48">
        <v>83.4</v>
      </c>
      <c r="L48">
        <f>K48*M48</f>
        <v>74.225999999999999</v>
      </c>
      <c r="M48">
        <v>0.89</v>
      </c>
      <c r="N48">
        <v>0.19</v>
      </c>
      <c r="O48">
        <v>700</v>
      </c>
      <c r="P48">
        <v>410</v>
      </c>
      <c r="Q48">
        <v>58.1</v>
      </c>
      <c r="S48">
        <v>1.4</v>
      </c>
      <c r="T48">
        <v>120000</v>
      </c>
      <c r="U48">
        <v>23.4</v>
      </c>
      <c r="V48">
        <v>87</v>
      </c>
      <c r="W48">
        <v>76147</v>
      </c>
      <c r="X48">
        <v>445237</v>
      </c>
      <c r="Y48">
        <v>75907</v>
      </c>
      <c r="Z48">
        <v>446349</v>
      </c>
      <c r="AA48">
        <v>4447</v>
      </c>
      <c r="AB48">
        <v>4021</v>
      </c>
      <c r="AC48" t="s">
        <v>341</v>
      </c>
    </row>
    <row r="49" spans="1:33" x14ac:dyDescent="0.25">
      <c r="A49" t="s">
        <v>220</v>
      </c>
      <c r="B49" t="s">
        <v>37</v>
      </c>
      <c r="C49" s="8">
        <v>43169</v>
      </c>
      <c r="D49" s="8">
        <v>43222</v>
      </c>
      <c r="E49" t="s">
        <v>189</v>
      </c>
      <c r="F49" t="s">
        <v>142</v>
      </c>
      <c r="G49" t="s">
        <v>143</v>
      </c>
      <c r="H49" t="s">
        <v>232</v>
      </c>
      <c r="I49">
        <v>2460</v>
      </c>
      <c r="J49">
        <v>2365</v>
      </c>
      <c r="K49">
        <v>64</v>
      </c>
      <c r="L49">
        <f>K49*M49</f>
        <v>56.96</v>
      </c>
      <c r="M49">
        <v>0.89</v>
      </c>
      <c r="N49">
        <v>0.19</v>
      </c>
      <c r="O49">
        <v>800</v>
      </c>
      <c r="Q49">
        <v>45.6</v>
      </c>
      <c r="S49">
        <v>0.48</v>
      </c>
      <c r="U49">
        <v>24.06</v>
      </c>
      <c r="V49">
        <v>87.5</v>
      </c>
      <c r="W49">
        <v>76154</v>
      </c>
      <c r="X49">
        <v>445230</v>
      </c>
      <c r="Y49">
        <v>76845</v>
      </c>
      <c r="Z49">
        <v>445016</v>
      </c>
      <c r="AA49">
        <v>2680</v>
      </c>
      <c r="AB49">
        <v>2525</v>
      </c>
      <c r="AC49" t="s">
        <v>311</v>
      </c>
      <c r="AE49" t="s">
        <v>310</v>
      </c>
      <c r="AF49" t="s">
        <v>238</v>
      </c>
    </row>
    <row r="50" spans="1:33" x14ac:dyDescent="0.25">
      <c r="A50" t="s">
        <v>235</v>
      </c>
      <c r="B50" t="s">
        <v>205</v>
      </c>
      <c r="C50" s="8">
        <v>40403</v>
      </c>
      <c r="D50" s="8">
        <v>44071</v>
      </c>
      <c r="E50" t="s">
        <v>189</v>
      </c>
      <c r="F50" t="s">
        <v>142</v>
      </c>
      <c r="G50" t="s">
        <v>143</v>
      </c>
      <c r="H50" t="s">
        <v>232</v>
      </c>
      <c r="I50">
        <v>2703</v>
      </c>
      <c r="J50">
        <v>2306</v>
      </c>
      <c r="K50">
        <v>110</v>
      </c>
      <c r="U50">
        <v>23.6</v>
      </c>
      <c r="V50">
        <v>86</v>
      </c>
      <c r="W50">
        <v>76169.16</v>
      </c>
      <c r="X50">
        <v>445215.44</v>
      </c>
      <c r="AC50" t="s">
        <v>311</v>
      </c>
      <c r="AE50" t="s">
        <v>310</v>
      </c>
      <c r="AF50" t="s">
        <v>239</v>
      </c>
    </row>
    <row r="51" spans="1:33" x14ac:dyDescent="0.25">
      <c r="A51" t="s">
        <v>122</v>
      </c>
      <c r="B51" t="s">
        <v>205</v>
      </c>
      <c r="C51" s="8">
        <v>43994</v>
      </c>
      <c r="D51" s="8">
        <v>44021</v>
      </c>
      <c r="E51" t="s">
        <v>190</v>
      </c>
      <c r="F51" t="s">
        <v>142</v>
      </c>
      <c r="G51" t="s">
        <v>143</v>
      </c>
      <c r="H51" t="s">
        <v>232</v>
      </c>
      <c r="I51">
        <v>2629</v>
      </c>
      <c r="J51">
        <v>2367</v>
      </c>
      <c r="K51">
        <v>131</v>
      </c>
      <c r="U51">
        <v>22.8</v>
      </c>
      <c r="V51">
        <v>90</v>
      </c>
      <c r="W51">
        <v>76174.06</v>
      </c>
      <c r="X51">
        <v>445110.44</v>
      </c>
      <c r="AC51" t="s">
        <v>342</v>
      </c>
      <c r="AE51" t="s">
        <v>339</v>
      </c>
    </row>
    <row r="52" spans="1:33" x14ac:dyDescent="0.25">
      <c r="A52" t="s">
        <v>74</v>
      </c>
      <c r="B52" t="s">
        <v>224</v>
      </c>
      <c r="C52" s="8">
        <v>42600</v>
      </c>
      <c r="D52" s="8">
        <v>42642</v>
      </c>
      <c r="E52" t="s">
        <v>189</v>
      </c>
      <c r="F52" t="s">
        <v>142</v>
      </c>
      <c r="G52" t="s">
        <v>143</v>
      </c>
      <c r="H52" t="s">
        <v>129</v>
      </c>
      <c r="I52">
        <v>2570</v>
      </c>
      <c r="J52">
        <v>2282</v>
      </c>
      <c r="K52">
        <v>160</v>
      </c>
      <c r="L52">
        <v>133</v>
      </c>
      <c r="M52">
        <v>0.84</v>
      </c>
      <c r="N52">
        <v>0.21</v>
      </c>
      <c r="O52">
        <v>1650</v>
      </c>
      <c r="Q52">
        <v>219</v>
      </c>
      <c r="S52">
        <v>2.2999999999999998</v>
      </c>
      <c r="T52">
        <v>140000</v>
      </c>
      <c r="U52">
        <v>23.3</v>
      </c>
      <c r="V52">
        <v>91.3</v>
      </c>
      <c r="W52">
        <v>76115</v>
      </c>
      <c r="X52">
        <v>448995.6</v>
      </c>
      <c r="Y52">
        <v>77075.600000000006</v>
      </c>
      <c r="Z52">
        <v>448532.9</v>
      </c>
      <c r="AA52">
        <v>2791</v>
      </c>
      <c r="AB52">
        <v>2452</v>
      </c>
      <c r="AC52" t="s">
        <v>342</v>
      </c>
    </row>
    <row r="53" spans="1:33" x14ac:dyDescent="0.25">
      <c r="A53" t="s">
        <v>75</v>
      </c>
      <c r="B53" t="s">
        <v>224</v>
      </c>
      <c r="C53" s="8">
        <v>42643</v>
      </c>
      <c r="D53" s="8">
        <v>42680</v>
      </c>
      <c r="E53" t="s">
        <v>190</v>
      </c>
      <c r="F53" t="s">
        <v>142</v>
      </c>
      <c r="G53" t="s">
        <v>143</v>
      </c>
      <c r="H53" t="s">
        <v>129</v>
      </c>
      <c r="I53">
        <v>2478</v>
      </c>
      <c r="J53">
        <v>2248</v>
      </c>
      <c r="K53">
        <v>155</v>
      </c>
      <c r="L53">
        <f>M53*K53</f>
        <v>108.5</v>
      </c>
      <c r="M53">
        <v>0.7</v>
      </c>
      <c r="N53">
        <v>0.2</v>
      </c>
      <c r="O53">
        <v>1325</v>
      </c>
      <c r="Q53">
        <v>155</v>
      </c>
      <c r="S53">
        <v>4.5</v>
      </c>
      <c r="T53">
        <v>140000</v>
      </c>
      <c r="U53">
        <v>23.5</v>
      </c>
      <c r="V53">
        <v>87.8</v>
      </c>
      <c r="W53">
        <v>76108.92</v>
      </c>
      <c r="X53">
        <v>449003.55</v>
      </c>
      <c r="Y53">
        <v>75722.100000000006</v>
      </c>
      <c r="Z53">
        <v>449875.5</v>
      </c>
      <c r="AA53">
        <v>2712</v>
      </c>
      <c r="AB53">
        <v>2435</v>
      </c>
      <c r="AC53" t="s">
        <v>342</v>
      </c>
      <c r="AF53" s="2" t="s">
        <v>316</v>
      </c>
      <c r="AG53" t="s">
        <v>315</v>
      </c>
    </row>
    <row r="54" spans="1:33" x14ac:dyDescent="0.25">
      <c r="A54" t="s">
        <v>19</v>
      </c>
      <c r="B54" t="s">
        <v>22</v>
      </c>
      <c r="C54" s="8">
        <v>40246</v>
      </c>
      <c r="D54" s="8">
        <v>40312</v>
      </c>
      <c r="E54" t="s">
        <v>189</v>
      </c>
      <c r="F54" t="s">
        <v>247</v>
      </c>
      <c r="G54" t="s">
        <v>248</v>
      </c>
      <c r="H54" t="s">
        <v>237</v>
      </c>
      <c r="I54">
        <v>2486</v>
      </c>
      <c r="J54">
        <v>1959</v>
      </c>
      <c r="K54">
        <f>49+(2223-2139)</f>
        <v>133</v>
      </c>
      <c r="W54">
        <v>88757.61</v>
      </c>
      <c r="X54">
        <v>448526.69</v>
      </c>
      <c r="AC54" t="s">
        <v>342</v>
      </c>
      <c r="AF54" s="2" t="s">
        <v>316</v>
      </c>
    </row>
    <row r="55" spans="1:33" x14ac:dyDescent="0.25">
      <c r="A55" t="s">
        <v>20</v>
      </c>
      <c r="B55" t="s">
        <v>22</v>
      </c>
      <c r="C55" s="8">
        <v>40324</v>
      </c>
      <c r="D55" s="8">
        <v>40368</v>
      </c>
      <c r="E55" t="s">
        <v>190</v>
      </c>
      <c r="F55" t="s">
        <v>247</v>
      </c>
      <c r="G55" t="s">
        <v>248</v>
      </c>
      <c r="H55" t="s">
        <v>237</v>
      </c>
      <c r="I55">
        <v>2475</v>
      </c>
      <c r="J55">
        <v>2004</v>
      </c>
      <c r="K55">
        <v>245</v>
      </c>
      <c r="V55">
        <v>67</v>
      </c>
      <c r="W55">
        <v>88754.1</v>
      </c>
      <c r="X55">
        <v>448534</v>
      </c>
      <c r="AE55" t="s">
        <v>246</v>
      </c>
    </row>
    <row r="56" spans="1:33" x14ac:dyDescent="0.25">
      <c r="A56" t="s">
        <v>91</v>
      </c>
      <c r="B56" t="s">
        <v>89</v>
      </c>
      <c r="C56" s="8">
        <v>40418</v>
      </c>
      <c r="D56" s="8">
        <v>40442</v>
      </c>
      <c r="E56" t="s">
        <v>189</v>
      </c>
      <c r="F56" t="s">
        <v>247</v>
      </c>
      <c r="G56" t="s">
        <v>248</v>
      </c>
      <c r="H56" t="s">
        <v>237</v>
      </c>
      <c r="I56">
        <v>2545</v>
      </c>
      <c r="J56">
        <v>2057</v>
      </c>
      <c r="K56">
        <v>129</v>
      </c>
      <c r="L56">
        <f>(59*0.9)+70*0.8</f>
        <v>109.1</v>
      </c>
      <c r="M56">
        <v>0.85</v>
      </c>
      <c r="N56">
        <v>0.2</v>
      </c>
      <c r="P56">
        <v>500</v>
      </c>
      <c r="T56">
        <v>120000</v>
      </c>
      <c r="V56">
        <v>68.5</v>
      </c>
      <c r="W56">
        <v>88612.3</v>
      </c>
      <c r="X56">
        <v>4470621</v>
      </c>
      <c r="Y56">
        <v>87534</v>
      </c>
      <c r="Z56">
        <v>445839.3</v>
      </c>
      <c r="AA56">
        <v>3005</v>
      </c>
      <c r="AB56">
        <v>2395</v>
      </c>
      <c r="AE56" t="s">
        <v>246</v>
      </c>
    </row>
    <row r="57" spans="1:33" x14ac:dyDescent="0.25">
      <c r="A57" t="s">
        <v>92</v>
      </c>
      <c r="B57" t="s">
        <v>89</v>
      </c>
      <c r="C57" s="8">
        <v>44155</v>
      </c>
      <c r="D57" s="8">
        <v>40565</v>
      </c>
      <c r="E57" t="s">
        <v>190</v>
      </c>
      <c r="F57" t="s">
        <v>247</v>
      </c>
      <c r="G57" t="s">
        <v>248</v>
      </c>
      <c r="H57" t="s">
        <v>237</v>
      </c>
      <c r="I57">
        <v>2387</v>
      </c>
      <c r="J57">
        <v>1951</v>
      </c>
      <c r="K57">
        <f>100+87</f>
        <v>187</v>
      </c>
      <c r="L57">
        <v>160</v>
      </c>
      <c r="M57">
        <v>0.85</v>
      </c>
      <c r="N57">
        <v>0.2</v>
      </c>
      <c r="P57">
        <v>500</v>
      </c>
      <c r="T57">
        <v>120000</v>
      </c>
      <c r="W57">
        <v>88619.199999999997</v>
      </c>
      <c r="X57">
        <v>447064</v>
      </c>
      <c r="Y57">
        <v>89310.8</v>
      </c>
      <c r="Z57">
        <v>445668.8</v>
      </c>
      <c r="AA57">
        <v>2957</v>
      </c>
      <c r="AB57">
        <v>2343</v>
      </c>
      <c r="AC57" t="s">
        <v>281</v>
      </c>
      <c r="AF57" t="s">
        <v>282</v>
      </c>
      <c r="AG57" t="s">
        <v>279</v>
      </c>
    </row>
    <row r="58" spans="1:33" x14ac:dyDescent="0.25">
      <c r="A58" t="s">
        <v>174</v>
      </c>
      <c r="B58" t="s">
        <v>22</v>
      </c>
      <c r="C58" s="8">
        <v>43650</v>
      </c>
      <c r="D58" s="8">
        <v>43668</v>
      </c>
      <c r="E58" t="s">
        <v>189</v>
      </c>
      <c r="F58" t="s">
        <v>142</v>
      </c>
      <c r="G58" t="s">
        <v>143</v>
      </c>
      <c r="H58" t="s">
        <v>129</v>
      </c>
      <c r="I58">
        <v>2886</v>
      </c>
      <c r="J58">
        <v>2152</v>
      </c>
      <c r="K58">
        <v>191</v>
      </c>
      <c r="L58">
        <v>122</v>
      </c>
      <c r="M58">
        <v>0.64</v>
      </c>
      <c r="N58">
        <v>0.19</v>
      </c>
      <c r="O58">
        <v>340</v>
      </c>
      <c r="Q58">
        <v>43</v>
      </c>
      <c r="S58">
        <v>6.4</v>
      </c>
      <c r="T58">
        <v>120000</v>
      </c>
      <c r="U58">
        <v>22.2</v>
      </c>
      <c r="V58">
        <v>76</v>
      </c>
      <c r="W58">
        <v>88781.8</v>
      </c>
      <c r="X58">
        <v>448491.97</v>
      </c>
      <c r="Y58">
        <v>87881</v>
      </c>
      <c r="Z58">
        <v>447019.9</v>
      </c>
      <c r="AA58">
        <v>3203</v>
      </c>
      <c r="AB58">
        <v>2353</v>
      </c>
      <c r="AC58" t="s">
        <v>286</v>
      </c>
      <c r="AF58" t="s">
        <v>280</v>
      </c>
    </row>
    <row r="59" spans="1:33" x14ac:dyDescent="0.25">
      <c r="A59" t="s">
        <v>173</v>
      </c>
      <c r="B59" t="s">
        <v>22</v>
      </c>
      <c r="C59" s="8">
        <v>43316</v>
      </c>
      <c r="D59" s="8">
        <v>43329</v>
      </c>
      <c r="E59" t="s">
        <v>190</v>
      </c>
      <c r="F59" t="s">
        <v>142</v>
      </c>
      <c r="G59" t="s">
        <v>143</v>
      </c>
      <c r="H59" t="s">
        <v>129</v>
      </c>
      <c r="I59">
        <v>2894</v>
      </c>
      <c r="J59">
        <v>2051</v>
      </c>
      <c r="K59">
        <v>250</v>
      </c>
      <c r="L59">
        <f>M59*K59</f>
        <v>195</v>
      </c>
      <c r="M59">
        <v>0.78</v>
      </c>
      <c r="N59">
        <v>0.19</v>
      </c>
      <c r="O59">
        <v>350</v>
      </c>
      <c r="Q59">
        <v>57</v>
      </c>
      <c r="S59">
        <v>7.1</v>
      </c>
      <c r="T59">
        <v>120000</v>
      </c>
      <c r="U59">
        <v>21.4</v>
      </c>
      <c r="V59">
        <v>73.2</v>
      </c>
      <c r="W59">
        <v>88784.9</v>
      </c>
      <c r="X59">
        <v>448492</v>
      </c>
      <c r="Y59">
        <v>86854.9</v>
      </c>
      <c r="Z59">
        <v>448384</v>
      </c>
      <c r="AA59">
        <v>3349</v>
      </c>
      <c r="AB59">
        <v>2310</v>
      </c>
      <c r="AC59" t="s">
        <v>285</v>
      </c>
      <c r="AF59" t="s">
        <v>283</v>
      </c>
    </row>
    <row r="60" spans="1:33" x14ac:dyDescent="0.25">
      <c r="A60" t="s">
        <v>126</v>
      </c>
      <c r="B60" t="s">
        <v>125</v>
      </c>
      <c r="C60" s="8">
        <v>43901</v>
      </c>
      <c r="D60" s="8">
        <v>43941</v>
      </c>
      <c r="E60" s="8" t="s">
        <v>189</v>
      </c>
      <c r="F60" t="s">
        <v>146</v>
      </c>
      <c r="G60" t="s">
        <v>147</v>
      </c>
      <c r="H60" t="s">
        <v>185</v>
      </c>
      <c r="I60">
        <v>2515</v>
      </c>
      <c r="J60">
        <v>2313</v>
      </c>
      <c r="K60">
        <v>202</v>
      </c>
      <c r="L60">
        <f>M60*K60</f>
        <v>165.64</v>
      </c>
      <c r="M60">
        <v>0.82</v>
      </c>
      <c r="N60">
        <v>0.14199999999999999</v>
      </c>
      <c r="O60">
        <v>293</v>
      </c>
      <c r="Q60">
        <v>48.7</v>
      </c>
      <c r="R60">
        <v>29</v>
      </c>
      <c r="S60">
        <v>-1.5</v>
      </c>
      <c r="T60">
        <v>130000</v>
      </c>
      <c r="U60">
        <v>23.2</v>
      </c>
      <c r="V60">
        <v>85.4</v>
      </c>
      <c r="W60">
        <v>68783</v>
      </c>
      <c r="X60">
        <v>435272</v>
      </c>
      <c r="Y60">
        <v>68595</v>
      </c>
      <c r="Z60">
        <v>436238</v>
      </c>
      <c r="AA60">
        <v>2863</v>
      </c>
      <c r="AB60">
        <v>2573</v>
      </c>
      <c r="AC60" t="s">
        <v>289</v>
      </c>
    </row>
    <row r="61" spans="1:33" x14ac:dyDescent="0.25">
      <c r="A61" t="s">
        <v>127</v>
      </c>
      <c r="B61" t="s">
        <v>125</v>
      </c>
      <c r="C61" s="8">
        <v>43942</v>
      </c>
      <c r="D61" s="8">
        <v>43966</v>
      </c>
      <c r="E61" s="8" t="s">
        <v>190</v>
      </c>
      <c r="F61" t="s">
        <v>146</v>
      </c>
      <c r="G61" t="s">
        <v>147</v>
      </c>
      <c r="H61" t="s">
        <v>185</v>
      </c>
      <c r="I61">
        <v>2352</v>
      </c>
      <c r="J61">
        <v>2239</v>
      </c>
      <c r="K61">
        <v>192</v>
      </c>
      <c r="L61">
        <f>M61*K61</f>
        <v>157.44</v>
      </c>
      <c r="M61">
        <v>0.82</v>
      </c>
      <c r="N61">
        <v>0.14199999999999999</v>
      </c>
      <c r="O61">
        <v>211</v>
      </c>
      <c r="T61">
        <v>130000</v>
      </c>
      <c r="U61">
        <v>22.5</v>
      </c>
      <c r="V61">
        <v>84</v>
      </c>
      <c r="W61">
        <v>68787</v>
      </c>
      <c r="X61">
        <v>435266</v>
      </c>
      <c r="Y61">
        <v>69200</v>
      </c>
      <c r="Z61">
        <v>434623</v>
      </c>
      <c r="AA61">
        <v>2707</v>
      </c>
      <c r="AB61">
        <v>2490</v>
      </c>
    </row>
    <row r="62" spans="1:33" x14ac:dyDescent="0.25">
      <c r="A62" t="s">
        <v>66</v>
      </c>
      <c r="B62" t="s">
        <v>71</v>
      </c>
      <c r="C62" s="8">
        <v>39162</v>
      </c>
      <c r="D62" s="8">
        <v>39188</v>
      </c>
      <c r="E62" t="s">
        <v>189</v>
      </c>
      <c r="F62" t="s">
        <v>141</v>
      </c>
      <c r="G62" t="s">
        <v>140</v>
      </c>
      <c r="H62" t="s">
        <v>241</v>
      </c>
      <c r="I62">
        <v>2195</v>
      </c>
      <c r="J62">
        <v>1527.3</v>
      </c>
      <c r="K62">
        <v>163</v>
      </c>
      <c r="V62">
        <v>54</v>
      </c>
      <c r="W62">
        <v>95240.85</v>
      </c>
      <c r="X62">
        <v>447568.26</v>
      </c>
      <c r="AA62">
        <v>2200</v>
      </c>
      <c r="AB62">
        <v>1547.42</v>
      </c>
    </row>
    <row r="63" spans="1:33" x14ac:dyDescent="0.25">
      <c r="A63" t="s">
        <v>242</v>
      </c>
      <c r="B63" t="s">
        <v>71</v>
      </c>
      <c r="C63" s="8">
        <v>39206</v>
      </c>
      <c r="D63" s="8">
        <v>39246</v>
      </c>
      <c r="E63" t="s">
        <v>190</v>
      </c>
      <c r="F63" t="s">
        <v>141</v>
      </c>
      <c r="G63" t="s">
        <v>140</v>
      </c>
      <c r="H63" t="s">
        <v>241</v>
      </c>
      <c r="I63">
        <v>1930</v>
      </c>
      <c r="J63">
        <v>1420</v>
      </c>
      <c r="K63">
        <v>203</v>
      </c>
      <c r="W63">
        <v>95243.199999999997</v>
      </c>
      <c r="X63">
        <v>447575.9</v>
      </c>
      <c r="Y63">
        <v>95968.06</v>
      </c>
      <c r="Z63">
        <v>446099.89</v>
      </c>
      <c r="AA63">
        <v>2330</v>
      </c>
      <c r="AB63">
        <v>1623</v>
      </c>
    </row>
    <row r="64" spans="1:33" x14ac:dyDescent="0.25">
      <c r="A64" t="s">
        <v>68</v>
      </c>
      <c r="B64" t="s">
        <v>70</v>
      </c>
      <c r="C64" s="8">
        <v>39878</v>
      </c>
      <c r="D64" s="8">
        <v>39984</v>
      </c>
      <c r="E64" t="s">
        <v>189</v>
      </c>
      <c r="F64" t="s">
        <v>141</v>
      </c>
      <c r="G64" t="s">
        <v>140</v>
      </c>
      <c r="H64" t="s">
        <v>240</v>
      </c>
      <c r="I64">
        <v>2040</v>
      </c>
      <c r="J64">
        <v>1814.89</v>
      </c>
      <c r="K64">
        <v>53</v>
      </c>
      <c r="L64">
        <v>53</v>
      </c>
      <c r="M64">
        <v>1</v>
      </c>
      <c r="W64">
        <v>93045.34</v>
      </c>
      <c r="X64">
        <v>448649.05</v>
      </c>
      <c r="AA64">
        <v>2140</v>
      </c>
      <c r="AB64">
        <v>1890.65</v>
      </c>
    </row>
    <row r="65" spans="1:28" x14ac:dyDescent="0.25">
      <c r="A65" t="s">
        <v>69</v>
      </c>
      <c r="B65" t="s">
        <v>70</v>
      </c>
      <c r="C65" s="8">
        <v>39850</v>
      </c>
      <c r="D65" s="8">
        <v>40032</v>
      </c>
      <c r="E65" t="s">
        <v>190</v>
      </c>
      <c r="F65" t="s">
        <v>141</v>
      </c>
      <c r="G65" t="s">
        <v>140</v>
      </c>
      <c r="H65" t="s">
        <v>240</v>
      </c>
      <c r="I65">
        <v>1899</v>
      </c>
      <c r="J65">
        <v>1758</v>
      </c>
      <c r="K65">
        <v>57</v>
      </c>
      <c r="L65">
        <v>57</v>
      </c>
      <c r="M65">
        <v>1</v>
      </c>
      <c r="V65">
        <v>57</v>
      </c>
      <c r="W65">
        <v>93288.28</v>
      </c>
      <c r="X65">
        <v>448732.78</v>
      </c>
      <c r="AA65">
        <v>2006</v>
      </c>
      <c r="AB65">
        <v>1829.98</v>
      </c>
    </row>
    <row r="66" spans="1:28" x14ac:dyDescent="0.25">
      <c r="A66" t="s">
        <v>243</v>
      </c>
      <c r="B66" t="s">
        <v>73</v>
      </c>
      <c r="C66" s="8">
        <v>43011</v>
      </c>
      <c r="D66" s="8">
        <v>43117</v>
      </c>
      <c r="E66" t="s">
        <v>189</v>
      </c>
      <c r="F66" t="s">
        <v>149</v>
      </c>
      <c r="G66" t="s">
        <v>244</v>
      </c>
      <c r="H66" t="s">
        <v>245</v>
      </c>
      <c r="J66">
        <v>671.3</v>
      </c>
      <c r="K66">
        <v>60</v>
      </c>
      <c r="L66">
        <v>58</v>
      </c>
      <c r="M66">
        <v>0.96</v>
      </c>
      <c r="N66">
        <v>0.35</v>
      </c>
      <c r="O66">
        <v>720</v>
      </c>
      <c r="R66">
        <v>22</v>
      </c>
      <c r="V66">
        <v>30</v>
      </c>
      <c r="W66">
        <v>102250.95</v>
      </c>
      <c r="X66">
        <v>405432.72</v>
      </c>
      <c r="Y66">
        <v>101788.23</v>
      </c>
      <c r="Z66">
        <v>406256.57</v>
      </c>
      <c r="AA66">
        <v>1421</v>
      </c>
      <c r="AB66">
        <v>730</v>
      </c>
    </row>
    <row r="67" spans="1:28" x14ac:dyDescent="0.25">
      <c r="A67" t="s">
        <v>77</v>
      </c>
      <c r="B67" t="s">
        <v>73</v>
      </c>
      <c r="C67" s="8">
        <v>43081</v>
      </c>
      <c r="D67" s="8">
        <v>43138</v>
      </c>
      <c r="E67" t="s">
        <v>190</v>
      </c>
      <c r="F67" t="s">
        <v>149</v>
      </c>
      <c r="G67" t="s">
        <v>244</v>
      </c>
      <c r="H67" t="s">
        <v>245</v>
      </c>
      <c r="I67">
        <v>819</v>
      </c>
      <c r="J67">
        <v>638</v>
      </c>
      <c r="K67">
        <v>50</v>
      </c>
      <c r="O67">
        <v>778</v>
      </c>
      <c r="R67">
        <v>22</v>
      </c>
      <c r="U67">
        <v>6.4</v>
      </c>
      <c r="V67">
        <v>29.4</v>
      </c>
      <c r="W67">
        <v>102251.36</v>
      </c>
      <c r="X67">
        <v>405432.2</v>
      </c>
      <c r="Y67">
        <v>102985.04</v>
      </c>
      <c r="Z67">
        <v>404531.1</v>
      </c>
      <c r="AA67">
        <v>1530</v>
      </c>
      <c r="AB67">
        <v>710.85</v>
      </c>
    </row>
  </sheetData>
  <sortState xmlns:xlrd2="http://schemas.microsoft.com/office/spreadsheetml/2017/richdata2" ref="A2:AB67">
    <sortCondition ref="A2:A67"/>
  </sortState>
  <hyperlinks>
    <hyperlink ref="AF53" r:id="rId1" xr:uid="{2D30D5A8-BED2-4A1B-A782-64A6068FDA6E}"/>
    <hyperlink ref="AF54" r:id="rId2" xr:uid="{E913D1CA-DD9E-4D25-97BE-269D139878EE}"/>
    <hyperlink ref="AD24" r:id="rId3" xr:uid="{670FBBE1-FF98-41D6-BFFC-5E274362D41B}"/>
  </hyperlinks>
  <pageMargins left="0.7" right="0.7" top="0.75" bottom="0.75" header="0.3" footer="0.3"/>
  <pageSetup paperSize="9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27177-6F2B-486C-AC68-1FC95E5B175B}">
  <dimension ref="A2:T22"/>
  <sheetViews>
    <sheetView topLeftCell="A2" workbookViewId="0">
      <selection activeCell="B2" sqref="B2:F2"/>
    </sheetView>
  </sheetViews>
  <sheetFormatPr defaultRowHeight="15" x14ac:dyDescent="0.25"/>
  <cols>
    <col min="1" max="1" width="13.7109375" customWidth="1"/>
    <col min="4" max="4" width="11" bestFit="1" customWidth="1"/>
    <col min="5" max="5" width="12" bestFit="1" customWidth="1"/>
    <col min="20" max="20" width="10" bestFit="1" customWidth="1"/>
  </cols>
  <sheetData>
    <row r="2" spans="1:20" x14ac:dyDescent="0.25">
      <c r="B2" t="s">
        <v>107</v>
      </c>
      <c r="C2" t="s">
        <v>5</v>
      </c>
      <c r="D2" t="s">
        <v>108</v>
      </c>
      <c r="E2" t="s">
        <v>345</v>
      </c>
      <c r="F2" t="s">
        <v>309</v>
      </c>
    </row>
    <row r="3" spans="1:20" x14ac:dyDescent="0.25">
      <c r="A3" s="1">
        <v>39447</v>
      </c>
      <c r="B3">
        <f>COUNTIFS(geothermal_projects!$W$2:$W$27,"&lt;"&amp;A3)-COUNTIFS(geothermal_projects!$X$2:$X$27,"&lt;"&amp;A3)</f>
        <v>1</v>
      </c>
      <c r="C3" s="3">
        <f>SUMIFS(geothermal_projects!$Z$2:$Z$27,geothermal_projects!$W$2:$W$27,"&lt;"&amp;A3)-SUMIFS(geothermal_projects!$Z$2:$Z$27,geothermal_projects!$X$2:$X$27,"&lt;"&amp;A3)</f>
        <v>1</v>
      </c>
      <c r="D3">
        <f>SUMIFS(geothermal_projects!$V$2:$V$27,geothermal_projects!$W$2:$W$27,"&lt;"&amp;A3)-SUMIFS(geothermal_projects!$V$2:$V$27,geothermal_projects!$X$2:$X$27,"&lt;"&amp;A3)</f>
        <v>9</v>
      </c>
      <c r="F3" s="3">
        <f t="shared" ref="F3:F17" si="0">YEAR(A3)</f>
        <v>2007</v>
      </c>
    </row>
    <row r="4" spans="1:20" x14ac:dyDescent="0.25">
      <c r="A4" s="1">
        <v>39813</v>
      </c>
      <c r="B4">
        <f>COUNTIFS(geothermal_projects!$W$2:$W$27,"&lt;"&amp;A4)-COUNTIFS(geothermal_projects!$X$2:$X$27,"&lt;"&amp;A4)</f>
        <v>1</v>
      </c>
      <c r="C4" s="3">
        <f>SUMIFS(geothermal_projects!$Z$2:$Z$27,geothermal_projects!$W$2:$W$27,"&lt;"&amp;A4)-SUMIFS(geothermal_projects!$Z$2:$Z$27,geothermal_projects!$X$2:$X$27,"&lt;"&amp;A4)</f>
        <v>1</v>
      </c>
      <c r="D4">
        <f>SUMIFS(geothermal_projects!$V$2:$V$27,geothermal_projects!$W$2:$W$27,"&lt;"&amp;A4)-SUMIFS(geothermal_projects!$V$2:$V$27,geothermal_projects!$X$2:$X$27,"&lt;"&amp;A4)</f>
        <v>9</v>
      </c>
      <c r="E4">
        <v>96</v>
      </c>
      <c r="F4" s="3">
        <f t="shared" si="0"/>
        <v>2008</v>
      </c>
    </row>
    <row r="5" spans="1:20" x14ac:dyDescent="0.25">
      <c r="A5" s="1">
        <v>40178</v>
      </c>
      <c r="B5">
        <f>COUNTIFS(geothermal_projects!$W$2:$W$27,"&lt;"&amp;A5)-COUNTIFS(geothermal_projects!$X$2:$X$27,"&lt;"&amp;A5)</f>
        <v>2</v>
      </c>
      <c r="C5" s="3">
        <f>SUMIFS(geothermal_projects!$Z$2:$Z$27,geothermal_projects!$W$2:$W$27,"&lt;"&amp;A5)-SUMIFS(geothermal_projects!$Z$2:$Z$27,geothermal_projects!$X$2:$X$27,"&lt;"&amp;A5)</f>
        <v>2</v>
      </c>
      <c r="D5">
        <f>SUMIFS(geothermal_projects!$V$2:$V$27,geothermal_projects!$W$2:$W$27,"&lt;"&amp;A5)-SUMIFS(geothermal_projects!$V$2:$V$27,geothermal_projects!$X$2:$X$27,"&lt;"&amp;A5)</f>
        <v>16.3</v>
      </c>
      <c r="E5">
        <v>142</v>
      </c>
      <c r="F5" s="3">
        <f t="shared" si="0"/>
        <v>2009</v>
      </c>
    </row>
    <row r="6" spans="1:20" x14ac:dyDescent="0.25">
      <c r="A6" s="1">
        <v>40543</v>
      </c>
      <c r="B6">
        <f>COUNTIFS(geothermal_projects!$W$2:$W$27,"&lt;"&amp;A6)-COUNTIFS(geothermal_projects!$X$2:$X$27,"&lt;"&amp;A6)</f>
        <v>2</v>
      </c>
      <c r="C6" s="3">
        <f>SUMIFS(geothermal_projects!$Z$2:$Z$27,geothermal_projects!$W$2:$W$27,"&lt;"&amp;A6)-SUMIFS(geothermal_projects!$Z$2:$Z$27,geothermal_projects!$X$2:$X$27,"&lt;"&amp;A6)</f>
        <v>2</v>
      </c>
      <c r="D6">
        <f>SUMIFS(geothermal_projects!$V$2:$V$27,geothermal_projects!$W$2:$W$27,"&lt;"&amp;A6)-SUMIFS(geothermal_projects!$V$2:$V$27,geothermal_projects!$X$2:$X$27,"&lt;"&amp;A6)</f>
        <v>16.3</v>
      </c>
      <c r="E6">
        <v>318</v>
      </c>
      <c r="F6" s="3">
        <f t="shared" si="0"/>
        <v>2010</v>
      </c>
    </row>
    <row r="7" spans="1:20" x14ac:dyDescent="0.25">
      <c r="A7" s="1">
        <v>40908</v>
      </c>
      <c r="B7">
        <f>COUNTIFS(geothermal_projects!$W$2:$W$27,"&lt;"&amp;A7)-COUNTIFS(geothermal_projects!$X$2:$X$27,"&lt;"&amp;A7)</f>
        <v>4</v>
      </c>
      <c r="C7" s="3">
        <f>SUMIFS(geothermal_projects!$Z$2:$Z$27,geothermal_projects!$W$2:$W$27,"&lt;"&amp;A7)-SUMIFS(geothermal_projects!$Z$2:$Z$27,geothermal_projects!$X$2:$X$27,"&lt;"&amp;A7)</f>
        <v>4</v>
      </c>
      <c r="D7">
        <f>SUMIFS(geothermal_projects!$V$2:$V$27,geothermal_projects!$W$2:$W$27,"&lt;"&amp;A7)-SUMIFS(geothermal_projects!$V$2:$V$27,geothermal_projects!$X$2:$X$27,"&lt;"&amp;A7)</f>
        <v>31.3</v>
      </c>
      <c r="E7">
        <v>495</v>
      </c>
      <c r="F7" s="3">
        <f t="shared" si="0"/>
        <v>2011</v>
      </c>
    </row>
    <row r="8" spans="1:20" x14ac:dyDescent="0.25">
      <c r="A8" s="1">
        <v>41274</v>
      </c>
      <c r="B8">
        <f>COUNTIFS(geothermal_projects!$W$2:$W$27,"&lt;"&amp;A8)-COUNTIFS(geothermal_projects!$X$2:$X$27,"&lt;"&amp;A8)</f>
        <v>5</v>
      </c>
      <c r="C8" s="3">
        <f>SUMIFS(geothermal_projects!$Z$2:$Z$27,geothermal_projects!$W$2:$W$27,"&lt;"&amp;A8)-SUMIFS(geothermal_projects!$Z$2:$Z$27,geothermal_projects!$X$2:$X$27,"&lt;"&amp;A8)</f>
        <v>5</v>
      </c>
      <c r="D8">
        <f>SUMIFS(geothermal_projects!$V$2:$V$27,geothermal_projects!$W$2:$W$27,"&lt;"&amp;A8)-SUMIFS(geothermal_projects!$V$2:$V$27,geothermal_projects!$X$2:$X$27,"&lt;"&amp;A8)</f>
        <v>38.700000000000003</v>
      </c>
      <c r="E8">
        <v>993</v>
      </c>
      <c r="F8" s="3">
        <f t="shared" si="0"/>
        <v>2012</v>
      </c>
    </row>
    <row r="9" spans="1:20" x14ac:dyDescent="0.25">
      <c r="A9" s="1">
        <v>41639</v>
      </c>
      <c r="B9">
        <f>COUNTIFS(geothermal_projects!$W$2:$W$27,"&lt;"&amp;A9)-COUNTIFS(geothermal_projects!$X$2:$X$27,"&lt;"&amp;A9)</f>
        <v>6</v>
      </c>
      <c r="C9" s="3">
        <f>SUMIFS(geothermal_projects!$Z$2:$Z$27,geothermal_projects!$W$2:$W$27,"&lt;"&amp;A9)-SUMIFS(geothermal_projects!$Z$2:$Z$27,geothermal_projects!$X$2:$X$27,"&lt;"&amp;A9)</f>
        <v>6</v>
      </c>
      <c r="D9">
        <f>SUMIFS(geothermal_projects!$V$2:$V$27,geothermal_projects!$W$2:$W$27,"&lt;"&amp;A9)-SUMIFS(geothermal_projects!$V$2:$V$27,geothermal_projects!$X$2:$X$27,"&lt;"&amp;A9)</f>
        <v>49.7</v>
      </c>
      <c r="E9">
        <v>1509</v>
      </c>
      <c r="F9" s="3">
        <f t="shared" si="0"/>
        <v>2013</v>
      </c>
    </row>
    <row r="10" spans="1:20" x14ac:dyDescent="0.25">
      <c r="A10" s="1">
        <v>42004</v>
      </c>
      <c r="B10">
        <f>COUNTIFS(geothermal_projects!$W$2:$W$27,"&lt;"&amp;A10)-COUNTIFS(geothermal_projects!$X$2:$X$27,"&lt;"&amp;A10)</f>
        <v>9</v>
      </c>
      <c r="C10" s="3">
        <f>SUMIFS(geothermal_projects!$Z$2:$Z$27,geothermal_projects!$W$2:$W$27,"&lt;"&amp;A10)-SUMIFS(geothermal_projects!$Z$2:$Z$27,geothermal_projects!$X$2:$X$27,"&lt;"&amp;A10)</f>
        <v>10</v>
      </c>
      <c r="D10">
        <f>SUMIFS(geothermal_projects!$V$2:$V$27,geothermal_projects!$W$2:$W$27,"&lt;"&amp;A10)-SUMIFS(geothermal_projects!$V$2:$V$27,geothermal_projects!$X$2:$X$27,"&lt;"&amp;A10)</f>
        <v>105.19999999999999</v>
      </c>
      <c r="E10">
        <v>2417</v>
      </c>
      <c r="F10" s="3">
        <f t="shared" si="0"/>
        <v>2014</v>
      </c>
    </row>
    <row r="11" spans="1:20" x14ac:dyDescent="0.25">
      <c r="A11" s="1">
        <v>42369</v>
      </c>
      <c r="B11">
        <f>COUNTIFS(geothermal_projects!$W$2:$W$27,"&lt;"&amp;A11)-COUNTIFS(geothermal_projects!$X$2:$X$27,"&lt;"&amp;A11)</f>
        <v>10</v>
      </c>
      <c r="C11" s="3">
        <f>SUMIFS(geothermal_projects!$Z$2:$Z$27,geothermal_projects!$W$2:$W$27,"&lt;"&amp;A11)-SUMIFS(geothermal_projects!$Z$2:$Z$27,geothermal_projects!$X$2:$X$27,"&lt;"&amp;A11)</f>
        <v>11</v>
      </c>
      <c r="D11">
        <f>SUMIFS(geothermal_projects!$V$2:$V$27,geothermal_projects!$W$2:$W$27,"&lt;"&amp;A11)-SUMIFS(geothermal_projects!$V$2:$V$27,geothermal_projects!$X$2:$X$27,"&lt;"&amp;A11)</f>
        <v>115.2</v>
      </c>
      <c r="E11">
        <v>2792</v>
      </c>
      <c r="F11" s="3">
        <f t="shared" si="0"/>
        <v>2015</v>
      </c>
    </row>
    <row r="12" spans="1:20" x14ac:dyDescent="0.25">
      <c r="A12" s="1">
        <v>42735</v>
      </c>
      <c r="B12">
        <f>COUNTIFS(geothermal_projects!$W$2:$W$27,"&lt;"&amp;A12)-COUNTIFS(geothermal_projects!$X$2:$X$27,"&lt;"&amp;A12)</f>
        <v>11</v>
      </c>
      <c r="C12" s="3">
        <f>SUMIFS(geothermal_projects!$Z$2:$Z$27,geothermal_projects!$W$2:$W$27,"&lt;"&amp;A12)-SUMIFS(geothermal_projects!$Z$2:$Z$27,geothermal_projects!$X$2:$X$27,"&lt;"&amp;A12)</f>
        <v>12</v>
      </c>
      <c r="D12">
        <f>SUMIFS(geothermal_projects!$V$2:$V$27,geothermal_projects!$W$2:$W$27,"&lt;"&amp;A12)-SUMIFS(geothermal_projects!$V$2:$V$27,geothermal_projects!$X$2:$X$27,"&lt;"&amp;A12)</f>
        <v>131.19999999999999</v>
      </c>
      <c r="E12">
        <v>3042</v>
      </c>
      <c r="F12" s="3">
        <f t="shared" si="0"/>
        <v>2016</v>
      </c>
    </row>
    <row r="13" spans="1:20" x14ac:dyDescent="0.25">
      <c r="A13" s="1">
        <v>43100</v>
      </c>
      <c r="B13">
        <f>COUNTIFS(geothermal_projects!$W$2:$W$27,"&lt;"&amp;A13)-COUNTIFS(geothermal_projects!$X$2:$X$27,"&lt;"&amp;A13)</f>
        <v>12</v>
      </c>
      <c r="C13" s="3">
        <f>SUMIFS(geothermal_projects!$Z$2:$Z$27,geothermal_projects!$W$2:$W$27,"&lt;"&amp;A13)-SUMIFS(geothermal_projects!$Z$2:$Z$27,geothermal_projects!$X$2:$X$27,"&lt;"&amp;A13)</f>
        <v>13</v>
      </c>
      <c r="D13">
        <f>SUMIFS(geothermal_projects!$V$2:$V$27,geothermal_projects!$W$2:$W$27,"&lt;"&amp;A13)-SUMIFS(geothermal_projects!$V$2:$V$27,geothermal_projects!$X$2:$X$27,"&lt;"&amp;A13)</f>
        <v>157.19999999999999</v>
      </c>
      <c r="E13">
        <v>3042</v>
      </c>
      <c r="F13" s="3">
        <f t="shared" si="0"/>
        <v>2017</v>
      </c>
    </row>
    <row r="14" spans="1:20" x14ac:dyDescent="0.25">
      <c r="A14" s="1">
        <v>43465</v>
      </c>
      <c r="B14">
        <f>COUNTIFS(geothermal_projects!$W$2:$W$27,"&lt;"&amp;A14)-COUNTIFS(geothermal_projects!$X$2:$X$27,"&lt;"&amp;A14)</f>
        <v>14</v>
      </c>
      <c r="C14" s="3">
        <f>SUMIFS(geothermal_projects!$Z$2:$Z$27,geothermal_projects!$W$2:$W$27,"&lt;"&amp;A14)-SUMIFS(geothermal_projects!$Z$2:$Z$27,geothermal_projects!$X$2:$X$27,"&lt;"&amp;A14)</f>
        <v>15</v>
      </c>
      <c r="D14">
        <f>SUMIFS(geothermal_projects!$V$2:$V$27,geothermal_projects!$W$2:$W$27,"&lt;"&amp;A14)-SUMIFS(geothermal_projects!$V$2:$V$27,geothermal_projects!$X$2:$X$27,"&lt;"&amp;A14)</f>
        <v>191</v>
      </c>
      <c r="E14">
        <v>3714</v>
      </c>
      <c r="F14" s="3">
        <f t="shared" si="0"/>
        <v>2018</v>
      </c>
    </row>
    <row r="15" spans="1:20" x14ac:dyDescent="0.25">
      <c r="A15" s="8">
        <v>43830</v>
      </c>
      <c r="B15">
        <f>COUNTIFS(geothermal_projects!$W$2:$W$27,"&lt;"&amp;A15)-COUNTIFS(geothermal_projects!$X$2:$X$27,"&lt;"&amp;A15)</f>
        <v>18</v>
      </c>
      <c r="C15" s="3">
        <f>SUMIFS(geothermal_projects!$Z$2:$Z$27,geothermal_projects!$W$2:$W$27,"&lt;"&amp;A15)-SUMIFS(geothermal_projects!$Z$2:$Z$27,geothermal_projects!$X$2:$X$27,"&lt;"&amp;A15)</f>
        <v>20</v>
      </c>
      <c r="D15">
        <f>SUMIFS(geothermal_projects!$V$2:$V$27,geothermal_projects!$W$2:$W$27,"&lt;"&amp;A15)-SUMIFS(geothermal_projects!$V$2:$V$27,geothermal_projects!$X$2:$X$27,"&lt;"&amp;A15)</f>
        <v>259</v>
      </c>
      <c r="E15">
        <v>5578</v>
      </c>
      <c r="F15" s="3">
        <f t="shared" si="0"/>
        <v>2019</v>
      </c>
    </row>
    <row r="16" spans="1:20" x14ac:dyDescent="0.25">
      <c r="A16" s="8">
        <v>44196</v>
      </c>
      <c r="B16">
        <f>COUNTIFS(geothermal_projects!$W$2:$W$27,"&lt;"&amp;A16)-COUNTIFS(geothermal_projects!$X$2:$X$27,"&lt;"&amp;A16)</f>
        <v>17</v>
      </c>
      <c r="C16" s="3">
        <f>SUMIFS(geothermal_projects!$Z$2:$Z$27,geothermal_projects!$W$2:$W$27,"&lt;"&amp;A16)-SUMIFS(geothermal_projects!$Z$2:$Z$27,geothermal_projects!$X$2:$X$27,"&lt;"&amp;A16)</f>
        <v>19</v>
      </c>
      <c r="D16">
        <f>SUMIFS(geothermal_projects!$V$2:$V$27,geothermal_projects!$W$2:$W$27,"&lt;"&amp;A16)-SUMIFS(geothermal_projects!$V$2:$V$27,geothermal_projects!$X$2:$X$27,"&lt;"&amp;A16)</f>
        <v>247.5</v>
      </c>
      <c r="E16">
        <v>6199</v>
      </c>
      <c r="F16" s="3">
        <f t="shared" si="0"/>
        <v>2020</v>
      </c>
      <c r="T16" s="4"/>
    </row>
    <row r="17" spans="1:20" x14ac:dyDescent="0.25">
      <c r="A17" s="8">
        <v>44561</v>
      </c>
      <c r="B17">
        <f>COUNTIFS(geothermal_projects!$W$2:$W$27,"&lt;"&amp;A17)-COUNTIFS(geothermal_projects!$X$2:$X$27,"&lt;"&amp;A17)</f>
        <v>18</v>
      </c>
      <c r="C17" s="3">
        <f>SUMIFS(geothermal_projects!$Z$2:$Z$27,geothermal_projects!$W$2:$W$27,"&lt;"&amp;A17)-SUMIFS(geothermal_projects!$Z$2:$Z$27,geothermal_projects!$X$2:$X$27,"&lt;"&amp;A17)</f>
        <v>20</v>
      </c>
      <c r="D17">
        <f>SUMIFS(geothermal_projects!$V$2:$V$27,geothermal_projects!$W$2:$W$27,"&lt;"&amp;A17)-SUMIFS(geothermal_projects!$V$2:$V$27,geothermal_projects!$X$2:$X$27,"&lt;"&amp;A17)</f>
        <v>262.5</v>
      </c>
      <c r="E17">
        <v>6321</v>
      </c>
      <c r="F17" s="3">
        <f t="shared" si="0"/>
        <v>2021</v>
      </c>
      <c r="T17" s="4"/>
    </row>
    <row r="18" spans="1:20" x14ac:dyDescent="0.25">
      <c r="A18" s="8"/>
      <c r="F18" s="3"/>
    </row>
    <row r="19" spans="1:20" x14ac:dyDescent="0.25">
      <c r="F19" s="3"/>
    </row>
    <row r="22" spans="1:20" x14ac:dyDescent="0.25">
      <c r="T22" s="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65D9F-376B-4F76-84C9-92F2A27AAECB}">
  <dimension ref="A1:B72"/>
  <sheetViews>
    <sheetView topLeftCell="A55" workbookViewId="0">
      <selection activeCell="G69" sqref="G69"/>
    </sheetView>
  </sheetViews>
  <sheetFormatPr defaultRowHeight="15" x14ac:dyDescent="0.25"/>
  <cols>
    <col min="1" max="1" width="20.42578125" customWidth="1"/>
    <col min="2" max="2" width="9.42578125" bestFit="1" customWidth="1"/>
  </cols>
  <sheetData>
    <row r="1" spans="1:2" x14ac:dyDescent="0.25">
      <c r="A1" t="s">
        <v>330</v>
      </c>
    </row>
    <row r="2" spans="1:2" x14ac:dyDescent="0.25">
      <c r="A2" t="s">
        <v>331</v>
      </c>
      <c r="B2" s="8">
        <v>44866</v>
      </c>
    </row>
    <row r="3" spans="1:2" x14ac:dyDescent="0.25">
      <c r="A3" s="14" t="s">
        <v>364</v>
      </c>
      <c r="B3" s="8"/>
    </row>
    <row r="5" spans="1:2" x14ac:dyDescent="0.25">
      <c r="A5" s="15" t="s">
        <v>332</v>
      </c>
    </row>
    <row r="6" spans="1:2" x14ac:dyDescent="0.25">
      <c r="A6" t="s">
        <v>404</v>
      </c>
    </row>
    <row r="7" spans="1:2" x14ac:dyDescent="0.25">
      <c r="A7" t="s">
        <v>368</v>
      </c>
    </row>
    <row r="8" spans="1:2" x14ac:dyDescent="0.25">
      <c r="A8" t="s">
        <v>307</v>
      </c>
    </row>
    <row r="9" spans="1:2" x14ac:dyDescent="0.25">
      <c r="A9" t="s">
        <v>396</v>
      </c>
    </row>
    <row r="10" spans="1:2" x14ac:dyDescent="0.25">
      <c r="A10" t="s">
        <v>403</v>
      </c>
    </row>
    <row r="11" spans="1:2" x14ac:dyDescent="0.25">
      <c r="A11" t="s">
        <v>402</v>
      </c>
    </row>
    <row r="13" spans="1:2" x14ac:dyDescent="0.25">
      <c r="A13" s="15" t="s">
        <v>318</v>
      </c>
    </row>
    <row r="14" spans="1:2" x14ac:dyDescent="0.25">
      <c r="A14" t="s">
        <v>297</v>
      </c>
      <c r="B14" t="s">
        <v>320</v>
      </c>
    </row>
    <row r="15" spans="1:2" x14ac:dyDescent="0.25">
      <c r="A15" t="s">
        <v>308</v>
      </c>
      <c r="B15" t="s">
        <v>319</v>
      </c>
    </row>
    <row r="16" spans="1:2" x14ac:dyDescent="0.25">
      <c r="A16" t="s">
        <v>298</v>
      </c>
      <c r="B16" t="s">
        <v>321</v>
      </c>
    </row>
    <row r="17" spans="1:2" x14ac:dyDescent="0.25">
      <c r="A17" t="s">
        <v>299</v>
      </c>
      <c r="B17" t="s">
        <v>322</v>
      </c>
    </row>
    <row r="18" spans="1:2" x14ac:dyDescent="0.25">
      <c r="A18" t="s">
        <v>300</v>
      </c>
      <c r="B18" t="s">
        <v>317</v>
      </c>
    </row>
    <row r="19" spans="1:2" x14ac:dyDescent="0.25">
      <c r="A19" t="s">
        <v>304</v>
      </c>
      <c r="B19" t="s">
        <v>323</v>
      </c>
    </row>
    <row r="20" spans="1:2" x14ac:dyDescent="0.25">
      <c r="A20" t="s">
        <v>303</v>
      </c>
      <c r="B20" t="s">
        <v>324</v>
      </c>
    </row>
    <row r="21" spans="1:2" x14ac:dyDescent="0.25">
      <c r="A21" t="s">
        <v>295</v>
      </c>
      <c r="B21" t="s">
        <v>325</v>
      </c>
    </row>
    <row r="22" spans="1:2" x14ac:dyDescent="0.25">
      <c r="A22" t="s">
        <v>151</v>
      </c>
      <c r="B22" t="s">
        <v>326</v>
      </c>
    </row>
    <row r="23" spans="1:2" x14ac:dyDescent="0.25">
      <c r="A23" t="s">
        <v>301</v>
      </c>
      <c r="B23" t="s">
        <v>327</v>
      </c>
    </row>
    <row r="24" spans="1:2" x14ac:dyDescent="0.25">
      <c r="A24" t="s">
        <v>302</v>
      </c>
      <c r="B24" t="s">
        <v>328</v>
      </c>
    </row>
    <row r="25" spans="1:2" x14ac:dyDescent="0.25">
      <c r="A25" t="s">
        <v>152</v>
      </c>
      <c r="B25" t="s">
        <v>329</v>
      </c>
    </row>
    <row r="26" spans="1:2" x14ac:dyDescent="0.25">
      <c r="A26" t="s">
        <v>150</v>
      </c>
      <c r="B26" t="s">
        <v>333</v>
      </c>
    </row>
    <row r="27" spans="1:2" x14ac:dyDescent="0.25">
      <c r="A27" t="s">
        <v>1</v>
      </c>
      <c r="B27" t="s">
        <v>338</v>
      </c>
    </row>
    <row r="28" spans="1:2" x14ac:dyDescent="0.25">
      <c r="A28" t="s">
        <v>112</v>
      </c>
      <c r="B28" t="s">
        <v>334</v>
      </c>
    </row>
    <row r="29" spans="1:2" x14ac:dyDescent="0.25">
      <c r="A29" t="s">
        <v>111</v>
      </c>
      <c r="B29" t="s">
        <v>335</v>
      </c>
    </row>
    <row r="30" spans="1:2" x14ac:dyDescent="0.25">
      <c r="A30" t="s">
        <v>4</v>
      </c>
      <c r="B30" t="s">
        <v>336</v>
      </c>
    </row>
    <row r="31" spans="1:2" x14ac:dyDescent="0.25">
      <c r="A31" t="s">
        <v>5</v>
      </c>
      <c r="B31" t="s">
        <v>337</v>
      </c>
    </row>
    <row r="32" spans="1:2" x14ac:dyDescent="0.25">
      <c r="A32" t="s">
        <v>9</v>
      </c>
      <c r="B32" t="s">
        <v>398</v>
      </c>
    </row>
    <row r="33" spans="1:2" x14ac:dyDescent="0.25">
      <c r="A33" t="s">
        <v>96</v>
      </c>
      <c r="B33" t="s">
        <v>398</v>
      </c>
    </row>
    <row r="34" spans="1:2" x14ac:dyDescent="0.25">
      <c r="A34" t="s">
        <v>132</v>
      </c>
      <c r="B34" t="s">
        <v>398</v>
      </c>
    </row>
    <row r="35" spans="1:2" x14ac:dyDescent="0.25">
      <c r="A35" t="s">
        <v>133</v>
      </c>
      <c r="B35" t="s">
        <v>398</v>
      </c>
    </row>
    <row r="37" spans="1:2" x14ac:dyDescent="0.25">
      <c r="A37" s="14" t="s">
        <v>369</v>
      </c>
      <c r="B37" s="14" t="s">
        <v>370</v>
      </c>
    </row>
    <row r="38" spans="1:2" x14ac:dyDescent="0.25">
      <c r="A38" t="s">
        <v>153</v>
      </c>
    </row>
    <row r="39" spans="1:2" x14ac:dyDescent="0.25">
      <c r="A39" t="s">
        <v>162</v>
      </c>
      <c r="B39" t="s">
        <v>371</v>
      </c>
    </row>
    <row r="40" spans="1:2" x14ac:dyDescent="0.25">
      <c r="A40" t="s">
        <v>2</v>
      </c>
      <c r="B40" t="s">
        <v>394</v>
      </c>
    </row>
    <row r="41" spans="1:2" x14ac:dyDescent="0.25">
      <c r="A41" t="s">
        <v>177</v>
      </c>
      <c r="B41" t="s">
        <v>395</v>
      </c>
    </row>
    <row r="42" spans="1:2" x14ac:dyDescent="0.25">
      <c r="A42" t="s">
        <v>188</v>
      </c>
      <c r="B42" t="s">
        <v>372</v>
      </c>
    </row>
    <row r="43" spans="1:2" x14ac:dyDescent="0.25">
      <c r="A43" t="s">
        <v>139</v>
      </c>
      <c r="B43" t="s">
        <v>375</v>
      </c>
    </row>
    <row r="44" spans="1:2" x14ac:dyDescent="0.25">
      <c r="A44" t="s">
        <v>183</v>
      </c>
      <c r="B44" t="s">
        <v>373</v>
      </c>
    </row>
    <row r="45" spans="1:2" x14ac:dyDescent="0.25">
      <c r="A45" t="s">
        <v>184</v>
      </c>
      <c r="B45" t="s">
        <v>374</v>
      </c>
    </row>
    <row r="46" spans="1:2" x14ac:dyDescent="0.25">
      <c r="A46" t="s">
        <v>166</v>
      </c>
      <c r="B46" t="s">
        <v>376</v>
      </c>
    </row>
    <row r="47" spans="1:2" x14ac:dyDescent="0.25">
      <c r="A47" t="s">
        <v>154</v>
      </c>
      <c r="B47" t="s">
        <v>377</v>
      </c>
    </row>
    <row r="48" spans="1:2" x14ac:dyDescent="0.25">
      <c r="A48" t="s">
        <v>155</v>
      </c>
      <c r="B48" t="s">
        <v>378</v>
      </c>
    </row>
    <row r="49" spans="1:2" x14ac:dyDescent="0.25">
      <c r="A49" t="s">
        <v>156</v>
      </c>
      <c r="B49" t="s">
        <v>379</v>
      </c>
    </row>
    <row r="50" spans="1:2" x14ac:dyDescent="0.25">
      <c r="A50" t="s">
        <v>157</v>
      </c>
      <c r="B50" t="s">
        <v>380</v>
      </c>
    </row>
    <row r="51" spans="1:2" x14ac:dyDescent="0.25">
      <c r="A51" t="s">
        <v>158</v>
      </c>
      <c r="B51" t="s">
        <v>381</v>
      </c>
    </row>
    <row r="52" spans="1:2" x14ac:dyDescent="0.25">
      <c r="A52" t="s">
        <v>203</v>
      </c>
      <c r="B52" t="s">
        <v>390</v>
      </c>
    </row>
    <row r="53" spans="1:2" x14ac:dyDescent="0.25">
      <c r="A53" t="s">
        <v>204</v>
      </c>
      <c r="B53" t="s">
        <v>391</v>
      </c>
    </row>
    <row r="54" spans="1:2" x14ac:dyDescent="0.25">
      <c r="A54" t="s">
        <v>159</v>
      </c>
    </row>
    <row r="55" spans="1:2" x14ac:dyDescent="0.25">
      <c r="A55" t="s">
        <v>186</v>
      </c>
      <c r="B55" t="s">
        <v>382</v>
      </c>
    </row>
    <row r="56" spans="1:2" x14ac:dyDescent="0.25">
      <c r="A56" t="s">
        <v>169</v>
      </c>
    </row>
    <row r="57" spans="1:2" x14ac:dyDescent="0.25">
      <c r="A57" t="s">
        <v>161</v>
      </c>
      <c r="B57" t="s">
        <v>383</v>
      </c>
    </row>
    <row r="58" spans="1:2" x14ac:dyDescent="0.25">
      <c r="A58" t="s">
        <v>165</v>
      </c>
      <c r="B58" t="s">
        <v>392</v>
      </c>
    </row>
    <row r="59" spans="1:2" x14ac:dyDescent="0.25">
      <c r="A59" t="s">
        <v>163</v>
      </c>
      <c r="B59" t="s">
        <v>393</v>
      </c>
    </row>
    <row r="60" spans="1:2" x14ac:dyDescent="0.25">
      <c r="A60" t="s">
        <v>178</v>
      </c>
      <c r="B60" t="s">
        <v>389</v>
      </c>
    </row>
    <row r="61" spans="1:2" x14ac:dyDescent="0.25">
      <c r="A61" t="s">
        <v>179</v>
      </c>
      <c r="B61" t="s">
        <v>388</v>
      </c>
    </row>
    <row r="62" spans="1:2" x14ac:dyDescent="0.25">
      <c r="A62" t="s">
        <v>180</v>
      </c>
      <c r="B62" t="s">
        <v>387</v>
      </c>
    </row>
    <row r="63" spans="1:2" x14ac:dyDescent="0.25">
      <c r="A63" t="s">
        <v>181</v>
      </c>
      <c r="B63" t="s">
        <v>386</v>
      </c>
    </row>
    <row r="64" spans="1:2" x14ac:dyDescent="0.25">
      <c r="A64" t="s">
        <v>175</v>
      </c>
      <c r="B64" t="s">
        <v>384</v>
      </c>
    </row>
    <row r="65" spans="1:2" x14ac:dyDescent="0.25">
      <c r="A65" t="s">
        <v>176</v>
      </c>
      <c r="B65" t="s">
        <v>385</v>
      </c>
    </row>
    <row r="67" spans="1:2" x14ac:dyDescent="0.25">
      <c r="A67" s="14" t="s">
        <v>397</v>
      </c>
    </row>
    <row r="68" spans="1:2" x14ac:dyDescent="0.25">
      <c r="A68" t="s">
        <v>107</v>
      </c>
      <c r="B68" t="s">
        <v>405</v>
      </c>
    </row>
    <row r="69" spans="1:2" x14ac:dyDescent="0.25">
      <c r="A69" t="s">
        <v>5</v>
      </c>
      <c r="B69" t="s">
        <v>399</v>
      </c>
    </row>
    <row r="70" spans="1:2" x14ac:dyDescent="0.25">
      <c r="A70" t="s">
        <v>108</v>
      </c>
      <c r="B70" t="s">
        <v>400</v>
      </c>
    </row>
    <row r="71" spans="1:2" x14ac:dyDescent="0.25">
      <c r="A71" t="s">
        <v>345</v>
      </c>
      <c r="B71" t="s">
        <v>401</v>
      </c>
    </row>
    <row r="72" spans="1:2" x14ac:dyDescent="0.25">
      <c r="A72" t="s">
        <v>309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NOC_ClusterName xmlns="2f6a910d-138e-42c1-8e8a-320c1b7cf3f7">EBN - Onderzoek seismiciteit</TNOC_ClusterName>
    <TNOC_ClusterId xmlns="2f6a910d-138e-42c1-8e8a-320c1b7cf3f7">060.36021</TNOC_ClusterId>
    <h15fbb78f4cb41d290e72f301ea2865f xmlns="836f1e71-b664-4777-b5a8-ba2d7ff8adc8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</TermName>
          <TermId xmlns="http://schemas.microsoft.com/office/infopath/2007/PartnerControls">fa11c4c9-105f-402c-bb40-9a56b4989397</TermId>
        </TermInfo>
      </Terms>
    </h15fbb78f4cb41d290e72f301ea2865f>
    <cf581d8792c646118aad2c2c4ecdfa8c xmlns="836f1e71-b664-4777-b5a8-ba2d7ff8adc8">
      <Terms xmlns="http://schemas.microsoft.com/office/infopath/2007/PartnerControls"/>
    </cf581d8792c646118aad2c2c4ecdfa8c>
    <n2a7a23bcc2241cb9261f9a914c7c1bb xmlns="836f1e71-b664-4777-b5a8-ba2d7ff8adc8">
      <Terms xmlns="http://schemas.microsoft.com/office/infopath/2007/PartnerControls">
        <TermInfo xmlns="http://schemas.microsoft.com/office/infopath/2007/PartnerControls">
          <TermName xmlns="http://schemas.microsoft.com/office/infopath/2007/PartnerControls">TNO Internal</TermName>
          <TermId xmlns="http://schemas.microsoft.com/office/infopath/2007/PartnerControls">1a23c89f-ef54-4907-86fd-8242403ff722</TermId>
        </TermInfo>
      </Terms>
    </n2a7a23bcc2241cb9261f9a914c7c1bb>
    <bac4ab11065f4f6c809c820c57e320e5 xmlns="836f1e71-b664-4777-b5a8-ba2d7ff8adc8">
      <Terms xmlns="http://schemas.microsoft.com/office/infopath/2007/PartnerControls"/>
    </bac4ab11065f4f6c809c820c57e320e5>
    <lca20d149a844688b6abf34073d5c21d xmlns="836f1e71-b664-4777-b5a8-ba2d7ff8adc8">
      <Terms xmlns="http://schemas.microsoft.com/office/infopath/2007/PartnerControls"/>
    </lca20d149a844688b6abf34073d5c21d>
    <TaxCatchAll xmlns="836f1e71-b664-4777-b5a8-ba2d7ff8adc8">
      <Value>5</Value>
      <Value>1</Value>
    </TaxCatchAll>
    <_dlc_DocId xmlns="836f1e71-b664-4777-b5a8-ba2d7ff8adc8">5CRH7XJAHNP7-2003445735-3709</_dlc_DocId>
    <_dlc_DocIdUrl xmlns="836f1e71-b664-4777-b5a8-ba2d7ff8adc8">
      <Url>https://365tno.sharepoint.com/teams/P060.36021/_layouts/15/DocIdRedir.aspx?ID=5CRH7XJAHNP7-2003445735-3709</Url>
      <Description>5CRH7XJAHNP7-2003445735-3709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Team Document" ma:contentTypeID="0x010100A35317DCC28344A7B82488658A034A5C01008B66EA3BB5B81140845A921118609851" ma:contentTypeVersion="10" ma:contentTypeDescription=" " ma:contentTypeScope="" ma:versionID="1bf43e876b6438a66f20c19dc043d93c">
  <xsd:schema xmlns:xsd="http://www.w3.org/2001/XMLSchema" xmlns:xs="http://www.w3.org/2001/XMLSchema" xmlns:p="http://schemas.microsoft.com/office/2006/metadata/properties" xmlns:ns2="836f1e71-b664-4777-b5a8-ba2d7ff8adc8" xmlns:ns3="2f6a910d-138e-42c1-8e8a-320c1b7cf3f7" xmlns:ns5="034fd843-7101-4b62-8859-7974de91ba97" targetNamespace="http://schemas.microsoft.com/office/2006/metadata/properties" ma:root="true" ma:fieldsID="b91f048a812a87595744bbd0fc3d0cf9" ns2:_="" ns3:_="" ns5:_="">
    <xsd:import namespace="836f1e71-b664-4777-b5a8-ba2d7ff8adc8"/>
    <xsd:import namespace="2f6a910d-138e-42c1-8e8a-320c1b7cf3f7"/>
    <xsd:import namespace="034fd843-7101-4b62-8859-7974de91ba9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NOC_ClusterName" minOccurs="0"/>
                <xsd:element ref="ns3:TNOC_ClusterId" minOccurs="0"/>
                <xsd:element ref="ns2:h15fbb78f4cb41d290e72f301ea2865f" minOccurs="0"/>
                <xsd:element ref="ns2:TaxCatchAll" minOccurs="0"/>
                <xsd:element ref="ns2:TaxCatchAllLabel" minOccurs="0"/>
                <xsd:element ref="ns2:n2a7a23bcc2241cb9261f9a914c7c1bb" minOccurs="0"/>
                <xsd:element ref="ns2:lca20d149a844688b6abf34073d5c21d" minOccurs="0"/>
                <xsd:element ref="ns2:cf581d8792c646118aad2c2c4ecdfa8c" minOccurs="0"/>
                <xsd:element ref="ns2:bac4ab11065f4f6c809c820c57e320e5" minOccurs="0"/>
                <xsd:element ref="ns5:MediaServiceMetadata" minOccurs="0"/>
                <xsd:element ref="ns5:MediaServiceFastMetadata" minOccurs="0"/>
                <xsd:element ref="ns5:MediaServiceAutoTags" minOccurs="0"/>
                <xsd:element ref="ns5:MediaServiceOCR" minOccurs="0"/>
                <xsd:element ref="ns5:MediaServiceDateTaken" minOccurs="0"/>
                <xsd:element ref="ns2:SharedWithUsers" minOccurs="0"/>
                <xsd:element ref="ns2:SharedWithDetails" minOccurs="0"/>
                <xsd:element ref="ns5:MediaServiceGenerationTime" minOccurs="0"/>
                <xsd:element ref="ns5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6f1e71-b664-4777-b5a8-ba2d7ff8adc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15fbb78f4cb41d290e72f301ea2865f" ma:index="13" nillable="true" ma:taxonomy="true" ma:internalName="h15fbb78f4cb41d290e72f301ea2865f" ma:taxonomyFieldName="TNOC_ClusterType" ma:displayName="Cluster type" ma:default="1;#Project|fa11c4c9-105f-402c-bb40-9a56b4989397" ma:fieldId="{115fbb78-f4cb-41d2-90e7-2f301ea2865f}" ma:sspId="7378aa68-586f-4892-bb77-0985b40f41a6" ma:termSetId="e7feef8e-5ede-44cd-b7d5-7ed7dacef0b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fd1e4a9-ff0c-4ee3-afab-189f40438719}" ma:internalName="TaxCatchAll" ma:showField="CatchAllData" ma:web="836f1e71-b664-4777-b5a8-ba2d7ff8ad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2fd1e4a9-ff0c-4ee3-afab-189f40438719}" ma:internalName="TaxCatchAllLabel" ma:readOnly="true" ma:showField="CatchAllDataLabel" ma:web="836f1e71-b664-4777-b5a8-ba2d7ff8ad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2a7a23bcc2241cb9261f9a914c7c1bb" ma:index="17" nillable="true" ma:taxonomy="true" ma:internalName="n2a7a23bcc2241cb9261f9a914c7c1bb" ma:taxonomyFieldName="TNOC_DocumentClassification" ma:displayName="Document classification" ma:default="5;#TNO Internal|1a23c89f-ef54-4907-86fd-8242403ff722" ma:fieldId="{72a7a23b-cc22-41cb-9261-f9a914c7c1bb}" ma:sspId="7378aa68-586f-4892-bb77-0985b40f41a6" ma:termSetId="ff8f31fd-7572-41dc-9fe4-bd4c6d280f3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ca20d149a844688b6abf34073d5c21d" ma:index="19" nillable="true" ma:taxonomy="true" ma:internalName="lca20d149a844688b6abf34073d5c21d" ma:taxonomyFieldName="TNOC_DocumentType" ma:displayName="Document type" ma:fieldId="{5ca20d14-9a84-4688-b6ab-f34073d5c21d}" ma:sspId="7378aa68-586f-4892-bb77-0985b40f41a6" ma:termSetId="e8a13a9e-c4f3-4184-b8d9-8210abad494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f581d8792c646118aad2c2c4ecdfa8c" ma:index="22" nillable="true" ma:taxonomy="true" ma:internalName="cf581d8792c646118aad2c2c4ecdfa8c" ma:taxonomyFieldName="TNOC_DocumentSetType" ma:displayName="Document set type" ma:readOnly="false" ma:fieldId="{cf581d87-92c6-4611-8aad-2c2c4ecdfa8c}" ma:sspId="7378aa68-586f-4892-bb77-0985b40f41a6" ma:termSetId="a8d4306b-62bf-468f-9587-ff078c8643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ac4ab11065f4f6c809c820c57e320e5" ma:index="24" nillable="true" ma:taxonomy="true" ma:internalName="bac4ab11065f4f6c809c820c57e320e5" ma:taxonomyFieldName="TNOC_DocumentCategory" ma:displayName="Document category" ma:fieldId="{bac4ab11-065f-4f6c-809c-820c57e320e5}" ma:sspId="7378aa68-586f-4892-bb77-0985b40f41a6" ma:termSetId="94d42b6a-4155-4fa6-95e9-087bc306ceb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3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6a910d-138e-42c1-8e8a-320c1b7cf3f7" elementFormDefault="qualified">
    <xsd:import namespace="http://schemas.microsoft.com/office/2006/documentManagement/types"/>
    <xsd:import namespace="http://schemas.microsoft.com/office/infopath/2007/PartnerControls"/>
    <xsd:element name="TNOC_ClusterName" ma:index="11" nillable="true" ma:displayName="Cluster name" ma:default="EBN - Onderzoek seismiciteit" ma:internalName="TNOC_ClusterName">
      <xsd:simpleType>
        <xsd:restriction base="dms:Text">
          <xsd:maxLength value="255"/>
        </xsd:restriction>
      </xsd:simpleType>
    </xsd:element>
    <xsd:element name="TNOC_ClusterId" ma:index="12" nillable="true" ma:displayName="Cluster ID" ma:default="060.36021" ma:internalName="TNOC_Clust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fd843-7101-4b62-8859-7974de91b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8" nillable="true" ma:displayName="MediaServiceAutoTags" ma:internalName="MediaServiceAutoTags" ma:readOnly="true">
      <xsd:simpleType>
        <xsd:restriction base="dms:Text"/>
      </xsd:simpleType>
    </xsd:element>
    <xsd:element name="MediaServiceOCR" ma:index="2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1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27CB2A-D7F1-42F7-B15D-82403B607DD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E271365-48C9-4DF6-B951-8DD11D246A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7848AC-340D-4814-A2A6-4BD9E7DD3CB6}">
  <ds:schemaRefs>
    <ds:schemaRef ds:uri="2f6a910d-138e-42c1-8e8a-320c1b7cf3f7"/>
    <ds:schemaRef ds:uri="http://purl.org/dc/terms/"/>
    <ds:schemaRef ds:uri="http://schemas.microsoft.com/office/2006/metadata/properties"/>
    <ds:schemaRef ds:uri="http://schemas.microsoft.com/office/2006/documentManagement/types"/>
    <ds:schemaRef ds:uri="034fd843-7101-4b62-8859-7974de91ba97"/>
    <ds:schemaRef ds:uri="http://purl.org/dc/elements/1.1/"/>
    <ds:schemaRef ds:uri="836f1e71-b664-4777-b5a8-ba2d7ff8adc8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46DFFF10-AFB3-40B8-BA11-4BF272DF8B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6f1e71-b664-4777-b5a8-ba2d7ff8adc8"/>
    <ds:schemaRef ds:uri="2f6a910d-138e-42c1-8e8a-320c1b7cf3f7"/>
    <ds:schemaRef ds:uri="034fd843-7101-4b62-8859-7974de91ba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geothermal_projects</vt:lpstr>
      <vt:lpstr>well_info</vt:lpstr>
      <vt:lpstr>nr_of_projects</vt:lpstr>
      <vt:lpstr>about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Buijze</dc:creator>
  <cp:lastModifiedBy>A.J.L. Buijze</cp:lastModifiedBy>
  <dcterms:created xsi:type="dcterms:W3CDTF">2019-02-13T16:04:14Z</dcterms:created>
  <dcterms:modified xsi:type="dcterms:W3CDTF">2023-02-25T15:58:24Z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0x010100A35317DCC28344A7B82488658A034A5C01008B66EA3BB5B81140845A921118609851</vt:lpwstr>
  </property>
  <property fmtid="{D5CDD505-2E9C-101B-9397-08002B2CF9AE}" pid="3" name="TNOC_DocumentClassification">
    <vt:lpwstr>5;#TNO Internal|1a23c89f-ef54-4907-86fd-8242403ff722</vt:lpwstr>
  </property>
  <property fmtid="{D5CDD505-2E9C-101B-9397-08002B2CF9AE}" pid="4" name="TNOC_DocumentType">
    <vt:lpwstr/>
  </property>
  <property fmtid="{D5CDD505-2E9C-101B-9397-08002B2CF9AE}" pid="5" name="TNOC_DocumentCategory">
    <vt:lpwstr/>
  </property>
  <property fmtid="{D5CDD505-2E9C-101B-9397-08002B2CF9AE}" pid="6" name="TNOC_ClusterType">
    <vt:lpwstr>1;#Project|fa11c4c9-105f-402c-bb40-9a56b4989397</vt:lpwstr>
  </property>
  <property fmtid="{D5CDD505-2E9C-101B-9397-08002B2CF9AE}" pid="7" name="TNOC_DocumentSetType">
    <vt:lpwstr/>
  </property>
  <property fmtid="{D5CDD505-2E9C-101B-9397-08002B2CF9AE}" pid="8" name="AuthorIds_UIVersion_2">
    <vt:lpwstr>30</vt:lpwstr>
  </property>
  <property fmtid="{D5CDD505-2E9C-101B-9397-08002B2CF9AE}" pid="9" name="_dlc_DocIdItemGuid">
    <vt:lpwstr>ebcf03dd-4a21-4b63-bcc2-4aa13ed92ef2</vt:lpwstr>
  </property>
  <property fmtid="{D5CDD505-2E9C-101B-9397-08002B2CF9AE}" pid="10" name="AuthorIds_UIVersion_512">
    <vt:lpwstr>30</vt:lpwstr>
  </property>
  <property fmtid="{D5CDD505-2E9C-101B-9397-08002B2CF9AE}" pid="11" name="AuthorIds_UIVersion_3">
    <vt:lpwstr>30</vt:lpwstr>
  </property>
  <property fmtid="{D5CDD505-2E9C-101B-9397-08002B2CF9AE}" pid="12" name="AuthorIds_UIVersion_4">
    <vt:lpwstr>30</vt:lpwstr>
  </property>
  <property fmtid="{D5CDD505-2E9C-101B-9397-08002B2CF9AE}" pid="13" name="AuthorIds_UIVersion_7">
    <vt:lpwstr>30</vt:lpwstr>
  </property>
  <property fmtid="{D5CDD505-2E9C-101B-9397-08002B2CF9AE}" pid="14" name="AuthorIds_UIVersion_9">
    <vt:lpwstr>30</vt:lpwstr>
  </property>
</Properties>
</file>