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3232" windowHeight="12552" activeTab="0"/>
  </bookViews>
  <sheets>
    <sheet name="1and2" sheetId="1" r:id="rId1"/>
    <sheet name="1" sheetId="2" r:id="rId2"/>
    <sheet name="2" sheetId="3" r:id="rId3"/>
    <sheet name="metrics on raster" sheetId="4" r:id="rId4"/>
    <sheet name="vector matching" sheetId="5" r:id="rId5"/>
    <sheet name="metrics on vectors" sheetId="6" r:id="rId6"/>
    <sheet name="areas" sheetId="7" r:id="rId7"/>
  </sheets>
  <definedNames/>
  <calcPr fullCalcOnLoad="1"/>
</workbook>
</file>

<file path=xl/sharedStrings.xml><?xml version="1.0" encoding="utf-8"?>
<sst xmlns="http://schemas.openxmlformats.org/spreadsheetml/2006/main" count="439" uniqueCount="153">
  <si>
    <t>F</t>
  </si>
  <si>
    <t>estimated map</t>
  </si>
  <si>
    <t>verified map</t>
  </si>
  <si>
    <t>x</t>
  </si>
  <si>
    <t>y</t>
  </si>
  <si>
    <t>map extent (in meters)</t>
  </si>
  <si>
    <t>in sqare meters</t>
  </si>
  <si>
    <t>in number of pixel</t>
  </si>
  <si>
    <t>in meters</t>
  </si>
  <si>
    <t>total number of pixel</t>
  </si>
  <si>
    <t>total sq kilometers</t>
  </si>
  <si>
    <t>98,21/3,61</t>
  </si>
  <si>
    <t>0,51/88,36</t>
  </si>
  <si>
    <t>99,49/96,39</t>
  </si>
  <si>
    <t>1,79/11,64</t>
  </si>
  <si>
    <t>100/</t>
  </si>
  <si>
    <t xml:space="preserve"> /100</t>
  </si>
  <si>
    <t>1,60/22,26</t>
  </si>
  <si>
    <t>98,40/7,73</t>
  </si>
  <si>
    <t>0,47/77,74</t>
  </si>
  <si>
    <t>99,53/92,27</t>
  </si>
  <si>
    <t>in % of pixels</t>
  </si>
  <si>
    <t>2,18/9,13</t>
  </si>
  <si>
    <t>97,82/2,31</t>
  </si>
  <si>
    <t>0,52/90,87</t>
  </si>
  <si>
    <t>99,48/97,69</t>
  </si>
  <si>
    <t>3,83/6,62</t>
  </si>
  <si>
    <t>96,17/0,94</t>
  </si>
  <si>
    <t>0,53/93,38</t>
  </si>
  <si>
    <t>99,47/99,06</t>
  </si>
  <si>
    <t>1,08/2,51</t>
  </si>
  <si>
    <t>98,92/1,30</t>
  </si>
  <si>
    <t>0,55/97,49</t>
  </si>
  <si>
    <t>99,45/98,70</t>
  </si>
  <si>
    <t>1,28/15,64</t>
  </si>
  <si>
    <t>98,72/6,79</t>
  </si>
  <si>
    <t>0,51/84,36</t>
  </si>
  <si>
    <t>99,49/93,21</t>
  </si>
  <si>
    <t>buffered SAM</t>
  </si>
  <si>
    <t>buffered ML</t>
  </si>
  <si>
    <t>ML dissolved</t>
  </si>
  <si>
    <t>SAM dissolved</t>
  </si>
  <si>
    <t>intersect</t>
  </si>
  <si>
    <t>Type_2= brownish fossil logs</t>
  </si>
  <si>
    <t>Type-1 = reddish fossil logs</t>
  </si>
  <si>
    <t>above 4 sq. m.</t>
  </si>
  <si>
    <t>under 4 sq. m.</t>
  </si>
  <si>
    <t>%</t>
  </si>
  <si>
    <t>total area detected by ML classification</t>
  </si>
  <si>
    <t>total area detected by ML classification &gt; 4 sq meters</t>
  </si>
  <si>
    <t>random sq meters</t>
  </si>
  <si>
    <t>sq meters</t>
  </si>
  <si>
    <t>total area true fossils from the control map</t>
  </si>
  <si>
    <t>total area true fossils from the control map &gt; 4 sq meters</t>
  </si>
  <si>
    <t>total area detected by SAM classification</t>
  </si>
  <si>
    <t>total area detected by SAM classification &gt; 4 sq meters</t>
  </si>
  <si>
    <t>total area of the Crystal Forest tested</t>
  </si>
  <si>
    <t>polygons of the control map</t>
  </si>
  <si>
    <t>total number</t>
  </si>
  <si>
    <t>true positives</t>
  </si>
  <si>
    <t>false positives</t>
  </si>
  <si>
    <t>false negatives</t>
  </si>
  <si>
    <t>true negatives</t>
  </si>
  <si>
    <t>a</t>
  </si>
  <si>
    <t>b</t>
  </si>
  <si>
    <t>c</t>
  </si>
  <si>
    <t>d</t>
  </si>
  <si>
    <t>o</t>
  </si>
  <si>
    <t>e</t>
  </si>
  <si>
    <t>p1</t>
  </si>
  <si>
    <t>p2</t>
  </si>
  <si>
    <t>pixel count 1and2 ML</t>
  </si>
  <si>
    <t>pixel count 1and2 SAM</t>
  </si>
  <si>
    <t>square meters count 1and2 ML</t>
  </si>
  <si>
    <t>pixel count 1 ML</t>
  </si>
  <si>
    <t>square meters count 1 ML</t>
  </si>
  <si>
    <t>pixel count 1 SAM</t>
  </si>
  <si>
    <t>square meters count 1and2 SAM</t>
  </si>
  <si>
    <t>square meters count 1 SAM</t>
  </si>
  <si>
    <t>observed correct prediction a+d</t>
  </si>
  <si>
    <t>Sensitivity</t>
  </si>
  <si>
    <t>Specificity</t>
  </si>
  <si>
    <t>1and2 ML</t>
  </si>
  <si>
    <t>1and2 SAM</t>
  </si>
  <si>
    <t>1 ML</t>
  </si>
  <si>
    <t>1 SAM</t>
  </si>
  <si>
    <t>2 ML</t>
  </si>
  <si>
    <t>2 SAM</t>
  </si>
  <si>
    <t>Fielding and Bell 1997</t>
  </si>
  <si>
    <t>(a+c)/N</t>
  </si>
  <si>
    <t>(b+d)/N</t>
  </si>
  <si>
    <t>(a+d)/N</t>
  </si>
  <si>
    <t>(b+c)/N</t>
  </si>
  <si>
    <t>a/(a+c)</t>
  </si>
  <si>
    <t>d/(b+d)</t>
  </si>
  <si>
    <t>b/(b+d)</t>
  </si>
  <si>
    <t>c/(a+c)</t>
  </si>
  <si>
    <t>a/(a+b)</t>
  </si>
  <si>
    <t>d/(c+d)</t>
  </si>
  <si>
    <t>Positive predictive power (PPP)</t>
  </si>
  <si>
    <t>Negative predictive power (NPP)</t>
  </si>
  <si>
    <t>(ad)/(cb)</t>
  </si>
  <si>
    <t>Kappa</t>
  </si>
  <si>
    <t>[(a+d)-(((a+c)(a+b)+(b+d)(c+d))/N)]/[N-(((a+c)(a+b)+(b+d))/N)]</t>
  </si>
  <si>
    <t>NMI n(s)</t>
  </si>
  <si>
    <t>[-a.lm(a)-b.ln(b)-c.ln(c)-d.ln(d)+(a+b).ln(a+b)+(c+d).ln(c+d)]/[N.lnN-((a+c).ln(a+c)+(b+d).ln(b+d))]</t>
  </si>
  <si>
    <t>N</t>
  </si>
  <si>
    <t>pixel count 2 ML</t>
  </si>
  <si>
    <t>square meters count 2 ML</t>
  </si>
  <si>
    <t>pixel count 2 SAM</t>
  </si>
  <si>
    <t>square meters count 2 SAM</t>
  </si>
  <si>
    <t>Prevalence</t>
  </si>
  <si>
    <t>Overall diagnostic power</t>
  </si>
  <si>
    <t>Correct classification rate</t>
  </si>
  <si>
    <t>False positive rate</t>
  </si>
  <si>
    <t>False negative rate</t>
  </si>
  <si>
    <t>Misclassification rate</t>
  </si>
  <si>
    <t>Odds-ratio</t>
  </si>
  <si>
    <t>pixel count</t>
  </si>
  <si>
    <t>p(+)(a+c)+p(-)(b+d)</t>
  </si>
  <si>
    <t>z</t>
  </si>
  <si>
    <t>(o-e)/rad e(N-e)/N</t>
  </si>
  <si>
    <t xml:space="preserve">e(m) </t>
  </si>
  <si>
    <t>(m= maximum chance)</t>
  </si>
  <si>
    <t>control map</t>
  </si>
  <si>
    <t>T</t>
  </si>
  <si>
    <t>ML</t>
  </si>
  <si>
    <t>SAM</t>
  </si>
  <si>
    <t>under 4 mqs</t>
  </si>
  <si>
    <t>polygon count</t>
  </si>
  <si>
    <t>ML polygon count</t>
  </si>
  <si>
    <t>ML buffered polygon count</t>
  </si>
  <si>
    <t>SAM polygon count</t>
  </si>
  <si>
    <t>SAM buffered polygon count</t>
  </si>
  <si>
    <t>ML above 4 msq</t>
  </si>
  <si>
    <t>SAM  above 4 msq</t>
  </si>
  <si>
    <t>SAM buffered above 4 msq</t>
  </si>
  <si>
    <t>ML buffered above 4 msq</t>
  </si>
  <si>
    <t>above 4 msq</t>
  </si>
  <si>
    <t>Correct classification rate - Accuracy</t>
  </si>
  <si>
    <t>total area of the ML classification matching the true fossils in the control map</t>
  </si>
  <si>
    <t>total area of the SAM classification matching the true fossils in the control map</t>
  </si>
  <si>
    <t xml:space="preserve">controlmap WV2 2m (ref) vs ML Cl CF_1and2 </t>
  </si>
  <si>
    <t>controlmap WV2 2m (ref) vs SAM Cl CF_1and2</t>
  </si>
  <si>
    <t>controlmap WV2 2m (ref) vs ML Cl CF</t>
  </si>
  <si>
    <t xml:space="preserve">controlmap WV2 2m (ref) vs SAM Cl CF </t>
  </si>
  <si>
    <t>controlmap WV2 2m (ref) vs SAM Cl CF</t>
  </si>
  <si>
    <t>Geological Magazine</t>
  </si>
  <si>
    <t>Multispectral satellite imaging allows detection of large individual fossils.</t>
  </si>
  <si>
    <t>Ghezzo E., Massironi M., Davis E.B.</t>
  </si>
  <si>
    <t>Supplementary Material 2</t>
  </si>
  <si>
    <t>Null hypo: 0.56% of the surface is occupied by fossils, so I'm expecting the model should be able to randomply find 0.56%  of true fossils in the control maps</t>
  </si>
  <si>
    <t>Null hypo: 0.56% of the surface is occupied by fossils, so I'm expecting the model should be able to randomply find 0.56%  of true fossils in the control maps (column "e" in the table above)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</si>
</sst>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#,##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49"/>
      <name val="Calibri"/>
      <family val="2"/>
    </font>
    <font>
      <sz val="12"/>
      <color indexed="62"/>
      <name val="Century"/>
      <family val="1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  <font>
      <sz val="12"/>
      <color rgb="FF17365D"/>
      <name val="Century"/>
      <family val="1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40" fillId="0" borderId="0" xfId="0" applyNumberFormat="1" applyFont="1" applyAlignment="1">
      <alignment horizontal="center" vertical="center"/>
    </xf>
    <xf numFmtId="2" fontId="40" fillId="0" borderId="0" xfId="0" applyNumberFormat="1" applyFont="1" applyAlignment="1">
      <alignment horizontal="center"/>
    </xf>
    <xf numFmtId="0" fontId="0" fillId="0" borderId="10" xfId="0" applyBorder="1" applyAlignment="1">
      <alignment vertic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/>
    </xf>
    <xf numFmtId="4" fontId="40" fillId="0" borderId="0" xfId="0" applyNumberFormat="1" applyFont="1" applyAlignment="1">
      <alignment/>
    </xf>
    <xf numFmtId="0" fontId="39" fillId="0" borderId="0" xfId="0" applyFont="1" applyAlignment="1">
      <alignment horizontal="center"/>
    </xf>
    <xf numFmtId="4" fontId="39" fillId="0" borderId="0" xfId="0" applyNumberFormat="1" applyFont="1" applyAlignment="1">
      <alignment horizontal="center"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4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39" fillId="0" borderId="10" xfId="0" applyFont="1" applyBorder="1" applyAlignment="1">
      <alignment vertical="center"/>
    </xf>
    <xf numFmtId="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39" fillId="0" borderId="0" xfId="0" applyFont="1" applyAlignment="1">
      <alignment horizontal="center" vertical="center" wrapText="1"/>
    </xf>
    <xf numFmtId="4" fontId="39" fillId="0" borderId="0" xfId="0" applyNumberFormat="1" applyFont="1" applyAlignment="1">
      <alignment horizontal="center" vertical="center" wrapText="1"/>
    </xf>
    <xf numFmtId="164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39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" fontId="18" fillId="0" borderId="0" xfId="0" applyNumberFormat="1" applyFont="1" applyAlignment="1">
      <alignment/>
    </xf>
    <xf numFmtId="2" fontId="18" fillId="0" borderId="0" xfId="0" applyNumberFormat="1" applyFont="1" applyAlignment="1">
      <alignment horizontal="center"/>
    </xf>
    <xf numFmtId="0" fontId="4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39" fillId="0" borderId="0" xfId="0" applyNumberFormat="1" applyFont="1" applyAlignment="1">
      <alignment horizontal="center"/>
    </xf>
    <xf numFmtId="0" fontId="44" fillId="0" borderId="0" xfId="0" applyFont="1" applyAlignment="1">
      <alignment horizontal="center" textRotation="90" wrapText="1"/>
    </xf>
    <xf numFmtId="0" fontId="39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zoomScale="70" zoomScaleNormal="70" zoomScalePageLayoutView="0" workbookViewId="0" topLeftCell="A4">
      <selection activeCell="I12" sqref="I12"/>
    </sheetView>
  </sheetViews>
  <sheetFormatPr defaultColWidth="9.140625" defaultRowHeight="15"/>
  <cols>
    <col min="1" max="1" width="21.421875" style="0" customWidth="1"/>
    <col min="4" max="4" width="3.7109375" style="0" customWidth="1"/>
    <col min="6" max="6" width="2.57421875" style="0" customWidth="1"/>
    <col min="11" max="11" width="3.421875" style="0" customWidth="1"/>
    <col min="12" max="12" width="6.00390625" style="0" customWidth="1"/>
    <col min="13" max="13" width="2.57421875" style="0" customWidth="1"/>
    <col min="14" max="15" width="11.7109375" style="0" bestFit="1" customWidth="1"/>
    <col min="19" max="19" width="2.8515625" style="0" customWidth="1"/>
    <col min="21" max="21" width="1.8515625" style="0" bestFit="1" customWidth="1"/>
    <col min="27" max="27" width="11.57421875" style="0" bestFit="1" customWidth="1"/>
  </cols>
  <sheetData>
    <row r="1" ht="14.25">
      <c r="A1" t="s">
        <v>147</v>
      </c>
    </row>
    <row r="2" ht="15">
      <c r="A2" s="47" t="s">
        <v>148</v>
      </c>
    </row>
    <row r="3" ht="14.25">
      <c r="A3" t="s">
        <v>149</v>
      </c>
    </row>
    <row r="4" ht="14.25">
      <c r="A4" t="s">
        <v>150</v>
      </c>
    </row>
    <row r="6" spans="1:3" ht="14.25">
      <c r="A6" t="s">
        <v>5</v>
      </c>
      <c r="B6" t="s">
        <v>7</v>
      </c>
      <c r="C6" t="s">
        <v>8</v>
      </c>
    </row>
    <row r="7" spans="1:3" ht="14.25">
      <c r="A7" s="2" t="s">
        <v>3</v>
      </c>
      <c r="B7">
        <v>417</v>
      </c>
      <c r="C7">
        <f>417*2</f>
        <v>834</v>
      </c>
    </row>
    <row r="8" spans="1:3" ht="14.25">
      <c r="A8" s="2" t="s">
        <v>4</v>
      </c>
      <c r="B8">
        <v>375</v>
      </c>
      <c r="C8">
        <f>375*2</f>
        <v>750</v>
      </c>
    </row>
    <row r="9" spans="1:8" ht="14.25">
      <c r="A9" t="s">
        <v>9</v>
      </c>
      <c r="B9">
        <f>B7*B8</f>
        <v>156375</v>
      </c>
      <c r="C9">
        <v>150660</v>
      </c>
      <c r="E9">
        <f>G14</f>
        <v>5713</v>
      </c>
      <c r="G9">
        <f>E9+C9</f>
        <v>156373</v>
      </c>
      <c r="H9" s="6"/>
    </row>
    <row r="10" spans="1:6" ht="14.25">
      <c r="A10" t="s">
        <v>10</v>
      </c>
      <c r="B10">
        <f>(B9*4)/1000000</f>
        <v>0.6255</v>
      </c>
      <c r="C10">
        <f>(C9*4)/1000000</f>
        <v>0.60264</v>
      </c>
      <c r="D10">
        <f>C10/B10*100</f>
        <v>96.34532374100719</v>
      </c>
      <c r="E10">
        <f>(E9*4)/1000000</f>
        <v>0.022852</v>
      </c>
      <c r="F10">
        <f>E10/B10*100</f>
        <v>3.653397282174261</v>
      </c>
    </row>
    <row r="12" spans="1:20" ht="14.25">
      <c r="A12" t="s">
        <v>142</v>
      </c>
      <c r="E12" t="s">
        <v>7</v>
      </c>
      <c r="L12" t="s">
        <v>21</v>
      </c>
      <c r="T12" t="s">
        <v>6</v>
      </c>
    </row>
    <row r="13" spans="5:24" ht="14.25">
      <c r="E13" s="1"/>
      <c r="F13" s="1"/>
      <c r="G13" s="51" t="s">
        <v>1</v>
      </c>
      <c r="H13" s="51"/>
      <c r="I13" s="1"/>
      <c r="J13" s="41"/>
      <c r="K13" s="42"/>
      <c r="L13" s="41"/>
      <c r="M13" s="41"/>
      <c r="N13" s="53" t="s">
        <v>1</v>
      </c>
      <c r="O13" s="53"/>
      <c r="P13" s="41"/>
      <c r="Q13" s="41"/>
      <c r="R13" s="41"/>
      <c r="S13" s="41"/>
      <c r="T13" s="41"/>
      <c r="U13" s="1"/>
      <c r="V13" s="1" t="s">
        <v>1</v>
      </c>
      <c r="W13" s="1"/>
      <c r="X13" s="1"/>
    </row>
    <row r="14" spans="5:24" ht="14.25">
      <c r="E14" s="1">
        <f>E19-G14</f>
        <v>150662</v>
      </c>
      <c r="F14" s="1"/>
      <c r="G14" s="1">
        <v>5713</v>
      </c>
      <c r="H14" s="1">
        <v>150662</v>
      </c>
      <c r="I14" s="1">
        <f>H14+G14</f>
        <v>156375</v>
      </c>
      <c r="J14" s="41"/>
      <c r="K14" s="42"/>
      <c r="L14" s="41"/>
      <c r="M14" s="41"/>
      <c r="N14" s="43">
        <f>G14*100/I14</f>
        <v>3.6533972821742604</v>
      </c>
      <c r="O14" s="43">
        <f>H14*100/I14</f>
        <v>96.34660271782575</v>
      </c>
      <c r="P14" s="41">
        <f>O14+N14</f>
        <v>100</v>
      </c>
      <c r="Q14" s="41"/>
      <c r="R14" s="41"/>
      <c r="S14" s="41"/>
      <c r="T14" s="41">
        <f>T19-V14</f>
        <v>602648</v>
      </c>
      <c r="U14" s="1"/>
      <c r="V14" s="1">
        <f>(G14*4)</f>
        <v>22852</v>
      </c>
      <c r="W14" s="1">
        <f>(H14*4)</f>
        <v>602648</v>
      </c>
      <c r="X14" s="1">
        <f>(I14*4)</f>
        <v>625500</v>
      </c>
    </row>
    <row r="15" spans="5:24" ht="14.25">
      <c r="E15" s="1"/>
      <c r="F15" s="1"/>
      <c r="G15" s="1"/>
      <c r="H15" s="1"/>
      <c r="I15" s="1"/>
      <c r="J15" s="41"/>
      <c r="K15" s="42"/>
      <c r="L15" s="41"/>
      <c r="M15" s="41"/>
      <c r="N15" s="41"/>
      <c r="O15" s="41"/>
      <c r="P15" s="41"/>
      <c r="Q15" s="41"/>
      <c r="R15" s="41"/>
      <c r="S15" s="41"/>
      <c r="T15" s="41"/>
      <c r="U15" s="1"/>
      <c r="V15" s="1"/>
      <c r="W15" s="1"/>
      <c r="X15" s="1"/>
    </row>
    <row r="16" spans="5:27" ht="14.25">
      <c r="E16" s="1"/>
      <c r="F16" s="3"/>
      <c r="G16" s="3" t="s">
        <v>125</v>
      </c>
      <c r="H16" s="3" t="s">
        <v>0</v>
      </c>
      <c r="I16" s="3"/>
      <c r="J16" s="41"/>
      <c r="K16" s="42"/>
      <c r="L16" s="41"/>
      <c r="M16" s="44"/>
      <c r="N16" s="44" t="s">
        <v>125</v>
      </c>
      <c r="O16" s="44" t="s">
        <v>0</v>
      </c>
      <c r="P16" s="44"/>
      <c r="Q16" s="41"/>
      <c r="R16" s="41"/>
      <c r="S16" s="41"/>
      <c r="T16" s="41"/>
      <c r="U16" s="3"/>
      <c r="V16" s="3" t="s">
        <v>125</v>
      </c>
      <c r="W16" s="3" t="s">
        <v>0</v>
      </c>
      <c r="X16" s="1"/>
      <c r="AA16" s="20"/>
    </row>
    <row r="17" spans="1:24" ht="31.5" customHeight="1">
      <c r="A17">
        <f>E19/G14</f>
        <v>27.371783651321547</v>
      </c>
      <c r="D17" s="50" t="s">
        <v>2</v>
      </c>
      <c r="E17" s="1">
        <v>876</v>
      </c>
      <c r="F17" s="3" t="s">
        <v>125</v>
      </c>
      <c r="G17" s="3">
        <v>102</v>
      </c>
      <c r="H17" s="3">
        <f>E17-G17</f>
        <v>774</v>
      </c>
      <c r="I17" s="3">
        <f>H17+G17</f>
        <v>876</v>
      </c>
      <c r="J17" s="41"/>
      <c r="K17" s="52" t="s">
        <v>2</v>
      </c>
      <c r="L17" s="43">
        <f>E17*100/E19</f>
        <v>0.5601918465227818</v>
      </c>
      <c r="M17" s="44" t="s">
        <v>125</v>
      </c>
      <c r="N17" s="44" t="s">
        <v>14</v>
      </c>
      <c r="O17" s="44" t="s">
        <v>12</v>
      </c>
      <c r="P17" s="44" t="s">
        <v>16</v>
      </c>
      <c r="Q17" s="41"/>
      <c r="R17" s="41"/>
      <c r="S17" s="52" t="s">
        <v>2</v>
      </c>
      <c r="T17" s="41">
        <f>(E17*4)</f>
        <v>3504</v>
      </c>
      <c r="U17" s="3" t="s">
        <v>125</v>
      </c>
      <c r="V17" s="3">
        <f aca="true" t="shared" si="0" ref="V17:X18">(G17*4)</f>
        <v>408</v>
      </c>
      <c r="W17" s="3">
        <f t="shared" si="0"/>
        <v>3096</v>
      </c>
      <c r="X17" s="1">
        <f t="shared" si="0"/>
        <v>3504</v>
      </c>
    </row>
    <row r="18" spans="1:24" ht="31.5" customHeight="1">
      <c r="A18">
        <f>I17/G17</f>
        <v>8.588235294117647</v>
      </c>
      <c r="D18" s="50"/>
      <c r="E18" s="1">
        <v>155499</v>
      </c>
      <c r="F18" s="3" t="s">
        <v>0</v>
      </c>
      <c r="G18" s="3">
        <f>G14-G17</f>
        <v>5611</v>
      </c>
      <c r="H18" s="3">
        <f>H14-H17</f>
        <v>149888</v>
      </c>
      <c r="I18" s="3">
        <f>H18+G18</f>
        <v>155499</v>
      </c>
      <c r="J18" s="41"/>
      <c r="K18" s="52"/>
      <c r="L18" s="43">
        <f>E18*100/E19</f>
        <v>99.43980815347722</v>
      </c>
      <c r="M18" s="44" t="s">
        <v>0</v>
      </c>
      <c r="N18" s="44" t="s">
        <v>11</v>
      </c>
      <c r="O18" s="44" t="s">
        <v>13</v>
      </c>
      <c r="P18" s="44" t="s">
        <v>16</v>
      </c>
      <c r="Q18" s="41"/>
      <c r="R18" s="41"/>
      <c r="S18" s="52"/>
      <c r="T18" s="41">
        <f>(E18*4)</f>
        <v>621996</v>
      </c>
      <c r="U18" s="3" t="s">
        <v>0</v>
      </c>
      <c r="V18" s="3">
        <f t="shared" si="0"/>
        <v>22444</v>
      </c>
      <c r="W18" s="3">
        <f t="shared" si="0"/>
        <v>599552</v>
      </c>
      <c r="X18" s="1">
        <f t="shared" si="0"/>
        <v>621996</v>
      </c>
    </row>
    <row r="19" spans="5:24" ht="14.25">
      <c r="E19" s="1">
        <f>E18+E17</f>
        <v>156375</v>
      </c>
      <c r="F19" s="1"/>
      <c r="G19" s="1">
        <f>G18+G17</f>
        <v>5713</v>
      </c>
      <c r="H19" s="1">
        <f>H18+H17</f>
        <v>150662</v>
      </c>
      <c r="I19" s="1">
        <f>H19+G19</f>
        <v>156375</v>
      </c>
      <c r="J19" s="41"/>
      <c r="K19" s="42"/>
      <c r="L19" s="43">
        <f>L18+L17</f>
        <v>100</v>
      </c>
      <c r="M19" s="41"/>
      <c r="N19" s="43" t="s">
        <v>15</v>
      </c>
      <c r="O19" s="43" t="s">
        <v>15</v>
      </c>
      <c r="P19" s="43">
        <f>G17*100/I17</f>
        <v>11.643835616438356</v>
      </c>
      <c r="Q19" s="43">
        <f>H17*100/I17</f>
        <v>88.35616438356165</v>
      </c>
      <c r="R19" s="43"/>
      <c r="S19" s="41"/>
      <c r="T19" s="41">
        <f>(E19*4)</f>
        <v>625500</v>
      </c>
      <c r="U19" s="1"/>
      <c r="V19" s="1">
        <f>(G19*4)</f>
        <v>22852</v>
      </c>
      <c r="W19" s="1">
        <f>(H19*4)</f>
        <v>602648</v>
      </c>
      <c r="X19" s="1"/>
    </row>
    <row r="20" spans="5:20" ht="14.25" customHeight="1">
      <c r="E20">
        <f>E17/E19</f>
        <v>0.005601918465227818</v>
      </c>
      <c r="F20">
        <f>E17*E20</f>
        <v>4.907280575539569</v>
      </c>
      <c r="J20" s="42"/>
      <c r="K20" s="42"/>
      <c r="L20" s="45"/>
      <c r="M20" s="42"/>
      <c r="N20" s="46">
        <f>G17*100/G19</f>
        <v>1.7854017153859618</v>
      </c>
      <c r="O20" s="46">
        <f>H17*100/H19</f>
        <v>0.5137327262348834</v>
      </c>
      <c r="P20" s="43">
        <f>G18*100/I18</f>
        <v>3.6083833336548787</v>
      </c>
      <c r="Q20" s="43">
        <f>H18*100/I18</f>
        <v>96.39161666634512</v>
      </c>
      <c r="R20" s="43"/>
      <c r="S20" s="42"/>
      <c r="T20" s="42"/>
    </row>
    <row r="21" spans="5:20" ht="14.25" customHeight="1">
      <c r="E21">
        <f>E18/E19</f>
        <v>0.9943980815347722</v>
      </c>
      <c r="F21">
        <f>E21*E18</f>
        <v>154627.90728057554</v>
      </c>
      <c r="J21" s="42"/>
      <c r="K21" s="42"/>
      <c r="L21" s="45"/>
      <c r="M21" s="42"/>
      <c r="N21" s="46">
        <f>G18*100/G19</f>
        <v>98.21459828461404</v>
      </c>
      <c r="O21" s="46">
        <f>H18*100/H19</f>
        <v>99.48626727376512</v>
      </c>
      <c r="P21" s="46"/>
      <c r="Q21" s="46"/>
      <c r="R21" s="46"/>
      <c r="S21" s="42"/>
      <c r="T21" s="42"/>
    </row>
    <row r="22" spans="10:20" ht="14.25" customHeight="1">
      <c r="J22" s="42"/>
      <c r="K22" s="42"/>
      <c r="L22" s="45"/>
      <c r="M22" s="42"/>
      <c r="N22" s="46"/>
      <c r="O22" s="46"/>
      <c r="P22" s="46"/>
      <c r="Q22" s="46"/>
      <c r="R22" s="46"/>
      <c r="S22" s="42"/>
      <c r="T22" s="42"/>
    </row>
    <row r="23" spans="1:20" ht="14.25">
      <c r="A23" t="s">
        <v>143</v>
      </c>
      <c r="E23" t="s">
        <v>7</v>
      </c>
      <c r="J23" s="42"/>
      <c r="K23" s="42"/>
      <c r="L23" s="45" t="s">
        <v>21</v>
      </c>
      <c r="M23" s="42"/>
      <c r="N23" s="42"/>
      <c r="O23" s="42"/>
      <c r="P23" s="42"/>
      <c r="Q23" s="42"/>
      <c r="R23" s="42"/>
      <c r="S23" s="42"/>
      <c r="T23" s="42" t="s">
        <v>6</v>
      </c>
    </row>
    <row r="24" spans="5:24" ht="14.25">
      <c r="E24" s="1"/>
      <c r="F24" s="1"/>
      <c r="G24" s="51" t="s">
        <v>1</v>
      </c>
      <c r="H24" s="51"/>
      <c r="I24" s="1"/>
      <c r="J24" s="41"/>
      <c r="K24" s="42"/>
      <c r="L24" s="43"/>
      <c r="M24" s="41"/>
      <c r="N24" s="53" t="s">
        <v>1</v>
      </c>
      <c r="O24" s="53"/>
      <c r="P24" s="41"/>
      <c r="Q24" s="41"/>
      <c r="R24" s="41"/>
      <c r="S24" s="41"/>
      <c r="T24" s="41"/>
      <c r="U24" s="1"/>
      <c r="V24" s="1" t="s">
        <v>1</v>
      </c>
      <c r="W24" s="1"/>
      <c r="X24" s="1"/>
    </row>
    <row r="25" spans="5:24" ht="14.25">
      <c r="E25" s="1"/>
      <c r="F25" s="1"/>
      <c r="G25">
        <v>12210</v>
      </c>
      <c r="H25">
        <v>144165</v>
      </c>
      <c r="I25" s="1">
        <f>H25+G25</f>
        <v>156375</v>
      </c>
      <c r="J25" s="41"/>
      <c r="K25" s="42"/>
      <c r="L25" s="43"/>
      <c r="M25" s="41"/>
      <c r="N25" s="43">
        <f>G25*100/I25</f>
        <v>7.808153477218226</v>
      </c>
      <c r="O25" s="43">
        <f>H25*100/I25</f>
        <v>92.19184652278177</v>
      </c>
      <c r="P25" s="41">
        <f>O25+N25</f>
        <v>100</v>
      </c>
      <c r="Q25" s="41"/>
      <c r="R25" s="41"/>
      <c r="S25" s="41"/>
      <c r="T25" s="41"/>
      <c r="U25" s="1"/>
      <c r="V25" s="1">
        <f>(G25*4)</f>
        <v>48840</v>
      </c>
      <c r="W25" s="1">
        <f>(H25*4)</f>
        <v>576660</v>
      </c>
      <c r="X25" s="1">
        <f>(I25*4)</f>
        <v>625500</v>
      </c>
    </row>
    <row r="26" spans="1:24" ht="14.25">
      <c r="A26" s="2"/>
      <c r="E26" s="1"/>
      <c r="F26" s="1"/>
      <c r="G26" s="1"/>
      <c r="H26" s="1"/>
      <c r="I26" s="1"/>
      <c r="J26" s="41"/>
      <c r="K26" s="42"/>
      <c r="L26" s="43"/>
      <c r="M26" s="41"/>
      <c r="N26" s="41"/>
      <c r="O26" s="41"/>
      <c r="P26" s="41"/>
      <c r="Q26" s="41"/>
      <c r="R26" s="41"/>
      <c r="S26" s="41"/>
      <c r="T26" s="41"/>
      <c r="U26" s="1"/>
      <c r="V26" s="1"/>
      <c r="W26" s="1"/>
      <c r="X26" s="1"/>
    </row>
    <row r="27" spans="1:27" ht="28.5" customHeight="1">
      <c r="A27" s="2"/>
      <c r="E27" s="1"/>
      <c r="F27" s="3"/>
      <c r="G27" s="3" t="s">
        <v>125</v>
      </c>
      <c r="H27" s="3" t="s">
        <v>0</v>
      </c>
      <c r="I27" s="3"/>
      <c r="J27" s="41"/>
      <c r="K27" s="42"/>
      <c r="L27" s="43"/>
      <c r="M27" s="44"/>
      <c r="N27" s="44" t="s">
        <v>125</v>
      </c>
      <c r="O27" s="44" t="s">
        <v>0</v>
      </c>
      <c r="P27" s="44"/>
      <c r="Q27" s="41"/>
      <c r="R27" s="41"/>
      <c r="S27" s="41"/>
      <c r="T27" s="41"/>
      <c r="U27" s="3"/>
      <c r="V27" s="3" t="s">
        <v>125</v>
      </c>
      <c r="W27" s="3" t="s">
        <v>0</v>
      </c>
      <c r="X27" s="1"/>
      <c r="AA27" s="20"/>
    </row>
    <row r="28" spans="1:24" ht="37.5" customHeight="1">
      <c r="A28">
        <f>E30/G25</f>
        <v>12.807125307125308</v>
      </c>
      <c r="D28" s="50" t="s">
        <v>2</v>
      </c>
      <c r="E28" s="1">
        <v>876</v>
      </c>
      <c r="F28" s="3" t="s">
        <v>125</v>
      </c>
      <c r="G28" s="1">
        <v>195</v>
      </c>
      <c r="H28" s="3">
        <f>E28-G28</f>
        <v>681</v>
      </c>
      <c r="I28" s="3">
        <f>H28+G28</f>
        <v>876</v>
      </c>
      <c r="J28" s="41"/>
      <c r="K28" s="52" t="s">
        <v>2</v>
      </c>
      <c r="L28" s="43">
        <f>E28*100/E30</f>
        <v>0.5601918465227818</v>
      </c>
      <c r="M28" s="44" t="s">
        <v>125</v>
      </c>
      <c r="N28" s="44" t="s">
        <v>17</v>
      </c>
      <c r="O28" s="44" t="s">
        <v>19</v>
      </c>
      <c r="P28" s="44" t="s">
        <v>16</v>
      </c>
      <c r="Q28" s="41"/>
      <c r="R28" s="41"/>
      <c r="S28" s="52" t="s">
        <v>2</v>
      </c>
      <c r="T28" s="41">
        <f>(E28*4)</f>
        <v>3504</v>
      </c>
      <c r="U28" s="3" t="s">
        <v>125</v>
      </c>
      <c r="V28" s="3">
        <f aca="true" t="shared" si="1" ref="V28:X29">(G28*4)</f>
        <v>780</v>
      </c>
      <c r="W28" s="3">
        <f t="shared" si="1"/>
        <v>2724</v>
      </c>
      <c r="X28" s="1">
        <f t="shared" si="1"/>
        <v>3504</v>
      </c>
    </row>
    <row r="29" spans="1:24" ht="37.5" customHeight="1">
      <c r="A29">
        <f>I28/G28</f>
        <v>4.492307692307692</v>
      </c>
      <c r="D29" s="50"/>
      <c r="E29" s="1">
        <v>155499</v>
      </c>
      <c r="F29" s="3" t="s">
        <v>0</v>
      </c>
      <c r="G29" s="3">
        <f>G25-G28</f>
        <v>12015</v>
      </c>
      <c r="H29" s="3">
        <f>H25-H28</f>
        <v>143484</v>
      </c>
      <c r="I29" s="3">
        <f>H29+G29</f>
        <v>155499</v>
      </c>
      <c r="J29" s="41"/>
      <c r="K29" s="52"/>
      <c r="L29" s="43">
        <f>E29*100/E30</f>
        <v>99.43980815347722</v>
      </c>
      <c r="M29" s="44" t="s">
        <v>0</v>
      </c>
      <c r="N29" s="44" t="s">
        <v>18</v>
      </c>
      <c r="O29" s="44" t="s">
        <v>20</v>
      </c>
      <c r="P29" s="44" t="s">
        <v>16</v>
      </c>
      <c r="Q29" s="41"/>
      <c r="R29" s="41"/>
      <c r="S29" s="52"/>
      <c r="T29" s="41">
        <f>(E29*4)</f>
        <v>621996</v>
      </c>
      <c r="U29" s="3" t="s">
        <v>0</v>
      </c>
      <c r="V29" s="3">
        <f t="shared" si="1"/>
        <v>48060</v>
      </c>
      <c r="W29" s="3">
        <f t="shared" si="1"/>
        <v>573936</v>
      </c>
      <c r="X29" s="1">
        <f t="shared" si="1"/>
        <v>621996</v>
      </c>
    </row>
    <row r="30" spans="5:24" ht="28.5" customHeight="1">
      <c r="E30" s="1">
        <f>E29+E28</f>
        <v>156375</v>
      </c>
      <c r="F30" s="1"/>
      <c r="G30" s="1">
        <f>G29+G28</f>
        <v>12210</v>
      </c>
      <c r="H30" s="1">
        <f>H29+H28</f>
        <v>144165</v>
      </c>
      <c r="I30" s="1"/>
      <c r="J30" s="41"/>
      <c r="K30" s="42"/>
      <c r="L30" s="43">
        <f>L29+L28</f>
        <v>100</v>
      </c>
      <c r="M30" s="41"/>
      <c r="N30" s="43" t="s">
        <v>15</v>
      </c>
      <c r="O30" s="43" t="s">
        <v>15</v>
      </c>
      <c r="P30" s="43">
        <f>G28*100/I28</f>
        <v>22.26027397260274</v>
      </c>
      <c r="Q30" s="43">
        <f>H28*100/I28</f>
        <v>77.73972602739725</v>
      </c>
      <c r="R30" s="43"/>
      <c r="S30" s="41"/>
      <c r="T30" s="41">
        <f>(E30*4)</f>
        <v>625500</v>
      </c>
      <c r="U30" s="1"/>
      <c r="V30" s="1">
        <f>(G30*4)</f>
        <v>48840</v>
      </c>
      <c r="W30" s="1">
        <f>(H30*4)</f>
        <v>576660</v>
      </c>
      <c r="X30" s="1"/>
    </row>
    <row r="31" spans="10:20" ht="14.25">
      <c r="J31" s="42"/>
      <c r="K31" s="42"/>
      <c r="L31" s="45"/>
      <c r="M31" s="42"/>
      <c r="N31" s="46">
        <f>G28*100/G30</f>
        <v>1.597051597051597</v>
      </c>
      <c r="O31" s="46">
        <f>H28*100/H30</f>
        <v>0.47237540318385185</v>
      </c>
      <c r="P31" s="43">
        <f>G29*100/I29</f>
        <v>7.726737792525997</v>
      </c>
      <c r="Q31" s="43">
        <f>H29*100/I29</f>
        <v>92.273262207474</v>
      </c>
      <c r="R31" s="43"/>
      <c r="S31" s="42"/>
      <c r="T31" s="42"/>
    </row>
    <row r="32" spans="10:20" ht="14.25">
      <c r="J32" s="42"/>
      <c r="K32" s="42"/>
      <c r="L32" s="45"/>
      <c r="M32" s="42"/>
      <c r="N32" s="46">
        <f>G29*100/G30</f>
        <v>98.4029484029484</v>
      </c>
      <c r="O32" s="46">
        <f>H29*100/H30</f>
        <v>99.52762459681615</v>
      </c>
      <c r="P32" s="46"/>
      <c r="Q32" s="46"/>
      <c r="R32" s="46"/>
      <c r="S32" s="42"/>
      <c r="T32" s="42"/>
    </row>
    <row r="33" spans="10:20" ht="14.25">
      <c r="J33" s="42"/>
      <c r="K33" s="42"/>
      <c r="L33" s="45"/>
      <c r="M33" s="42"/>
      <c r="N33" s="46"/>
      <c r="O33" s="46"/>
      <c r="P33" s="42"/>
      <c r="Q33" s="42"/>
      <c r="R33" s="42"/>
      <c r="S33" s="42"/>
      <c r="T33" s="42"/>
    </row>
    <row r="34" spans="10:20" ht="14.25">
      <c r="J34" s="42"/>
      <c r="K34" s="42"/>
      <c r="L34" s="45"/>
      <c r="M34" s="42"/>
      <c r="N34" s="42"/>
      <c r="O34" s="42"/>
      <c r="P34" s="42"/>
      <c r="Q34" s="42"/>
      <c r="R34" s="42"/>
      <c r="S34" s="42"/>
      <c r="T34" s="42"/>
    </row>
    <row r="35" spans="10:20" ht="14.25">
      <c r="J35" s="42"/>
      <c r="K35" s="42"/>
      <c r="L35" s="45"/>
      <c r="M35" s="42"/>
      <c r="N35" s="42"/>
      <c r="O35" s="42"/>
      <c r="P35" s="42"/>
      <c r="Q35" s="42"/>
      <c r="R35" s="42"/>
      <c r="S35" s="42"/>
      <c r="T35" s="42"/>
    </row>
    <row r="36" spans="10:20" ht="14.25">
      <c r="J36" s="42"/>
      <c r="K36" s="42"/>
      <c r="L36" s="45"/>
      <c r="M36" s="42"/>
      <c r="N36" s="42"/>
      <c r="O36" s="42"/>
      <c r="P36" s="42"/>
      <c r="Q36" s="42"/>
      <c r="R36" s="42"/>
      <c r="S36" s="42"/>
      <c r="T36" s="42"/>
    </row>
    <row r="37" ht="14.25">
      <c r="L37" s="6"/>
    </row>
    <row r="38" ht="14.25">
      <c r="L38" s="6"/>
    </row>
    <row r="39" ht="14.25">
      <c r="L39" s="6"/>
    </row>
    <row r="40" ht="14.25">
      <c r="L40" s="6"/>
    </row>
    <row r="41" ht="14.25">
      <c r="L41" s="6"/>
    </row>
    <row r="42" ht="14.25">
      <c r="L42" s="6"/>
    </row>
    <row r="43" ht="14.25">
      <c r="L43" s="6"/>
    </row>
    <row r="44" ht="14.25">
      <c r="L44" s="6"/>
    </row>
    <row r="45" ht="14.25">
      <c r="L45" s="6"/>
    </row>
    <row r="46" ht="14.25">
      <c r="L46" s="6"/>
    </row>
    <row r="47" ht="14.25">
      <c r="L47" s="6"/>
    </row>
    <row r="48" ht="14.25">
      <c r="L48" s="6"/>
    </row>
    <row r="49" ht="14.25">
      <c r="L49" s="6"/>
    </row>
    <row r="50" ht="14.25">
      <c r="L50" s="6"/>
    </row>
  </sheetData>
  <sheetProtection/>
  <mergeCells count="10">
    <mergeCell ref="D17:D18"/>
    <mergeCell ref="G13:H13"/>
    <mergeCell ref="S17:S18"/>
    <mergeCell ref="G24:H24"/>
    <mergeCell ref="D28:D29"/>
    <mergeCell ref="S28:S29"/>
    <mergeCell ref="N13:O13"/>
    <mergeCell ref="K17:K18"/>
    <mergeCell ref="N24:O24"/>
    <mergeCell ref="K28:K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zoomScale="85" zoomScaleNormal="85" zoomScalePageLayoutView="0" workbookViewId="0" topLeftCell="B1">
      <selection activeCell="F24" sqref="F24"/>
    </sheetView>
  </sheetViews>
  <sheetFormatPr defaultColWidth="9.140625" defaultRowHeight="15"/>
  <cols>
    <col min="1" max="1" width="34.00390625" style="0" bestFit="1" customWidth="1"/>
    <col min="11" max="11" width="3.421875" style="0" customWidth="1"/>
    <col min="14" max="15" width="11.7109375" style="0" bestFit="1" customWidth="1"/>
    <col min="20" max="20" width="8.8515625" style="13" customWidth="1"/>
    <col min="21" max="24" width="8.8515625" style="15" customWidth="1"/>
  </cols>
  <sheetData>
    <row r="1" spans="1:24" ht="14.25">
      <c r="A1" t="s">
        <v>147</v>
      </c>
      <c r="T1"/>
      <c r="U1"/>
      <c r="V1"/>
      <c r="W1"/>
      <c r="X1"/>
    </row>
    <row r="2" spans="1:24" ht="15">
      <c r="A2" s="47" t="s">
        <v>148</v>
      </c>
      <c r="T2"/>
      <c r="U2"/>
      <c r="V2"/>
      <c r="W2"/>
      <c r="X2"/>
    </row>
    <row r="3" spans="1:24" ht="14.25">
      <c r="A3" t="s">
        <v>149</v>
      </c>
      <c r="T3"/>
      <c r="U3"/>
      <c r="V3"/>
      <c r="W3"/>
      <c r="X3"/>
    </row>
    <row r="4" spans="1:24" ht="14.25">
      <c r="A4" t="s">
        <v>150</v>
      </c>
      <c r="T4"/>
      <c r="U4"/>
      <c r="V4"/>
      <c r="W4"/>
      <c r="X4"/>
    </row>
    <row r="8" spans="1:20" ht="14.25">
      <c r="A8" t="s">
        <v>144</v>
      </c>
      <c r="E8" t="s">
        <v>7</v>
      </c>
      <c r="L8" t="s">
        <v>21</v>
      </c>
      <c r="T8" s="13" t="s">
        <v>6</v>
      </c>
    </row>
    <row r="9" spans="5:24" ht="14.25">
      <c r="E9" s="1"/>
      <c r="F9" s="1"/>
      <c r="G9" s="51" t="s">
        <v>1</v>
      </c>
      <c r="H9" s="51"/>
      <c r="I9" s="1"/>
      <c r="J9" s="1"/>
      <c r="L9" s="1"/>
      <c r="M9" s="1"/>
      <c r="N9" s="51" t="s">
        <v>1</v>
      </c>
      <c r="O9" s="51"/>
      <c r="P9" s="1"/>
      <c r="Q9" s="1"/>
      <c r="R9" s="1"/>
      <c r="S9" s="1"/>
      <c r="T9" s="14"/>
      <c r="U9" s="16"/>
      <c r="V9" s="16" t="s">
        <v>1</v>
      </c>
      <c r="W9" s="16"/>
      <c r="X9" s="16"/>
    </row>
    <row r="10" spans="5:24" ht="14.25">
      <c r="E10" s="1"/>
      <c r="F10" s="1"/>
      <c r="G10">
        <v>3671</v>
      </c>
      <c r="H10">
        <v>152704</v>
      </c>
      <c r="I10" s="1">
        <f>H10+G10</f>
        <v>156375</v>
      </c>
      <c r="J10" s="1"/>
      <c r="L10" s="1"/>
      <c r="M10" s="1"/>
      <c r="N10" s="5">
        <f>G10*100/I10</f>
        <v>2.347561950439648</v>
      </c>
      <c r="O10" s="5">
        <f>H10*100/I10</f>
        <v>97.65243804956035</v>
      </c>
      <c r="P10" s="1">
        <f>O10+N10</f>
        <v>100</v>
      </c>
      <c r="Q10" s="1"/>
      <c r="R10" s="1"/>
      <c r="S10" s="1"/>
      <c r="T10" s="14"/>
      <c r="U10" s="16"/>
      <c r="V10" s="16">
        <f>(G10*4)</f>
        <v>14684</v>
      </c>
      <c r="W10" s="16">
        <f>(H10*4)</f>
        <v>610816</v>
      </c>
      <c r="X10" s="16">
        <f>(I10*4)</f>
        <v>625500</v>
      </c>
    </row>
    <row r="11" spans="5:24" ht="14.25">
      <c r="E11" s="1"/>
      <c r="F11" s="1"/>
      <c r="G11" s="1"/>
      <c r="H11" s="1"/>
      <c r="I11" s="1"/>
      <c r="J11" s="1"/>
      <c r="L11" s="1"/>
      <c r="M11" s="1"/>
      <c r="N11" s="1"/>
      <c r="O11" s="1"/>
      <c r="P11" s="1"/>
      <c r="Q11" s="1"/>
      <c r="R11" s="1"/>
      <c r="S11" s="1"/>
      <c r="T11" s="14"/>
      <c r="U11" s="16"/>
      <c r="V11" s="16"/>
      <c r="W11" s="16"/>
      <c r="X11" s="16"/>
    </row>
    <row r="12" spans="5:24" ht="14.25">
      <c r="E12" s="1"/>
      <c r="F12" s="3"/>
      <c r="G12" s="3" t="s">
        <v>125</v>
      </c>
      <c r="H12" s="3" t="s">
        <v>0</v>
      </c>
      <c r="I12" s="3"/>
      <c r="J12" s="1"/>
      <c r="L12" s="1"/>
      <c r="M12" s="3"/>
      <c r="N12" s="3" t="s">
        <v>125</v>
      </c>
      <c r="O12" s="3" t="s">
        <v>0</v>
      </c>
      <c r="P12" s="3"/>
      <c r="Q12" s="1"/>
      <c r="R12" s="1"/>
      <c r="S12" s="1"/>
      <c r="T12" s="14"/>
      <c r="U12" s="17"/>
      <c r="V12" s="17" t="s">
        <v>125</v>
      </c>
      <c r="W12" s="17" t="s">
        <v>0</v>
      </c>
      <c r="X12" s="16"/>
    </row>
    <row r="13" spans="1:24" ht="30" customHeight="1">
      <c r="A13">
        <f>E15/G10</f>
        <v>42.59738490874421</v>
      </c>
      <c r="D13" s="50" t="s">
        <v>2</v>
      </c>
      <c r="E13" s="1">
        <v>876</v>
      </c>
      <c r="F13" s="3" t="s">
        <v>125</v>
      </c>
      <c r="G13" s="1">
        <v>80</v>
      </c>
      <c r="H13" s="3">
        <f>E13-G13</f>
        <v>796</v>
      </c>
      <c r="I13" s="3">
        <f>H13+G13</f>
        <v>876</v>
      </c>
      <c r="J13" s="1"/>
      <c r="K13" s="50" t="s">
        <v>2</v>
      </c>
      <c r="L13" s="5">
        <f>E13*100/E15</f>
        <v>0.5601918465227818</v>
      </c>
      <c r="M13" s="3" t="s">
        <v>125</v>
      </c>
      <c r="N13" s="8" t="s">
        <v>22</v>
      </c>
      <c r="O13" s="8" t="s">
        <v>24</v>
      </c>
      <c r="P13" s="3" t="s">
        <v>16</v>
      </c>
      <c r="Q13" s="1"/>
      <c r="R13" s="1"/>
      <c r="S13" s="50" t="s">
        <v>2</v>
      </c>
      <c r="T13" s="14">
        <f>(E13*4)</f>
        <v>3504</v>
      </c>
      <c r="U13" s="17" t="s">
        <v>125</v>
      </c>
      <c r="V13" s="17">
        <f aca="true" t="shared" si="0" ref="V13:X14">(G13*4)</f>
        <v>320</v>
      </c>
      <c r="W13" s="17">
        <f t="shared" si="0"/>
        <v>3184</v>
      </c>
      <c r="X13" s="16">
        <f t="shared" si="0"/>
        <v>3504</v>
      </c>
    </row>
    <row r="14" spans="1:24" ht="30" customHeight="1">
      <c r="A14">
        <f>I13/G13</f>
        <v>10.95</v>
      </c>
      <c r="D14" s="50"/>
      <c r="E14" s="1">
        <v>155499</v>
      </c>
      <c r="F14" s="3" t="s">
        <v>0</v>
      </c>
      <c r="G14" s="3">
        <f>G10-G13</f>
        <v>3591</v>
      </c>
      <c r="H14" s="3">
        <f>H10-H13</f>
        <v>151908</v>
      </c>
      <c r="I14" s="3">
        <f>H14+G14</f>
        <v>155499</v>
      </c>
      <c r="J14" s="1"/>
      <c r="K14" s="50"/>
      <c r="L14" s="5">
        <f>E14*100/E15</f>
        <v>99.43980815347722</v>
      </c>
      <c r="M14" s="3" t="s">
        <v>0</v>
      </c>
      <c r="N14" s="8" t="s">
        <v>23</v>
      </c>
      <c r="O14" s="8" t="s">
        <v>25</v>
      </c>
      <c r="P14" s="3" t="s">
        <v>16</v>
      </c>
      <c r="Q14" s="1"/>
      <c r="R14" s="1"/>
      <c r="S14" s="50"/>
      <c r="T14" s="14">
        <f>(E14*4)</f>
        <v>621996</v>
      </c>
      <c r="U14" s="17" t="s">
        <v>0</v>
      </c>
      <c r="V14" s="17">
        <f t="shared" si="0"/>
        <v>14364</v>
      </c>
      <c r="W14" s="17">
        <f t="shared" si="0"/>
        <v>607632</v>
      </c>
      <c r="X14" s="16">
        <f t="shared" si="0"/>
        <v>621996</v>
      </c>
    </row>
    <row r="15" spans="5:24" ht="14.25">
      <c r="E15" s="1">
        <f>E14+E13</f>
        <v>156375</v>
      </c>
      <c r="F15" s="1"/>
      <c r="G15" s="1">
        <f>G14+G13</f>
        <v>3671</v>
      </c>
      <c r="H15" s="1">
        <f>H14+H13</f>
        <v>152704</v>
      </c>
      <c r="I15" s="1"/>
      <c r="J15" s="1"/>
      <c r="L15" s="5">
        <f>L14+L13</f>
        <v>100</v>
      </c>
      <c r="M15" s="1"/>
      <c r="N15" s="5" t="s">
        <v>15</v>
      </c>
      <c r="O15" s="5" t="s">
        <v>15</v>
      </c>
      <c r="P15" s="9">
        <f>G13*100/I13</f>
        <v>9.132420091324201</v>
      </c>
      <c r="Q15" s="5">
        <f>H13*100/I13</f>
        <v>90.8675799086758</v>
      </c>
      <c r="R15" s="1"/>
      <c r="S15" s="1"/>
      <c r="T15" s="14">
        <f>(E15*4)</f>
        <v>625500</v>
      </c>
      <c r="U15" s="16"/>
      <c r="V15" s="16">
        <f>(G15*4)</f>
        <v>14684</v>
      </c>
      <c r="W15" s="16">
        <f>(H15*4)</f>
        <v>610816</v>
      </c>
      <c r="X15" s="16"/>
    </row>
    <row r="16" spans="12:20" ht="14.25">
      <c r="L16" s="6"/>
      <c r="N16" s="10">
        <f>G13*100/G15</f>
        <v>2.179242713157178</v>
      </c>
      <c r="O16" s="7">
        <f>H13*100/H15</f>
        <v>0.5212699077954736</v>
      </c>
      <c r="P16" s="5">
        <f>G14*100/I14</f>
        <v>2.3093396099010284</v>
      </c>
      <c r="Q16" s="5">
        <f>H14*100/I14</f>
        <v>97.69066039009897</v>
      </c>
      <c r="T16" s="19"/>
    </row>
    <row r="17" spans="12:17" ht="14.25">
      <c r="L17" s="6"/>
      <c r="N17" s="7">
        <f>G14*100/G15</f>
        <v>97.82075728684282</v>
      </c>
      <c r="O17" s="7">
        <f>H14*100/H15</f>
        <v>99.47873009220453</v>
      </c>
      <c r="P17" s="7"/>
      <c r="Q17" s="7"/>
    </row>
    <row r="18" spans="12:17" ht="14.25">
      <c r="L18" s="6"/>
      <c r="N18" s="7"/>
      <c r="O18" s="7"/>
      <c r="P18" s="7"/>
      <c r="Q18" s="7"/>
    </row>
    <row r="19" spans="1:20" ht="14.25">
      <c r="A19" t="s">
        <v>145</v>
      </c>
      <c r="E19" t="s">
        <v>7</v>
      </c>
      <c r="L19" s="6" t="s">
        <v>21</v>
      </c>
      <c r="T19" s="13" t="s">
        <v>6</v>
      </c>
    </row>
    <row r="20" spans="5:24" ht="14.25">
      <c r="E20" s="1"/>
      <c r="F20" s="1"/>
      <c r="G20" s="51" t="s">
        <v>1</v>
      </c>
      <c r="H20" s="51"/>
      <c r="I20" s="1"/>
      <c r="J20" s="1"/>
      <c r="L20" s="5"/>
      <c r="M20" s="1"/>
      <c r="N20" s="51" t="s">
        <v>1</v>
      </c>
      <c r="O20" s="51"/>
      <c r="P20" s="1"/>
      <c r="Q20" s="1"/>
      <c r="R20" s="1"/>
      <c r="S20" s="1"/>
      <c r="T20" s="14"/>
      <c r="U20" s="16"/>
      <c r="V20" s="16" t="s">
        <v>1</v>
      </c>
      <c r="W20" s="16"/>
      <c r="X20" s="16"/>
    </row>
    <row r="21" spans="5:24" ht="14.25">
      <c r="E21" s="1"/>
      <c r="F21" s="1"/>
      <c r="G21">
        <v>1515</v>
      </c>
      <c r="H21">
        <v>154860</v>
      </c>
      <c r="I21" s="1">
        <f>H21+G21</f>
        <v>156375</v>
      </c>
      <c r="J21" s="1"/>
      <c r="L21" s="5"/>
      <c r="M21" s="1"/>
      <c r="N21" s="5">
        <f>G21*100/I21</f>
        <v>0.9688249400479616</v>
      </c>
      <c r="O21" s="5">
        <f>H21*100/I21</f>
        <v>99.03117505995203</v>
      </c>
      <c r="P21" s="1">
        <f>O21+N21</f>
        <v>100</v>
      </c>
      <c r="Q21" s="1"/>
      <c r="R21" s="1"/>
      <c r="S21" s="1"/>
      <c r="T21" s="14"/>
      <c r="U21" s="16"/>
      <c r="V21" s="16">
        <f>(G21*4)</f>
        <v>6060</v>
      </c>
      <c r="W21" s="16">
        <f>(H21*4)</f>
        <v>619440</v>
      </c>
      <c r="X21" s="16">
        <f>(I21*4)</f>
        <v>625500</v>
      </c>
    </row>
    <row r="22" spans="1:24" ht="14.25">
      <c r="A22" s="2"/>
      <c r="E22" s="1"/>
      <c r="F22" s="1"/>
      <c r="G22" s="1"/>
      <c r="H22" s="1"/>
      <c r="I22" s="1"/>
      <c r="J22" s="1"/>
      <c r="L22" s="5"/>
      <c r="M22" s="1"/>
      <c r="N22" s="1"/>
      <c r="O22" s="1"/>
      <c r="P22" s="1"/>
      <c r="Q22" s="1"/>
      <c r="R22" s="1"/>
      <c r="S22" s="1"/>
      <c r="T22" s="14"/>
      <c r="U22" s="16"/>
      <c r="V22" s="16"/>
      <c r="W22" s="16"/>
      <c r="X22" s="16"/>
    </row>
    <row r="23" spans="1:24" ht="14.25">
      <c r="A23" s="2"/>
      <c r="E23" s="1"/>
      <c r="F23" s="3"/>
      <c r="G23" s="3" t="s">
        <v>125</v>
      </c>
      <c r="H23" s="3" t="s">
        <v>0</v>
      </c>
      <c r="I23" s="3"/>
      <c r="J23" s="1"/>
      <c r="L23" s="5"/>
      <c r="M23" s="3"/>
      <c r="N23" s="3" t="s">
        <v>125</v>
      </c>
      <c r="O23" s="3" t="s">
        <v>0</v>
      </c>
      <c r="P23" s="3"/>
      <c r="Q23" s="1"/>
      <c r="R23" s="1"/>
      <c r="S23" s="1"/>
      <c r="T23" s="14"/>
      <c r="U23" s="17"/>
      <c r="V23" s="17" t="s">
        <v>125</v>
      </c>
      <c r="W23" s="17" t="s">
        <v>0</v>
      </c>
      <c r="X23" s="16"/>
    </row>
    <row r="24" spans="1:24" ht="31.5" customHeight="1">
      <c r="A24">
        <f>E26/G21</f>
        <v>103.21782178217822</v>
      </c>
      <c r="D24" s="50" t="s">
        <v>2</v>
      </c>
      <c r="E24" s="1">
        <v>876</v>
      </c>
      <c r="F24" s="3" t="s">
        <v>125</v>
      </c>
      <c r="G24" s="1">
        <v>58</v>
      </c>
      <c r="H24" s="3">
        <f>E24-G24</f>
        <v>818</v>
      </c>
      <c r="I24" s="3">
        <f>H24+G24</f>
        <v>876</v>
      </c>
      <c r="J24" s="1"/>
      <c r="K24" s="50" t="s">
        <v>2</v>
      </c>
      <c r="L24" s="5">
        <f>E24*100/E26</f>
        <v>0.5601918465227818</v>
      </c>
      <c r="M24" s="3" t="s">
        <v>125</v>
      </c>
      <c r="N24" s="3" t="s">
        <v>26</v>
      </c>
      <c r="O24" s="3" t="s">
        <v>28</v>
      </c>
      <c r="P24" s="3" t="s">
        <v>16</v>
      </c>
      <c r="Q24" s="1"/>
      <c r="R24" s="1"/>
      <c r="S24" s="50" t="s">
        <v>2</v>
      </c>
      <c r="T24" s="14">
        <f>(E24*4)</f>
        <v>3504</v>
      </c>
      <c r="U24" s="17" t="s">
        <v>125</v>
      </c>
      <c r="V24" s="17">
        <f aca="true" t="shared" si="1" ref="V24:X25">(G24*4)</f>
        <v>232</v>
      </c>
      <c r="W24" s="17">
        <f t="shared" si="1"/>
        <v>3272</v>
      </c>
      <c r="X24" s="16">
        <f t="shared" si="1"/>
        <v>3504</v>
      </c>
    </row>
    <row r="25" spans="1:24" ht="31.5" customHeight="1">
      <c r="A25">
        <f>I24/G24</f>
        <v>15.10344827586207</v>
      </c>
      <c r="D25" s="50"/>
      <c r="E25" s="1">
        <v>155499</v>
      </c>
      <c r="F25" s="3" t="s">
        <v>0</v>
      </c>
      <c r="G25" s="3">
        <f>G21-G24</f>
        <v>1457</v>
      </c>
      <c r="H25" s="3">
        <f>H21-H24</f>
        <v>154042</v>
      </c>
      <c r="I25" s="3">
        <f>H25+G25</f>
        <v>155499</v>
      </c>
      <c r="J25" s="1"/>
      <c r="K25" s="50"/>
      <c r="L25" s="5">
        <f>E25*100/E26</f>
        <v>99.43980815347722</v>
      </c>
      <c r="M25" s="3" t="s">
        <v>0</v>
      </c>
      <c r="N25" s="3" t="s">
        <v>27</v>
      </c>
      <c r="O25" s="3" t="s">
        <v>29</v>
      </c>
      <c r="P25" s="3" t="s">
        <v>16</v>
      </c>
      <c r="Q25" s="1"/>
      <c r="R25" s="1"/>
      <c r="S25" s="50"/>
      <c r="T25" s="14">
        <f>(E25*4)</f>
        <v>621996</v>
      </c>
      <c r="U25" s="17" t="s">
        <v>0</v>
      </c>
      <c r="V25" s="17">
        <f t="shared" si="1"/>
        <v>5828</v>
      </c>
      <c r="W25" s="17">
        <f t="shared" si="1"/>
        <v>616168</v>
      </c>
      <c r="X25" s="16">
        <f t="shared" si="1"/>
        <v>621996</v>
      </c>
    </row>
    <row r="26" spans="5:24" ht="14.25">
      <c r="E26" s="1">
        <f>E25+E24</f>
        <v>156375</v>
      </c>
      <c r="F26" s="1"/>
      <c r="G26" s="1">
        <f>G25+G24</f>
        <v>1515</v>
      </c>
      <c r="H26" s="1">
        <f>H25+H24</f>
        <v>154860</v>
      </c>
      <c r="I26" s="1"/>
      <c r="J26" s="1"/>
      <c r="L26" s="1">
        <f>L25+L24</f>
        <v>100</v>
      </c>
      <c r="M26" s="1"/>
      <c r="N26" s="5" t="s">
        <v>15</v>
      </c>
      <c r="O26" s="5" t="s">
        <v>15</v>
      </c>
      <c r="P26" s="9">
        <f>G24*100/I24</f>
        <v>6.621004566210046</v>
      </c>
      <c r="Q26" s="5">
        <f>H24*100/I24</f>
        <v>93.37899543378995</v>
      </c>
      <c r="R26" s="1"/>
      <c r="S26" s="1"/>
      <c r="T26" s="14">
        <f>(E26*4)</f>
        <v>625500</v>
      </c>
      <c r="U26" s="16"/>
      <c r="V26" s="16">
        <f>(G26*4)</f>
        <v>6060</v>
      </c>
      <c r="W26" s="16">
        <f>(H26*4)</f>
        <v>619440</v>
      </c>
      <c r="X26" s="16"/>
    </row>
    <row r="27" spans="14:17" ht="14.25">
      <c r="N27" s="10">
        <f>G24*100/G26</f>
        <v>3.8283828382838285</v>
      </c>
      <c r="O27" s="7">
        <f>H24*100/H26</f>
        <v>0.5282190365491412</v>
      </c>
      <c r="P27" s="5">
        <f>G25*100/I25</f>
        <v>0.9369835175788912</v>
      </c>
      <c r="Q27" s="5">
        <f>H25*100/I25</f>
        <v>99.0630164824211</v>
      </c>
    </row>
    <row r="28" spans="14:17" ht="14.25">
      <c r="N28" s="7">
        <f>G25*100/G26</f>
        <v>96.17161716171617</v>
      </c>
      <c r="O28" s="7">
        <f>H25*100/H26</f>
        <v>99.47178096345085</v>
      </c>
      <c r="P28" s="7"/>
      <c r="Q28" s="7"/>
    </row>
    <row r="29" spans="14:15" ht="14.25">
      <c r="N29" s="7"/>
      <c r="O29" s="7"/>
    </row>
    <row r="31" ht="14.25">
      <c r="A31" t="s">
        <v>44</v>
      </c>
    </row>
  </sheetData>
  <sheetProtection/>
  <mergeCells count="10">
    <mergeCell ref="G9:H9"/>
    <mergeCell ref="D13:D14"/>
    <mergeCell ref="S13:S14"/>
    <mergeCell ref="G20:H20"/>
    <mergeCell ref="D24:D25"/>
    <mergeCell ref="S24:S25"/>
    <mergeCell ref="N9:O9"/>
    <mergeCell ref="K13:K14"/>
    <mergeCell ref="N20:O20"/>
    <mergeCell ref="K24:K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zoomScale="85" zoomScaleNormal="85" zoomScalePageLayoutView="0" workbookViewId="0" topLeftCell="B3">
      <selection activeCell="F29" sqref="F29"/>
    </sheetView>
  </sheetViews>
  <sheetFormatPr defaultColWidth="9.140625" defaultRowHeight="15"/>
  <cols>
    <col min="1" max="1" width="33.57421875" style="0" bestFit="1" customWidth="1"/>
    <col min="4" max="4" width="8.28125" style="0" bestFit="1" customWidth="1"/>
    <col min="5" max="9" width="8.8515625" style="15" customWidth="1"/>
    <col min="11" max="11" width="3.421875" style="0" customWidth="1"/>
    <col min="14" max="15" width="11.7109375" style="0" bestFit="1" customWidth="1"/>
  </cols>
  <sheetData>
    <row r="1" spans="1:9" ht="14.25">
      <c r="A1" t="s">
        <v>147</v>
      </c>
      <c r="E1"/>
      <c r="F1"/>
      <c r="G1"/>
      <c r="H1"/>
      <c r="I1"/>
    </row>
    <row r="2" spans="1:9" ht="15">
      <c r="A2" s="47" t="s">
        <v>148</v>
      </c>
      <c r="E2"/>
      <c r="F2"/>
      <c r="G2"/>
      <c r="H2"/>
      <c r="I2"/>
    </row>
    <row r="3" spans="1:9" ht="14.25">
      <c r="A3" t="s">
        <v>149</v>
      </c>
      <c r="E3"/>
      <c r="F3"/>
      <c r="G3"/>
      <c r="H3"/>
      <c r="I3"/>
    </row>
    <row r="4" spans="1:9" ht="14.25">
      <c r="A4" t="s">
        <v>150</v>
      </c>
      <c r="E4"/>
      <c r="F4"/>
      <c r="G4"/>
      <c r="H4"/>
      <c r="I4"/>
    </row>
    <row r="9" spans="1:20" ht="14.25">
      <c r="A9" t="s">
        <v>144</v>
      </c>
      <c r="E9" s="15" t="s">
        <v>7</v>
      </c>
      <c r="L9" t="s">
        <v>21</v>
      </c>
      <c r="T9" t="s">
        <v>6</v>
      </c>
    </row>
    <row r="10" spans="5:24" ht="14.25">
      <c r="E10" s="16"/>
      <c r="F10" s="16"/>
      <c r="G10" s="54" t="s">
        <v>1</v>
      </c>
      <c r="H10" s="54"/>
      <c r="I10" s="16"/>
      <c r="J10" s="1"/>
      <c r="L10" s="1"/>
      <c r="M10" s="1"/>
      <c r="N10" s="51" t="s">
        <v>1</v>
      </c>
      <c r="O10" s="51"/>
      <c r="P10" s="1"/>
      <c r="Q10" s="1"/>
      <c r="R10" s="1"/>
      <c r="S10" s="1"/>
      <c r="T10" s="1"/>
      <c r="U10" s="1"/>
      <c r="V10" s="1" t="s">
        <v>1</v>
      </c>
      <c r="W10" s="1"/>
      <c r="X10" s="1"/>
    </row>
    <row r="11" spans="5:24" ht="14.25">
      <c r="E11" s="16">
        <f>E16-G11</f>
        <v>154333</v>
      </c>
      <c r="F11" s="16"/>
      <c r="G11" s="15">
        <v>2042</v>
      </c>
      <c r="H11" s="15">
        <v>154333</v>
      </c>
      <c r="I11" s="16">
        <f>H11+G11</f>
        <v>156375</v>
      </c>
      <c r="J11" s="1"/>
      <c r="L11" s="1"/>
      <c r="M11" s="1"/>
      <c r="N11" s="5">
        <f>G11*100/I11</f>
        <v>1.3058353317346123</v>
      </c>
      <c r="O11" s="5">
        <f>H11*100/I11</f>
        <v>98.69416466826539</v>
      </c>
      <c r="P11" s="1">
        <f>O11+N11</f>
        <v>100</v>
      </c>
      <c r="Q11" s="1"/>
      <c r="R11" s="1"/>
      <c r="S11" s="1"/>
      <c r="T11" s="1"/>
      <c r="U11" s="1"/>
      <c r="V11" s="1">
        <f>(G11*4)</f>
        <v>8168</v>
      </c>
      <c r="W11" s="1">
        <f>(H11*4)</f>
        <v>617332</v>
      </c>
      <c r="X11" s="1">
        <f>(I11*4)</f>
        <v>625500</v>
      </c>
    </row>
    <row r="12" spans="5:24" ht="14.25">
      <c r="E12" s="16"/>
      <c r="F12" s="16"/>
      <c r="G12" s="16"/>
      <c r="H12" s="16"/>
      <c r="I12" s="16"/>
      <c r="J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5:24" ht="14.25">
      <c r="E13" s="16"/>
      <c r="F13" s="17"/>
      <c r="G13" s="17" t="s">
        <v>125</v>
      </c>
      <c r="H13" s="17" t="s">
        <v>0</v>
      </c>
      <c r="I13" s="17"/>
      <c r="J13" s="1"/>
      <c r="L13" s="1"/>
      <c r="M13" s="3"/>
      <c r="N13" s="3" t="s">
        <v>125</v>
      </c>
      <c r="O13" s="3" t="s">
        <v>0</v>
      </c>
      <c r="P13" s="3"/>
      <c r="Q13" s="1"/>
      <c r="R13" s="1"/>
      <c r="S13" s="1"/>
      <c r="T13" s="1"/>
      <c r="U13" s="3"/>
      <c r="V13" s="3" t="s">
        <v>125</v>
      </c>
      <c r="W13" s="3" t="s">
        <v>0</v>
      </c>
      <c r="X13" s="1"/>
    </row>
    <row r="14" spans="1:24" ht="34.5" customHeight="1">
      <c r="A14">
        <f>E16/G11</f>
        <v>76.57933398628795</v>
      </c>
      <c r="D14" s="50" t="s">
        <v>2</v>
      </c>
      <c r="E14" s="16">
        <v>876</v>
      </c>
      <c r="F14" s="17" t="s">
        <v>125</v>
      </c>
      <c r="G14" s="16">
        <v>22</v>
      </c>
      <c r="H14" s="17">
        <f>E14-G14</f>
        <v>854</v>
      </c>
      <c r="I14" s="17">
        <f>H14+G14</f>
        <v>876</v>
      </c>
      <c r="J14" s="1"/>
      <c r="K14" s="50" t="s">
        <v>2</v>
      </c>
      <c r="L14" s="5">
        <f>E14*100/E16</f>
        <v>0.5601918465227818</v>
      </c>
      <c r="M14" s="3" t="s">
        <v>125</v>
      </c>
      <c r="N14" s="3" t="s">
        <v>30</v>
      </c>
      <c r="O14" s="3" t="s">
        <v>32</v>
      </c>
      <c r="P14" s="3" t="s">
        <v>16</v>
      </c>
      <c r="Q14" s="1"/>
      <c r="R14" s="1"/>
      <c r="S14" s="50" t="s">
        <v>2</v>
      </c>
      <c r="T14" s="1">
        <f>(E14*4)</f>
        <v>3504</v>
      </c>
      <c r="U14" s="3" t="s">
        <v>125</v>
      </c>
      <c r="V14" s="3">
        <f aca="true" t="shared" si="0" ref="V14:X15">(G14*4)</f>
        <v>88</v>
      </c>
      <c r="W14" s="3">
        <f t="shared" si="0"/>
        <v>3416</v>
      </c>
      <c r="X14" s="1">
        <f t="shared" si="0"/>
        <v>3504</v>
      </c>
    </row>
    <row r="15" spans="1:24" ht="34.5" customHeight="1">
      <c r="A15">
        <f>I14/G14</f>
        <v>39.81818181818182</v>
      </c>
      <c r="D15" s="50"/>
      <c r="E15" s="16">
        <v>155499</v>
      </c>
      <c r="F15" s="17" t="s">
        <v>0</v>
      </c>
      <c r="G15" s="17">
        <f>G11-G14</f>
        <v>2020</v>
      </c>
      <c r="H15" s="17">
        <f>H11-H14</f>
        <v>153479</v>
      </c>
      <c r="I15" s="17">
        <f>H15+G15</f>
        <v>155499</v>
      </c>
      <c r="J15" s="1"/>
      <c r="K15" s="50"/>
      <c r="L15" s="5">
        <f>E15*100/E16</f>
        <v>99.43980815347722</v>
      </c>
      <c r="M15" s="3" t="s">
        <v>0</v>
      </c>
      <c r="N15" s="3" t="s">
        <v>31</v>
      </c>
      <c r="O15" s="3" t="s">
        <v>33</v>
      </c>
      <c r="P15" s="3" t="s">
        <v>16</v>
      </c>
      <c r="Q15" s="1"/>
      <c r="R15" s="1"/>
      <c r="S15" s="50"/>
      <c r="T15" s="1">
        <f>(E15*4)</f>
        <v>621996</v>
      </c>
      <c r="U15" s="3" t="s">
        <v>0</v>
      </c>
      <c r="V15" s="3">
        <f t="shared" si="0"/>
        <v>8080</v>
      </c>
      <c r="W15" s="3">
        <f t="shared" si="0"/>
        <v>613916</v>
      </c>
      <c r="X15" s="1">
        <f t="shared" si="0"/>
        <v>621996</v>
      </c>
    </row>
    <row r="16" spans="5:24" ht="14.25">
      <c r="E16" s="16">
        <f>E15+E14</f>
        <v>156375</v>
      </c>
      <c r="F16" s="16"/>
      <c r="G16" s="16">
        <f>G15+G14</f>
        <v>2042</v>
      </c>
      <c r="H16" s="16">
        <f>H15+H14</f>
        <v>154333</v>
      </c>
      <c r="I16" s="16"/>
      <c r="J16" s="1"/>
      <c r="L16" s="5">
        <f>L15+L14</f>
        <v>100</v>
      </c>
      <c r="M16" s="1"/>
      <c r="N16" s="5" t="s">
        <v>15</v>
      </c>
      <c r="O16" s="5" t="s">
        <v>15</v>
      </c>
      <c r="P16" s="9">
        <f>G14*100/I14</f>
        <v>2.5114155251141552</v>
      </c>
      <c r="Q16" s="5">
        <f>H14*100/I14</f>
        <v>97.48858447488584</v>
      </c>
      <c r="R16" s="1"/>
      <c r="S16" s="1"/>
      <c r="T16" s="1">
        <f>(E16*4)</f>
        <v>625500</v>
      </c>
      <c r="U16" s="1"/>
      <c r="V16" s="1">
        <f>(G16*4)</f>
        <v>8168</v>
      </c>
      <c r="W16" s="1">
        <f>(H16*4)</f>
        <v>617332</v>
      </c>
      <c r="X16" s="1"/>
    </row>
    <row r="17" spans="12:17" ht="14.25">
      <c r="L17" s="6"/>
      <c r="N17" s="10">
        <f>G14*100/G16</f>
        <v>1.0773751224289911</v>
      </c>
      <c r="O17" s="7">
        <f>H14*100/H16</f>
        <v>0.5533489273194975</v>
      </c>
      <c r="P17" s="5">
        <f>G15*100/I15</f>
        <v>1.2990437237538506</v>
      </c>
      <c r="Q17" s="5">
        <f>H15*100/I15</f>
        <v>98.70095627624615</v>
      </c>
    </row>
    <row r="18" spans="12:17" ht="14.25">
      <c r="L18" s="6"/>
      <c r="N18" s="7">
        <f>G15*100/G16</f>
        <v>98.92262487757101</v>
      </c>
      <c r="O18" s="7">
        <f>H15*100/H16</f>
        <v>99.4466510726805</v>
      </c>
      <c r="P18" s="7"/>
      <c r="Q18" s="7"/>
    </row>
    <row r="19" spans="12:17" ht="14.25">
      <c r="L19" s="6"/>
      <c r="N19" s="7"/>
      <c r="O19" s="7"/>
      <c r="P19" s="7"/>
      <c r="Q19" s="7"/>
    </row>
    <row r="20" spans="1:20" ht="14.25">
      <c r="A20" t="s">
        <v>146</v>
      </c>
      <c r="E20" s="15" t="s">
        <v>7</v>
      </c>
      <c r="L20" s="6" t="s">
        <v>21</v>
      </c>
      <c r="T20" t="s">
        <v>6</v>
      </c>
    </row>
    <row r="21" spans="5:24" ht="14.25">
      <c r="E21" s="16"/>
      <c r="F21" s="16"/>
      <c r="G21" s="54" t="s">
        <v>1</v>
      </c>
      <c r="H21" s="54"/>
      <c r="I21" s="16"/>
      <c r="J21" s="1"/>
      <c r="L21" s="5"/>
      <c r="M21" s="1"/>
      <c r="N21" s="51" t="s">
        <v>1</v>
      </c>
      <c r="O21" s="51"/>
      <c r="P21" s="1"/>
      <c r="Q21" s="1"/>
      <c r="R21" s="1"/>
      <c r="S21" s="1"/>
      <c r="T21" s="1"/>
      <c r="U21" s="1"/>
      <c r="V21" s="1" t="s">
        <v>1</v>
      </c>
      <c r="W21" s="1"/>
      <c r="X21" s="1"/>
    </row>
    <row r="22" spans="5:24" ht="14.25">
      <c r="E22" s="16"/>
      <c r="F22" s="16"/>
      <c r="G22" s="15">
        <v>10695</v>
      </c>
      <c r="H22" s="15">
        <v>145680</v>
      </c>
      <c r="I22" s="16">
        <f>H22+G22</f>
        <v>156375</v>
      </c>
      <c r="J22" s="1"/>
      <c r="L22" s="5"/>
      <c r="M22" s="1"/>
      <c r="N22" s="5">
        <f>G22*100/I22</f>
        <v>6.839328537170264</v>
      </c>
      <c r="O22" s="5">
        <f>H22*100/I22</f>
        <v>93.16067146282974</v>
      </c>
      <c r="P22" s="1">
        <f>O22+N22</f>
        <v>100</v>
      </c>
      <c r="Q22" s="1"/>
      <c r="R22" s="1"/>
      <c r="S22" s="1"/>
      <c r="T22" s="1"/>
      <c r="U22" s="1"/>
      <c r="V22" s="1">
        <f>(G22*4)</f>
        <v>42780</v>
      </c>
      <c r="W22" s="1">
        <f>(H22*4)</f>
        <v>582720</v>
      </c>
      <c r="X22" s="1">
        <f>(I22*4)</f>
        <v>625500</v>
      </c>
    </row>
    <row r="23" spans="1:24" ht="14.25">
      <c r="A23" s="2"/>
      <c r="E23" s="16"/>
      <c r="F23" s="16"/>
      <c r="G23" s="16"/>
      <c r="H23" s="16"/>
      <c r="I23" s="16"/>
      <c r="J23" s="1"/>
      <c r="L23" s="5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4.25">
      <c r="A24" s="2"/>
      <c r="E24" s="16"/>
      <c r="F24" s="17"/>
      <c r="G24" s="17" t="s">
        <v>125</v>
      </c>
      <c r="H24" s="17" t="s">
        <v>0</v>
      </c>
      <c r="I24" s="17"/>
      <c r="J24" s="1"/>
      <c r="L24" s="5"/>
      <c r="M24" s="3"/>
      <c r="N24" s="3" t="s">
        <v>125</v>
      </c>
      <c r="O24" s="3" t="s">
        <v>0</v>
      </c>
      <c r="P24" s="3"/>
      <c r="Q24" s="1"/>
      <c r="R24" s="1"/>
      <c r="S24" s="1"/>
      <c r="T24" s="1"/>
      <c r="U24" s="3"/>
      <c r="V24" s="3" t="s">
        <v>125</v>
      </c>
      <c r="W24" s="3" t="s">
        <v>0</v>
      </c>
      <c r="X24" s="1"/>
    </row>
    <row r="25" spans="1:24" ht="30.75" customHeight="1">
      <c r="A25">
        <f>E27/G22</f>
        <v>14.621318373071528</v>
      </c>
      <c r="D25" s="50" t="s">
        <v>2</v>
      </c>
      <c r="E25" s="16">
        <v>876</v>
      </c>
      <c r="F25" s="17" t="s">
        <v>125</v>
      </c>
      <c r="G25" s="16">
        <v>137</v>
      </c>
      <c r="H25" s="17">
        <f>E25-G25</f>
        <v>739</v>
      </c>
      <c r="I25" s="17">
        <f>H25+G25</f>
        <v>876</v>
      </c>
      <c r="J25" s="1"/>
      <c r="K25" s="50" t="s">
        <v>2</v>
      </c>
      <c r="L25" s="5">
        <f>E25*100/E27</f>
        <v>0.5601918465227818</v>
      </c>
      <c r="M25" s="3" t="s">
        <v>125</v>
      </c>
      <c r="N25" s="3" t="s">
        <v>34</v>
      </c>
      <c r="O25" s="3" t="s">
        <v>36</v>
      </c>
      <c r="P25" s="3" t="s">
        <v>16</v>
      </c>
      <c r="Q25" s="1"/>
      <c r="R25" s="1"/>
      <c r="S25" s="50" t="s">
        <v>2</v>
      </c>
      <c r="T25" s="1">
        <f>(E25*4)</f>
        <v>3504</v>
      </c>
      <c r="U25" s="3" t="s">
        <v>125</v>
      </c>
      <c r="V25" s="3">
        <f aca="true" t="shared" si="1" ref="V25:X26">(G25*4)</f>
        <v>548</v>
      </c>
      <c r="W25" s="3">
        <f t="shared" si="1"/>
        <v>2956</v>
      </c>
      <c r="X25" s="1">
        <f t="shared" si="1"/>
        <v>3504</v>
      </c>
    </row>
    <row r="26" spans="1:24" ht="30.75" customHeight="1">
      <c r="A26">
        <f>I25/G25</f>
        <v>6.394160583941606</v>
      </c>
      <c r="D26" s="50"/>
      <c r="E26" s="16">
        <v>155499</v>
      </c>
      <c r="F26" s="17" t="s">
        <v>0</v>
      </c>
      <c r="G26" s="17">
        <f>G22-G25</f>
        <v>10558</v>
      </c>
      <c r="H26" s="17">
        <f>H22-H25</f>
        <v>144941</v>
      </c>
      <c r="I26" s="17">
        <f>H26+G26</f>
        <v>155499</v>
      </c>
      <c r="J26" s="1"/>
      <c r="K26" s="50"/>
      <c r="L26" s="5">
        <f>E26*100/E27</f>
        <v>99.43980815347722</v>
      </c>
      <c r="M26" s="3" t="s">
        <v>0</v>
      </c>
      <c r="N26" s="3" t="s">
        <v>35</v>
      </c>
      <c r="O26" s="3" t="s">
        <v>37</v>
      </c>
      <c r="P26" s="3" t="s">
        <v>16</v>
      </c>
      <c r="Q26" s="1"/>
      <c r="R26" s="1"/>
      <c r="S26" s="50"/>
      <c r="T26" s="1">
        <f>(E26*4)</f>
        <v>621996</v>
      </c>
      <c r="U26" s="3" t="s">
        <v>0</v>
      </c>
      <c r="V26" s="3">
        <f t="shared" si="1"/>
        <v>42232</v>
      </c>
      <c r="W26" s="3">
        <f t="shared" si="1"/>
        <v>579764</v>
      </c>
      <c r="X26" s="1">
        <f t="shared" si="1"/>
        <v>621996</v>
      </c>
    </row>
    <row r="27" spans="5:24" ht="14.25">
      <c r="E27" s="16">
        <f>E26+E25</f>
        <v>156375</v>
      </c>
      <c r="F27" s="16"/>
      <c r="G27" s="16">
        <f>G26+G25</f>
        <v>10695</v>
      </c>
      <c r="H27" s="16">
        <f>H26+H25</f>
        <v>145680</v>
      </c>
      <c r="I27" s="16"/>
      <c r="J27" s="1"/>
      <c r="L27" s="5">
        <f>L26+L25</f>
        <v>100</v>
      </c>
      <c r="M27" s="1"/>
      <c r="N27" s="5" t="s">
        <v>15</v>
      </c>
      <c r="O27" s="5" t="s">
        <v>15</v>
      </c>
      <c r="P27" s="9">
        <f>G25*100/I25</f>
        <v>15.639269406392694</v>
      </c>
      <c r="Q27" s="5">
        <f>H25*100/I25</f>
        <v>84.3607305936073</v>
      </c>
      <c r="R27" s="1"/>
      <c r="S27" s="1"/>
      <c r="T27" s="1">
        <f>(E27*4)</f>
        <v>625500</v>
      </c>
      <c r="U27" s="1"/>
      <c r="V27" s="1">
        <f>(G27*4)</f>
        <v>42780</v>
      </c>
      <c r="W27" s="1">
        <f>(H27*4)</f>
        <v>582720</v>
      </c>
      <c r="X27" s="1"/>
    </row>
    <row r="28" spans="12:17" ht="14.25">
      <c r="L28" s="6"/>
      <c r="N28" s="10">
        <f>G25*100/G27</f>
        <v>1.2809724170172978</v>
      </c>
      <c r="O28" s="7">
        <f>H25*100/H27</f>
        <v>0.507276221856123</v>
      </c>
      <c r="P28" s="5">
        <f>G26*100/I26</f>
        <v>6.789754274947105</v>
      </c>
      <c r="Q28" s="5">
        <f>H26*100/I26</f>
        <v>93.2102457250529</v>
      </c>
    </row>
    <row r="29" spans="14:17" ht="14.25">
      <c r="N29" s="7">
        <f>G26*100/G27</f>
        <v>98.7190275829827</v>
      </c>
      <c r="O29" s="7">
        <f>H26*100/H27</f>
        <v>99.49272377814388</v>
      </c>
      <c r="P29" s="7"/>
      <c r="Q29" s="7"/>
    </row>
    <row r="30" spans="14:15" ht="14.25">
      <c r="N30" s="7"/>
      <c r="O30" s="7"/>
    </row>
    <row r="31" ht="14.25">
      <c r="A31" t="s">
        <v>43</v>
      </c>
    </row>
  </sheetData>
  <sheetProtection/>
  <mergeCells count="10">
    <mergeCell ref="N21:O21"/>
    <mergeCell ref="K25:K26"/>
    <mergeCell ref="G10:H10"/>
    <mergeCell ref="D14:D15"/>
    <mergeCell ref="S14:S15"/>
    <mergeCell ref="G21:H21"/>
    <mergeCell ref="D25:D26"/>
    <mergeCell ref="S25:S26"/>
    <mergeCell ref="N10:O10"/>
    <mergeCell ref="K14:K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85" zoomScaleNormal="85" zoomScalePageLayoutView="0" workbookViewId="0" topLeftCell="A4">
      <selection activeCell="A28" sqref="A28"/>
    </sheetView>
  </sheetViews>
  <sheetFormatPr defaultColWidth="9.140625" defaultRowHeight="15"/>
  <cols>
    <col min="1" max="1" width="26.57421875" style="0" bestFit="1" customWidth="1"/>
    <col min="2" max="2" width="16.8515625" style="18" customWidth="1"/>
    <col min="3" max="3" width="11.57421875" style="18" bestFit="1" customWidth="1"/>
    <col min="4" max="4" width="12.140625" style="18" bestFit="1" customWidth="1"/>
    <col min="5" max="5" width="11.8515625" style="18" bestFit="1" customWidth="1"/>
    <col min="6" max="6" width="26.00390625" style="18" bestFit="1" customWidth="1"/>
    <col min="7" max="7" width="12.140625" style="18" bestFit="1" customWidth="1"/>
    <col min="8" max="8" width="9.57421875" style="18" bestFit="1" customWidth="1"/>
    <col min="9" max="10" width="8.8515625" style="18" customWidth="1"/>
    <col min="11" max="11" width="13.140625" style="18" bestFit="1" customWidth="1"/>
    <col min="12" max="12" width="8.8515625" style="18" customWidth="1"/>
  </cols>
  <sheetData>
    <row r="1" spans="1:12" ht="14.25">
      <c r="A1" t="s">
        <v>147</v>
      </c>
      <c r="B1"/>
      <c r="C1"/>
      <c r="D1"/>
      <c r="E1"/>
      <c r="F1"/>
      <c r="G1"/>
      <c r="H1"/>
      <c r="I1"/>
      <c r="J1"/>
      <c r="K1"/>
      <c r="L1"/>
    </row>
    <row r="2" spans="1:12" ht="15">
      <c r="A2" s="47" t="s">
        <v>148</v>
      </c>
      <c r="B2"/>
      <c r="C2"/>
      <c r="D2"/>
      <c r="E2"/>
      <c r="F2"/>
      <c r="G2"/>
      <c r="H2"/>
      <c r="I2"/>
      <c r="J2"/>
      <c r="K2"/>
      <c r="L2"/>
    </row>
    <row r="3" spans="1:12" ht="14.25">
      <c r="A3" t="s">
        <v>149</v>
      </c>
      <c r="B3"/>
      <c r="C3"/>
      <c r="D3"/>
      <c r="E3"/>
      <c r="F3"/>
      <c r="G3"/>
      <c r="H3"/>
      <c r="I3"/>
      <c r="J3"/>
      <c r="K3"/>
      <c r="L3"/>
    </row>
    <row r="4" spans="1:12" ht="14.25">
      <c r="A4" t="s">
        <v>150</v>
      </c>
      <c r="B4"/>
      <c r="C4"/>
      <c r="D4"/>
      <c r="E4"/>
      <c r="F4"/>
      <c r="G4"/>
      <c r="H4"/>
      <c r="I4"/>
      <c r="J4"/>
      <c r="K4"/>
      <c r="L4"/>
    </row>
    <row r="7" spans="2:12" s="24" customFormat="1" ht="14.25">
      <c r="B7" s="25"/>
      <c r="C7" s="25"/>
      <c r="D7" s="25"/>
      <c r="E7" s="25"/>
      <c r="F7" s="25"/>
      <c r="G7" s="25"/>
      <c r="H7" s="55"/>
      <c r="I7" s="55"/>
      <c r="J7" s="55"/>
      <c r="K7" s="55"/>
      <c r="L7" s="25"/>
    </row>
    <row r="8" spans="2:12" s="24" customFormat="1" ht="14.25">
      <c r="B8" s="25" t="s">
        <v>59</v>
      </c>
      <c r="C8" s="25" t="s">
        <v>60</v>
      </c>
      <c r="D8" s="25" t="s">
        <v>61</v>
      </c>
      <c r="E8" s="25" t="s">
        <v>62</v>
      </c>
      <c r="F8" s="25" t="s">
        <v>79</v>
      </c>
      <c r="G8" s="25" t="s">
        <v>119</v>
      </c>
      <c r="H8" s="25" t="s">
        <v>123</v>
      </c>
      <c r="I8" s="25"/>
      <c r="J8" s="25"/>
      <c r="K8" s="25" t="s">
        <v>121</v>
      </c>
      <c r="L8" s="25"/>
    </row>
    <row r="9" spans="2:12" s="22" customFormat="1" ht="14.25">
      <c r="B9" s="23" t="s">
        <v>63</v>
      </c>
      <c r="C9" s="23" t="s">
        <v>64</v>
      </c>
      <c r="D9" s="23" t="s">
        <v>65</v>
      </c>
      <c r="E9" s="23" t="s">
        <v>66</v>
      </c>
      <c r="F9" s="23" t="s">
        <v>67</v>
      </c>
      <c r="G9" s="23" t="s">
        <v>68</v>
      </c>
      <c r="H9" s="23" t="s">
        <v>122</v>
      </c>
      <c r="I9" s="23" t="s">
        <v>69</v>
      </c>
      <c r="J9" s="23" t="s">
        <v>70</v>
      </c>
      <c r="K9" s="23" t="s">
        <v>120</v>
      </c>
      <c r="L9" s="23"/>
    </row>
    <row r="10" spans="1:14" ht="14.25">
      <c r="A10" t="s">
        <v>71</v>
      </c>
      <c r="B10" s="15">
        <f>1and2!G17</f>
        <v>102</v>
      </c>
      <c r="C10" s="15">
        <f>1and2!G18</f>
        <v>5611</v>
      </c>
      <c r="D10" s="15">
        <f>1and2!H17</f>
        <v>774</v>
      </c>
      <c r="E10" s="15">
        <f>1and2!H18</f>
        <v>149888</v>
      </c>
      <c r="F10" s="15">
        <f>B10+E10</f>
        <v>149990</v>
      </c>
      <c r="G10" s="18">
        <f>1and2!E20*(B10+D10)+1and2!E21*(C10+E10)</f>
        <v>154632.81456115108</v>
      </c>
      <c r="H10" s="15">
        <f>B29*1and2!E21</f>
        <v>155499</v>
      </c>
      <c r="K10" s="18">
        <f>(F10-G10)/SQRT(G10*($B$29-G10)/$B$29)</f>
        <v>-111.85798172163932</v>
      </c>
      <c r="L10" s="21"/>
      <c r="N10" s="21"/>
    </row>
    <row r="11" spans="1:12" ht="14.25">
      <c r="A11" t="s">
        <v>72</v>
      </c>
      <c r="B11" s="15">
        <f>1and2!G28</f>
        <v>195</v>
      </c>
      <c r="C11" s="15">
        <f>1and2!G29</f>
        <v>12015</v>
      </c>
      <c r="D11" s="15">
        <f>1and2!H28</f>
        <v>681</v>
      </c>
      <c r="E11" s="15">
        <f>1and2!H29</f>
        <v>143484</v>
      </c>
      <c r="F11" s="15">
        <f aca="true" t="shared" si="0" ref="F11:F17">B11+E11</f>
        <v>143679</v>
      </c>
      <c r="G11" s="18">
        <f>G10</f>
        <v>154632.81456115108</v>
      </c>
      <c r="H11" s="15">
        <f>H10</f>
        <v>155499</v>
      </c>
      <c r="K11" s="18">
        <f>(F11-G11)/SQRT(G11*($B$29-G11)/$B$29)</f>
        <v>-263.90707033960996</v>
      </c>
      <c r="L11" s="21"/>
    </row>
    <row r="12" spans="2:8" ht="14.25">
      <c r="B12" s="15"/>
      <c r="C12" s="15"/>
      <c r="D12" s="15"/>
      <c r="E12" s="15"/>
      <c r="F12" s="15"/>
      <c r="H12" s="15"/>
    </row>
    <row r="13" spans="1:11" ht="14.25">
      <c r="A13" t="s">
        <v>74</v>
      </c>
      <c r="B13" s="15">
        <f>1!G13</f>
        <v>80</v>
      </c>
      <c r="C13" s="15">
        <f>1!G14</f>
        <v>3591</v>
      </c>
      <c r="D13" s="15">
        <f>1!H13</f>
        <v>796</v>
      </c>
      <c r="E13" s="15">
        <f>1!H14</f>
        <v>151908</v>
      </c>
      <c r="F13" s="15">
        <f t="shared" si="0"/>
        <v>151988</v>
      </c>
      <c r="G13" s="18">
        <f>G10</f>
        <v>154632.81456115108</v>
      </c>
      <c r="H13" s="15">
        <f>H10</f>
        <v>155499</v>
      </c>
      <c r="K13" s="18">
        <f>(F13-G13)/SQRT(G13*($B$29-G13)/$B$29)</f>
        <v>-63.72074846879423</v>
      </c>
    </row>
    <row r="14" spans="1:11" ht="14.25">
      <c r="A14" t="s">
        <v>76</v>
      </c>
      <c r="B14" s="15">
        <f>1!G24</f>
        <v>58</v>
      </c>
      <c r="C14" s="15">
        <f>1!G25</f>
        <v>1457</v>
      </c>
      <c r="D14" s="15">
        <f>1!H24</f>
        <v>818</v>
      </c>
      <c r="E14" s="15">
        <f>1!H25</f>
        <v>154042</v>
      </c>
      <c r="F14" s="15">
        <f t="shared" si="0"/>
        <v>154100</v>
      </c>
      <c r="G14" s="18">
        <f>G11</f>
        <v>154632.81456115108</v>
      </c>
      <c r="H14" s="15">
        <f>H10</f>
        <v>155499</v>
      </c>
      <c r="K14" s="18">
        <f>(F14-G14)/SQRT(G14*($B$29-G14)/$B$29)</f>
        <v>-12.836946351672696</v>
      </c>
    </row>
    <row r="15" spans="2:8" ht="14.25">
      <c r="B15" s="15"/>
      <c r="C15" s="15"/>
      <c r="D15" s="15"/>
      <c r="E15" s="15"/>
      <c r="F15" s="15"/>
      <c r="H15" s="15"/>
    </row>
    <row r="16" spans="1:11" ht="14.25">
      <c r="A16" t="s">
        <v>107</v>
      </c>
      <c r="B16" s="15">
        <f>2!G14</f>
        <v>22</v>
      </c>
      <c r="C16" s="15">
        <f>2!G15</f>
        <v>2020</v>
      </c>
      <c r="D16" s="15">
        <f>2!H14</f>
        <v>854</v>
      </c>
      <c r="E16" s="15">
        <f>2!H15</f>
        <v>153479</v>
      </c>
      <c r="F16" s="15">
        <f t="shared" si="0"/>
        <v>153501</v>
      </c>
      <c r="G16" s="18">
        <f>G10</f>
        <v>154632.81456115108</v>
      </c>
      <c r="H16" s="15">
        <f>H10</f>
        <v>155499</v>
      </c>
      <c r="K16" s="18">
        <f>(F16-G16)/SQRT(G16*($B$29-G16)/$B$29)</f>
        <v>-27.26847924379192</v>
      </c>
    </row>
    <row r="17" spans="1:11" ht="14.25">
      <c r="A17" t="s">
        <v>109</v>
      </c>
      <c r="B17" s="15">
        <f>2!G25</f>
        <v>137</v>
      </c>
      <c r="C17" s="15">
        <f>2!G26</f>
        <v>10558</v>
      </c>
      <c r="D17" s="15">
        <f>2!H25</f>
        <v>739</v>
      </c>
      <c r="E17" s="15">
        <f>2!H26</f>
        <v>144941</v>
      </c>
      <c r="F17" s="15">
        <f t="shared" si="0"/>
        <v>145078</v>
      </c>
      <c r="G17" s="18">
        <f>G10</f>
        <v>154632.81456115108</v>
      </c>
      <c r="H17" s="15">
        <f>H10</f>
        <v>155499</v>
      </c>
      <c r="K17" s="18">
        <f>(F17-G17)/SQRT(G17*($B$29-G17)/$B$29)</f>
        <v>-230.2013699788841</v>
      </c>
    </row>
    <row r="20" spans="1:8" ht="14.25">
      <c r="A20" t="s">
        <v>73</v>
      </c>
      <c r="B20" s="15">
        <f>1and2!V17</f>
        <v>408</v>
      </c>
      <c r="C20" s="15">
        <f>1and2!V18</f>
        <v>22444</v>
      </c>
      <c r="D20" s="15">
        <f>1and2!W17</f>
        <v>3096</v>
      </c>
      <c r="E20" s="15">
        <f>1and2!W18</f>
        <v>599552</v>
      </c>
      <c r="F20" s="15">
        <f aca="true" t="shared" si="1" ref="F20:F25">B20+E20</f>
        <v>599960</v>
      </c>
      <c r="G20" s="18">
        <f>1and2!E20*(B20+D20)+1and2!E21*(C20+E20)</f>
        <v>618531.2582446043</v>
      </c>
      <c r="H20" s="15"/>
    </row>
    <row r="21" spans="1:8" ht="14.25">
      <c r="A21" t="s">
        <v>77</v>
      </c>
      <c r="B21" s="15">
        <f>1and2!V28</f>
        <v>780</v>
      </c>
      <c r="C21" s="15">
        <f>1and2!V29</f>
        <v>48060</v>
      </c>
      <c r="D21" s="15">
        <f>1and2!W28</f>
        <v>2724</v>
      </c>
      <c r="E21" s="15">
        <f>1and2!W29</f>
        <v>573936</v>
      </c>
      <c r="F21" s="15">
        <f t="shared" si="1"/>
        <v>574716</v>
      </c>
      <c r="G21" s="18">
        <f>G20</f>
        <v>618531.2582446043</v>
      </c>
      <c r="H21" s="15"/>
    </row>
    <row r="22" spans="1:8" ht="14.25">
      <c r="A22" t="s">
        <v>75</v>
      </c>
      <c r="B22" s="15">
        <f>1!V13</f>
        <v>320</v>
      </c>
      <c r="C22" s="15">
        <f>1!V14</f>
        <v>14364</v>
      </c>
      <c r="D22" s="15">
        <f>1!W13</f>
        <v>3184</v>
      </c>
      <c r="E22" s="15">
        <f>1!W14</f>
        <v>607632</v>
      </c>
      <c r="F22" s="15">
        <f t="shared" si="1"/>
        <v>607952</v>
      </c>
      <c r="G22" s="18">
        <f>G20</f>
        <v>618531.2582446043</v>
      </c>
      <c r="H22" s="15"/>
    </row>
    <row r="23" spans="1:8" ht="14.25">
      <c r="A23" t="s">
        <v>78</v>
      </c>
      <c r="B23" s="15">
        <f>1!V25</f>
        <v>5828</v>
      </c>
      <c r="C23" s="15">
        <f>1!V26</f>
        <v>6060</v>
      </c>
      <c r="D23" s="15">
        <f>1!W25</f>
        <v>616168</v>
      </c>
      <c r="E23" s="15">
        <f>1!W26</f>
        <v>619440</v>
      </c>
      <c r="F23" s="15">
        <f t="shared" si="1"/>
        <v>625268</v>
      </c>
      <c r="G23" s="18">
        <f>G21</f>
        <v>618531.2582446043</v>
      </c>
      <c r="H23" s="15"/>
    </row>
    <row r="24" spans="1:8" ht="14.25">
      <c r="A24" t="s">
        <v>108</v>
      </c>
      <c r="B24" s="15">
        <f>2!V14</f>
        <v>88</v>
      </c>
      <c r="C24" s="15">
        <f>2!V15</f>
        <v>8080</v>
      </c>
      <c r="D24" s="15">
        <f>2!W14</f>
        <v>3416</v>
      </c>
      <c r="E24" s="15">
        <f>2!W15</f>
        <v>613916</v>
      </c>
      <c r="F24" s="15">
        <f t="shared" si="1"/>
        <v>614004</v>
      </c>
      <c r="G24" s="18">
        <f>G20</f>
        <v>618531.2582446043</v>
      </c>
      <c r="H24" s="15"/>
    </row>
    <row r="25" spans="1:8" ht="14.25">
      <c r="A25" t="s">
        <v>110</v>
      </c>
      <c r="B25" s="15">
        <f>2!V25</f>
        <v>548</v>
      </c>
      <c r="C25" s="15">
        <f>2!V26</f>
        <v>42232</v>
      </c>
      <c r="D25" s="15">
        <f>2!W25</f>
        <v>2956</v>
      </c>
      <c r="E25" s="15">
        <f>2!W26</f>
        <v>579764</v>
      </c>
      <c r="F25" s="15">
        <f t="shared" si="1"/>
        <v>580312</v>
      </c>
      <c r="G25" s="18">
        <f>G20</f>
        <v>618531.2582446043</v>
      </c>
      <c r="H25" s="15"/>
    </row>
    <row r="26" spans="2:8" ht="14.25">
      <c r="B26" s="15"/>
      <c r="C26" s="15"/>
      <c r="D26" s="15"/>
      <c r="E26" s="15"/>
      <c r="F26" s="15"/>
      <c r="H26" s="15"/>
    </row>
    <row r="27" ht="14.25">
      <c r="A27" t="s">
        <v>152</v>
      </c>
    </row>
    <row r="29" spans="1:2" ht="14.25">
      <c r="A29" t="s">
        <v>106</v>
      </c>
      <c r="B29">
        <f>1and2!B9</f>
        <v>156375</v>
      </c>
    </row>
    <row r="30" spans="1:12" s="22" customFormat="1" ht="14.25">
      <c r="A30" s="22" t="s">
        <v>118</v>
      </c>
      <c r="B30" s="23" t="s">
        <v>88</v>
      </c>
      <c r="C30" s="23" t="s">
        <v>82</v>
      </c>
      <c r="D30" s="23" t="s">
        <v>83</v>
      </c>
      <c r="E30" s="23" t="s">
        <v>84</v>
      </c>
      <c r="F30" s="23" t="s">
        <v>85</v>
      </c>
      <c r="G30" s="23" t="s">
        <v>86</v>
      </c>
      <c r="H30" s="23" t="s">
        <v>87</v>
      </c>
      <c r="I30" s="23"/>
      <c r="J30" s="23"/>
      <c r="K30" s="23"/>
      <c r="L30" s="23"/>
    </row>
    <row r="31" spans="1:8" ht="13.5" customHeight="1">
      <c r="A31" t="s">
        <v>111</v>
      </c>
      <c r="B31" s="18" t="s">
        <v>89</v>
      </c>
      <c r="C31" s="18">
        <f>($B10+$D10)/$B$29</f>
        <v>0.005601918465227818</v>
      </c>
      <c r="D31" s="18">
        <f>($B11+$D11)/$B$29</f>
        <v>0.005601918465227818</v>
      </c>
      <c r="E31" s="18">
        <f>($B13+$D13)/$B$29</f>
        <v>0.005601918465227818</v>
      </c>
      <c r="F31" s="26">
        <f>($B14+$D14)/$B$29</f>
        <v>0.005601918465227818</v>
      </c>
      <c r="G31" s="18">
        <f>($B16+$D16)/$B$29</f>
        <v>0.005601918465227818</v>
      </c>
      <c r="H31" s="18">
        <f>($B17+$D17)/$B$29</f>
        <v>0.005601918465227818</v>
      </c>
    </row>
    <row r="32" spans="1:9" ht="14.25">
      <c r="A32" s="31" t="s">
        <v>112</v>
      </c>
      <c r="B32" s="30" t="s">
        <v>90</v>
      </c>
      <c r="C32" s="30">
        <f>($C10+$E10)/$B$29</f>
        <v>0.9943980815347722</v>
      </c>
      <c r="D32" s="30">
        <f>($C11+$E11)/$B$29</f>
        <v>0.9943980815347722</v>
      </c>
      <c r="E32" s="30">
        <f>($C13+$E13)/$B$29</f>
        <v>0.9943980815347722</v>
      </c>
      <c r="F32" s="30">
        <f>($C14+$E14)/$B$29</f>
        <v>0.9943980815347722</v>
      </c>
      <c r="G32" s="30">
        <f>($C16+$E16)/$B$29</f>
        <v>0.9943980815347722</v>
      </c>
      <c r="H32" s="30">
        <f>($C17+$E17)/$B$29</f>
        <v>0.9943980815347722</v>
      </c>
      <c r="I32" s="30"/>
    </row>
    <row r="33" spans="1:9" ht="14.25">
      <c r="A33" s="31" t="s">
        <v>139</v>
      </c>
      <c r="B33" s="30" t="s">
        <v>91</v>
      </c>
      <c r="C33" s="30">
        <f>(B10+E10)/$B$29</f>
        <v>0.9591686650679456</v>
      </c>
      <c r="D33" s="30">
        <f>(B11+E11)/$B$29</f>
        <v>0.918810551558753</v>
      </c>
      <c r="E33" s="30">
        <f>(B13+E13)/$B$29</f>
        <v>0.9719456434852118</v>
      </c>
      <c r="F33" s="30">
        <f>(B14+E14)/$B$29</f>
        <v>0.9854516386890487</v>
      </c>
      <c r="G33" s="30">
        <f>(B16+E16)/$B$29</f>
        <v>0.9816211031175059</v>
      </c>
      <c r="H33" s="30">
        <f>(B17+E17)/$B$29</f>
        <v>0.9277569944044765</v>
      </c>
      <c r="I33" s="30"/>
    </row>
    <row r="34" spans="1:9" ht="14.25">
      <c r="A34" s="31" t="s">
        <v>80</v>
      </c>
      <c r="B34" s="30" t="s">
        <v>93</v>
      </c>
      <c r="C34" s="30">
        <f>B10/(B10+D10)</f>
        <v>0.11643835616438356</v>
      </c>
      <c r="D34" s="30">
        <f>B11/(B11+D11)</f>
        <v>0.2226027397260274</v>
      </c>
      <c r="E34" s="30">
        <f>B13/(B13+D13)</f>
        <v>0.091324200913242</v>
      </c>
      <c r="F34" s="30">
        <f>B14/(B14+D14)</f>
        <v>0.06621004566210045</v>
      </c>
      <c r="G34" s="30">
        <f>B16/(B16+D16)</f>
        <v>0.02511415525114155</v>
      </c>
      <c r="H34" s="30">
        <f>B17/(B17+D17)</f>
        <v>0.15639269406392695</v>
      </c>
      <c r="I34" s="30"/>
    </row>
    <row r="35" spans="1:9" ht="14.25">
      <c r="A35" s="31" t="s">
        <v>81</v>
      </c>
      <c r="B35" s="30" t="s">
        <v>94</v>
      </c>
      <c r="C35" s="30">
        <f>E10/(C10+E10)</f>
        <v>0.9639161666634513</v>
      </c>
      <c r="D35" s="30">
        <f>E11/(C11+E11)</f>
        <v>0.92273262207474</v>
      </c>
      <c r="E35" s="30">
        <f>E13/(C13+E13)</f>
        <v>0.9769066039009897</v>
      </c>
      <c r="F35" s="30">
        <f>E14/(C14+E14)</f>
        <v>0.9906301648242111</v>
      </c>
      <c r="G35" s="30">
        <f>E16/(C16+E16)</f>
        <v>0.9870095627624615</v>
      </c>
      <c r="H35" s="30">
        <f>E17/(C17+E17)</f>
        <v>0.932102457250529</v>
      </c>
      <c r="I35" s="30"/>
    </row>
    <row r="36" spans="1:9" ht="14.25">
      <c r="A36" s="31" t="s">
        <v>114</v>
      </c>
      <c r="B36" s="30" t="s">
        <v>95</v>
      </c>
      <c r="C36" s="30">
        <f>C10/(C10+E10)</f>
        <v>0.03608383333654879</v>
      </c>
      <c r="D36" s="30">
        <f>C11/(C11+E11)</f>
        <v>0.07726737792525996</v>
      </c>
      <c r="E36" s="30">
        <f>C13/(C13+E13)</f>
        <v>0.023093396099010285</v>
      </c>
      <c r="F36" s="30">
        <f>C14/(C14+E14)</f>
        <v>0.009369835175788911</v>
      </c>
      <c r="G36" s="30">
        <f>C16/(C16+E16)</f>
        <v>0.012990437237538505</v>
      </c>
      <c r="H36" s="30">
        <f>C17/(C17+E17)</f>
        <v>0.06789754274947106</v>
      </c>
      <c r="I36" s="30"/>
    </row>
    <row r="37" spans="1:9" ht="14.25">
      <c r="A37" s="31" t="s">
        <v>115</v>
      </c>
      <c r="B37" s="30" t="s">
        <v>96</v>
      </c>
      <c r="C37" s="30">
        <f>D10/(B10+D10)</f>
        <v>0.8835616438356164</v>
      </c>
      <c r="D37" s="30">
        <f>D11/(B11+D11)</f>
        <v>0.7773972602739726</v>
      </c>
      <c r="E37" s="30">
        <f>D13/(B13+D13)</f>
        <v>0.908675799086758</v>
      </c>
      <c r="F37" s="30">
        <f>D14/(B14+D14)</f>
        <v>0.9337899543378996</v>
      </c>
      <c r="G37" s="30">
        <f>D16/(B16+D16)</f>
        <v>0.9748858447488584</v>
      </c>
      <c r="H37" s="30">
        <f>D17/(B17+D17)</f>
        <v>0.843607305936073</v>
      </c>
      <c r="I37" s="30"/>
    </row>
    <row r="38" spans="1:9" ht="14.25">
      <c r="A38" s="31" t="s">
        <v>99</v>
      </c>
      <c r="B38" s="30" t="s">
        <v>97</v>
      </c>
      <c r="C38" s="30">
        <f>B10/(B10+C10)</f>
        <v>0.01785401715385962</v>
      </c>
      <c r="D38" s="30">
        <f>B11/(B11+C11)</f>
        <v>0.01597051597051597</v>
      </c>
      <c r="E38" s="30">
        <f>B13/(B13+C13)</f>
        <v>0.021792427131571777</v>
      </c>
      <c r="F38" s="30">
        <f>B14/(B14+C14)</f>
        <v>0.03828382838283828</v>
      </c>
      <c r="G38" s="30">
        <f>B16/(B16+C16)</f>
        <v>0.010773751224289911</v>
      </c>
      <c r="H38" s="30">
        <f>B17/(B17+C17)</f>
        <v>0.012809724170172978</v>
      </c>
      <c r="I38" s="30"/>
    </row>
    <row r="39" spans="1:9" ht="14.25">
      <c r="A39" s="31" t="s">
        <v>100</v>
      </c>
      <c r="B39" s="30" t="s">
        <v>98</v>
      </c>
      <c r="C39" s="30">
        <f>E10/(D10+E10)</f>
        <v>0.9948626727376512</v>
      </c>
      <c r="D39" s="30">
        <f>E11/(D11+E11)</f>
        <v>0.9952762459681614</v>
      </c>
      <c r="E39" s="30">
        <f>E13/(D13+E13)</f>
        <v>0.9947873009220453</v>
      </c>
      <c r="F39" s="30">
        <f>E14/(D14+E14)</f>
        <v>0.9947178096345086</v>
      </c>
      <c r="G39" s="30">
        <f>E16/(D16+E16)</f>
        <v>0.994466510726805</v>
      </c>
      <c r="H39" s="30">
        <f>E17/(D17+E17)</f>
        <v>0.9949272377814388</v>
      </c>
      <c r="I39" s="30"/>
    </row>
    <row r="40" spans="1:9" ht="14.25">
      <c r="A40" s="31" t="s">
        <v>116</v>
      </c>
      <c r="B40" s="30" t="s">
        <v>92</v>
      </c>
      <c r="C40" s="30">
        <f>(C10+D10)/$B$29</f>
        <v>0.040831334932054354</v>
      </c>
      <c r="D40" s="30">
        <f>(C11+D11)/$B$29</f>
        <v>0.08118944844124701</v>
      </c>
      <c r="E40" s="30">
        <f>(C13+D13)/$B$29</f>
        <v>0.02805435651478817</v>
      </c>
      <c r="F40" s="30">
        <f>(C14+D14)/$B$29</f>
        <v>0.01454836131095124</v>
      </c>
      <c r="G40" s="30">
        <f>(C16+D16)/$B$29</f>
        <v>0.018378896882494004</v>
      </c>
      <c r="H40" s="30">
        <f>(C17+D17)/$B$29</f>
        <v>0.07224300559552359</v>
      </c>
      <c r="I40" s="30"/>
    </row>
    <row r="41" spans="1:9" ht="14.25">
      <c r="A41" s="31" t="s">
        <v>117</v>
      </c>
      <c r="B41" s="30" t="s">
        <v>101</v>
      </c>
      <c r="C41" s="30">
        <f>(B10*E10)/(D10*C10)</f>
        <v>3.52034970068484</v>
      </c>
      <c r="D41" s="30">
        <f>(B11*E11)/(D11*C11)</f>
        <v>3.4195361524966037</v>
      </c>
      <c r="E41" s="30">
        <f>(B13*E13)/(D13*C13)</f>
        <v>4.251499771203553</v>
      </c>
      <c r="F41" s="30">
        <f>(B14*E14)/(D14*C14)</f>
        <v>7.496426491786552</v>
      </c>
      <c r="G41" s="30">
        <f>(B16*E16)/(D16*C16)</f>
        <v>1.9573225589537877</v>
      </c>
      <c r="H41" s="30">
        <f>(B17*E17)/(D17*C17)</f>
        <v>2.5449879151979875</v>
      </c>
      <c r="I41" s="30"/>
    </row>
    <row r="42" spans="1:9" ht="15.75" customHeight="1">
      <c r="A42" s="31"/>
      <c r="B42" s="30"/>
      <c r="C42" s="30"/>
      <c r="D42" s="30"/>
      <c r="E42" s="30"/>
      <c r="F42" s="30"/>
      <c r="G42" s="30"/>
      <c r="H42" s="30"/>
      <c r="I42" s="30"/>
    </row>
    <row r="44" ht="14.25">
      <c r="A44" s="18"/>
    </row>
    <row r="45" ht="14.25">
      <c r="A45" s="18"/>
    </row>
  </sheetData>
  <sheetProtection/>
  <mergeCells count="1">
    <mergeCell ref="H7:K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8"/>
  <sheetViews>
    <sheetView zoomScale="70" zoomScaleNormal="70" zoomScalePageLayoutView="0" workbookViewId="0" topLeftCell="A7">
      <selection activeCell="A43" sqref="A43"/>
    </sheetView>
  </sheetViews>
  <sheetFormatPr defaultColWidth="9.140625" defaultRowHeight="15"/>
  <cols>
    <col min="1" max="1" width="15.00390625" style="0" customWidth="1"/>
    <col min="2" max="2" width="23.7109375" style="0" bestFit="1" customWidth="1"/>
    <col min="3" max="3" width="11.28125" style="0" bestFit="1" customWidth="1"/>
    <col min="4" max="4" width="10.8515625" style="0" customWidth="1"/>
    <col min="5" max="5" width="10.421875" style="0" bestFit="1" customWidth="1"/>
    <col min="6" max="6" width="11.57421875" style="0" bestFit="1" customWidth="1"/>
    <col min="11" max="11" width="10.00390625" style="38" bestFit="1" customWidth="1"/>
    <col min="12" max="12" width="3.7109375" style="0" bestFit="1" customWidth="1"/>
    <col min="13" max="13" width="1.57421875" style="0" bestFit="1" customWidth="1"/>
    <col min="14" max="15" width="7.7109375" style="0" customWidth="1"/>
    <col min="16" max="16" width="4.7109375" style="0" bestFit="1" customWidth="1"/>
    <col min="18" max="18" width="8.28125" style="38" bestFit="1" customWidth="1"/>
    <col min="19" max="19" width="3.7109375" style="0" bestFit="1" customWidth="1"/>
    <col min="20" max="20" width="1.57421875" style="0" bestFit="1" customWidth="1"/>
    <col min="21" max="22" width="7.7109375" style="0" customWidth="1"/>
    <col min="23" max="23" width="4.7109375" style="0" bestFit="1" customWidth="1"/>
    <col min="25" max="25" width="8.28125" style="38" bestFit="1" customWidth="1"/>
    <col min="26" max="26" width="3.7109375" style="0" bestFit="1" customWidth="1"/>
    <col min="27" max="27" width="1.57421875" style="0" bestFit="1" customWidth="1"/>
    <col min="28" max="29" width="7.7109375" style="0" customWidth="1"/>
    <col min="30" max="30" width="4.7109375" style="0" bestFit="1" customWidth="1"/>
  </cols>
  <sheetData>
    <row r="1" spans="1:25" ht="14.25">
      <c r="A1" t="s">
        <v>147</v>
      </c>
      <c r="K1"/>
      <c r="R1"/>
      <c r="Y1"/>
    </row>
    <row r="2" spans="1:25" ht="15">
      <c r="A2" s="47" t="s">
        <v>148</v>
      </c>
      <c r="K2"/>
      <c r="R2"/>
      <c r="Y2"/>
    </row>
    <row r="3" spans="1:25" ht="14.25">
      <c r="A3" t="s">
        <v>149</v>
      </c>
      <c r="K3"/>
      <c r="R3"/>
      <c r="Y3"/>
    </row>
    <row r="4" spans="1:25" ht="14.25">
      <c r="A4" t="s">
        <v>150</v>
      </c>
      <c r="K4"/>
      <c r="R4"/>
      <c r="Y4"/>
    </row>
    <row r="8" spans="2:31" s="24" customFormat="1" ht="14.25">
      <c r="B8" s="29" t="s">
        <v>57</v>
      </c>
      <c r="C8" s="29" t="s">
        <v>40</v>
      </c>
      <c r="D8" s="29" t="s">
        <v>39</v>
      </c>
      <c r="E8" s="29" t="s">
        <v>41</v>
      </c>
      <c r="F8" s="29" t="s">
        <v>38</v>
      </c>
      <c r="J8"/>
      <c r="K8" s="38"/>
      <c r="L8" s="24" t="s">
        <v>129</v>
      </c>
      <c r="M8"/>
      <c r="N8"/>
      <c r="O8"/>
      <c r="P8"/>
      <c r="Q8"/>
      <c r="R8" s="38"/>
      <c r="S8" s="37" t="s">
        <v>138</v>
      </c>
      <c r="T8"/>
      <c r="U8"/>
      <c r="V8"/>
      <c r="W8"/>
      <c r="X8"/>
      <c r="Y8" s="38"/>
      <c r="Z8" s="24" t="s">
        <v>128</v>
      </c>
      <c r="AA8"/>
      <c r="AB8"/>
      <c r="AC8"/>
      <c r="AD8"/>
      <c r="AE8"/>
    </row>
    <row r="9" spans="2:31" ht="14.25">
      <c r="B9" s="11"/>
      <c r="C9" s="3" t="s">
        <v>42</v>
      </c>
      <c r="D9" s="3" t="s">
        <v>42</v>
      </c>
      <c r="E9" s="3" t="s">
        <v>42</v>
      </c>
      <c r="F9" s="3" t="s">
        <v>42</v>
      </c>
      <c r="J9" s="24" t="s">
        <v>126</v>
      </c>
      <c r="L9" s="24"/>
      <c r="M9" s="24"/>
      <c r="N9" s="24"/>
      <c r="O9" s="24"/>
      <c r="P9" s="24"/>
      <c r="Q9" s="24"/>
      <c r="S9" s="24"/>
      <c r="T9" s="24"/>
      <c r="U9" s="24"/>
      <c r="V9" s="24"/>
      <c r="W9" s="24"/>
      <c r="X9" s="24"/>
      <c r="Z9" s="24"/>
      <c r="AA9" s="24"/>
      <c r="AB9" s="24"/>
      <c r="AC9" s="24"/>
      <c r="AE9" s="24"/>
    </row>
    <row r="10" spans="1:29" ht="14.25">
      <c r="A10" s="4" t="s">
        <v>58</v>
      </c>
      <c r="B10" s="4">
        <v>325</v>
      </c>
      <c r="C10" s="4">
        <v>88</v>
      </c>
      <c r="D10" s="4">
        <v>165</v>
      </c>
      <c r="E10" s="4">
        <v>135</v>
      </c>
      <c r="F10" s="4">
        <v>209</v>
      </c>
      <c r="J10" s="24"/>
      <c r="L10" s="24"/>
      <c r="M10" s="24"/>
      <c r="N10" s="57" t="s">
        <v>1</v>
      </c>
      <c r="O10" s="57"/>
      <c r="P10" s="24"/>
      <c r="Q10" s="24"/>
      <c r="S10" s="24"/>
      <c r="T10" s="24"/>
      <c r="U10" s="57" t="s">
        <v>1</v>
      </c>
      <c r="V10" s="57"/>
      <c r="W10" s="24"/>
      <c r="X10" s="24"/>
      <c r="Z10" s="24"/>
      <c r="AA10" s="24"/>
      <c r="AB10" s="57" t="s">
        <v>1</v>
      </c>
      <c r="AC10" s="57"/>
    </row>
    <row r="11" spans="1:29" ht="14.25">
      <c r="A11" t="s">
        <v>47</v>
      </c>
      <c r="B11">
        <v>100</v>
      </c>
      <c r="C11" s="12">
        <f>C10/$B$10%</f>
        <v>27.076923076923077</v>
      </c>
      <c r="D11" s="12">
        <f>D10/$B$10%</f>
        <v>50.76923076923077</v>
      </c>
      <c r="E11" s="12">
        <f>E10/$B$10%</f>
        <v>41.53846153846154</v>
      </c>
      <c r="F11" s="12">
        <f>F10/$B$10%</f>
        <v>64.3076923076923</v>
      </c>
      <c r="N11" t="s">
        <v>125</v>
      </c>
      <c r="O11" t="s">
        <v>0</v>
      </c>
      <c r="U11" t="s">
        <v>125</v>
      </c>
      <c r="V11" t="s">
        <v>0</v>
      </c>
      <c r="AB11" t="s">
        <v>125</v>
      </c>
      <c r="AC11" t="s">
        <v>0</v>
      </c>
    </row>
    <row r="12" spans="3:30" ht="14.25">
      <c r="C12" s="12"/>
      <c r="D12" s="12"/>
      <c r="E12" s="12"/>
      <c r="F12" s="12"/>
      <c r="N12">
        <v>88</v>
      </c>
      <c r="O12">
        <f>P12-N12</f>
        <v>4176</v>
      </c>
      <c r="P12">
        <v>4264</v>
      </c>
      <c r="U12">
        <v>30</v>
      </c>
      <c r="V12">
        <f>W12-U12</f>
        <v>4234</v>
      </c>
      <c r="W12">
        <v>4264</v>
      </c>
      <c r="AB12">
        <v>58</v>
      </c>
      <c r="AC12">
        <f>AD12-AB12</f>
        <v>4206</v>
      </c>
      <c r="AD12">
        <v>4264</v>
      </c>
    </row>
    <row r="13" spans="1:30" ht="14.25">
      <c r="A13" t="s">
        <v>45</v>
      </c>
      <c r="B13">
        <f>B10-B15</f>
        <v>55</v>
      </c>
      <c r="C13">
        <f>C10-C15</f>
        <v>30</v>
      </c>
      <c r="D13">
        <f>D10-D15</f>
        <v>35</v>
      </c>
      <c r="E13">
        <f>E10-E15</f>
        <v>46</v>
      </c>
      <c r="F13">
        <f>F10-F15</f>
        <v>51</v>
      </c>
      <c r="K13" s="56" t="s">
        <v>124</v>
      </c>
      <c r="L13">
        <v>325</v>
      </c>
      <c r="M13" t="s">
        <v>125</v>
      </c>
      <c r="N13">
        <v>88</v>
      </c>
      <c r="O13">
        <f>L13-N13</f>
        <v>237</v>
      </c>
      <c r="P13">
        <f>O13+N13</f>
        <v>325</v>
      </c>
      <c r="R13" s="56" t="s">
        <v>124</v>
      </c>
      <c r="S13">
        <v>55</v>
      </c>
      <c r="T13" t="s">
        <v>125</v>
      </c>
      <c r="U13">
        <v>30</v>
      </c>
      <c r="V13">
        <f>S13-U13</f>
        <v>25</v>
      </c>
      <c r="W13">
        <f>V13+U13</f>
        <v>55</v>
      </c>
      <c r="Y13" s="56" t="s">
        <v>124</v>
      </c>
      <c r="Z13">
        <v>270</v>
      </c>
      <c r="AA13" t="s">
        <v>125</v>
      </c>
      <c r="AB13">
        <v>58</v>
      </c>
      <c r="AC13">
        <f>Z13-AB13</f>
        <v>212</v>
      </c>
      <c r="AD13">
        <f>AC13+AB13</f>
        <v>270</v>
      </c>
    </row>
    <row r="14" spans="1:30" ht="14.25">
      <c r="A14" t="s">
        <v>47</v>
      </c>
      <c r="C14" s="12">
        <f>C13/$B$13%</f>
        <v>54.54545454545454</v>
      </c>
      <c r="D14" s="12">
        <f>D13/$B$13%</f>
        <v>63.63636363636363</v>
      </c>
      <c r="E14" s="12">
        <f>E13/$B$13%</f>
        <v>83.63636363636363</v>
      </c>
      <c r="F14" s="12">
        <f>F13/$B$13%</f>
        <v>92.72727272727272</v>
      </c>
      <c r="K14" s="56"/>
      <c r="M14" t="s">
        <v>0</v>
      </c>
      <c r="N14">
        <f>N12-N13</f>
        <v>0</v>
      </c>
      <c r="O14">
        <f>O12-O13</f>
        <v>3939</v>
      </c>
      <c r="P14">
        <f>O14+N14</f>
        <v>3939</v>
      </c>
      <c r="R14" s="56"/>
      <c r="T14" t="s">
        <v>0</v>
      </c>
      <c r="U14">
        <f>U12-U13</f>
        <v>0</v>
      </c>
      <c r="V14">
        <f>V12-V13</f>
        <v>4209</v>
      </c>
      <c r="W14">
        <f>V14+U14</f>
        <v>4209</v>
      </c>
      <c r="Y14" s="56"/>
      <c r="AA14" t="s">
        <v>0</v>
      </c>
      <c r="AB14">
        <f>AB12-AB13</f>
        <v>0</v>
      </c>
      <c r="AC14">
        <f>AC12-AC13</f>
        <v>3994</v>
      </c>
      <c r="AD14">
        <f>AC14+AB14</f>
        <v>3994</v>
      </c>
    </row>
    <row r="15" spans="1:6" ht="14.25">
      <c r="A15" t="s">
        <v>46</v>
      </c>
      <c r="B15">
        <v>270</v>
      </c>
      <c r="C15">
        <v>58</v>
      </c>
      <c r="D15">
        <v>130</v>
      </c>
      <c r="E15">
        <v>89</v>
      </c>
      <c r="F15">
        <v>158</v>
      </c>
    </row>
    <row r="16" spans="10:31" s="24" customFormat="1" ht="14.25">
      <c r="J16"/>
      <c r="K16" s="38"/>
      <c r="L16"/>
      <c r="M16"/>
      <c r="N16"/>
      <c r="O16"/>
      <c r="P16"/>
      <c r="Q16"/>
      <c r="R16" s="38"/>
      <c r="S16"/>
      <c r="T16"/>
      <c r="U16"/>
      <c r="V16"/>
      <c r="W16"/>
      <c r="X16"/>
      <c r="Y16" s="38"/>
      <c r="Z16"/>
      <c r="AA16"/>
      <c r="AB16"/>
      <c r="AC16"/>
      <c r="AD16"/>
      <c r="AE16"/>
    </row>
    <row r="17" spans="1:25" s="24" customFormat="1" ht="14.25">
      <c r="A17"/>
      <c r="B17"/>
      <c r="C17"/>
      <c r="D17"/>
      <c r="E17"/>
      <c r="F17"/>
      <c r="J17" s="24" t="s">
        <v>39</v>
      </c>
      <c r="K17" s="38"/>
      <c r="R17" s="38"/>
      <c r="Y17" s="38"/>
    </row>
    <row r="18" spans="10:31" ht="14.25">
      <c r="J18" s="24"/>
      <c r="L18" s="24"/>
      <c r="M18" s="24"/>
      <c r="N18" s="57" t="s">
        <v>1</v>
      </c>
      <c r="O18" s="57"/>
      <c r="P18" s="24"/>
      <c r="Q18" s="24"/>
      <c r="S18" s="24"/>
      <c r="T18" s="24"/>
      <c r="U18" s="57" t="s">
        <v>1</v>
      </c>
      <c r="V18" s="57"/>
      <c r="W18" s="24"/>
      <c r="X18" s="24"/>
      <c r="Z18" s="24"/>
      <c r="AA18" s="24"/>
      <c r="AB18" s="57" t="s">
        <v>1</v>
      </c>
      <c r="AC18" s="57"/>
      <c r="AD18" s="24"/>
      <c r="AE18" s="24"/>
    </row>
    <row r="19" spans="14:29" ht="19.5" customHeight="1">
      <c r="N19" t="s">
        <v>125</v>
      </c>
      <c r="O19" t="s">
        <v>0</v>
      </c>
      <c r="U19" t="s">
        <v>125</v>
      </c>
      <c r="V19" t="s">
        <v>0</v>
      </c>
      <c r="AB19" t="s">
        <v>125</v>
      </c>
      <c r="AC19" t="s">
        <v>0</v>
      </c>
    </row>
    <row r="20" spans="14:30" ht="19.5" customHeight="1">
      <c r="N20">
        <v>165</v>
      </c>
      <c r="O20">
        <f>P20-N20</f>
        <v>4098</v>
      </c>
      <c r="P20">
        <v>4263</v>
      </c>
      <c r="U20">
        <v>35</v>
      </c>
      <c r="V20">
        <f>W20-U20</f>
        <v>4228</v>
      </c>
      <c r="W20">
        <v>4263</v>
      </c>
      <c r="AB20">
        <v>130</v>
      </c>
      <c r="AC20">
        <f>AD20-AB20</f>
        <v>4133</v>
      </c>
      <c r="AD20">
        <v>4263</v>
      </c>
    </row>
    <row r="21" spans="11:30" ht="14.25">
      <c r="K21" s="56" t="s">
        <v>124</v>
      </c>
      <c r="L21">
        <v>325</v>
      </c>
      <c r="M21" t="s">
        <v>125</v>
      </c>
      <c r="N21">
        <v>165</v>
      </c>
      <c r="O21">
        <f>L21-N21</f>
        <v>160</v>
      </c>
      <c r="P21">
        <f>O21+N21</f>
        <v>325</v>
      </c>
      <c r="R21" s="56" t="s">
        <v>124</v>
      </c>
      <c r="S21">
        <v>55</v>
      </c>
      <c r="T21" t="s">
        <v>125</v>
      </c>
      <c r="U21">
        <v>35</v>
      </c>
      <c r="V21">
        <f>S21-U21</f>
        <v>20</v>
      </c>
      <c r="W21">
        <f>V21+U21</f>
        <v>55</v>
      </c>
      <c r="Y21" s="56" t="s">
        <v>124</v>
      </c>
      <c r="Z21">
        <v>270</v>
      </c>
      <c r="AA21" t="s">
        <v>125</v>
      </c>
      <c r="AB21">
        <v>130</v>
      </c>
      <c r="AC21">
        <f>Z21-AB21</f>
        <v>140</v>
      </c>
      <c r="AD21">
        <f>AC21+AB21</f>
        <v>270</v>
      </c>
    </row>
    <row r="22" spans="11:30" ht="14.25">
      <c r="K22" s="56"/>
      <c r="M22" t="s">
        <v>0</v>
      </c>
      <c r="N22">
        <f>N20-N21</f>
        <v>0</v>
      </c>
      <c r="O22">
        <f>O20-O21</f>
        <v>3938</v>
      </c>
      <c r="P22">
        <f>O22+N22</f>
        <v>3938</v>
      </c>
      <c r="R22" s="56"/>
      <c r="T22" t="s">
        <v>0</v>
      </c>
      <c r="U22">
        <f>U20-U21</f>
        <v>0</v>
      </c>
      <c r="V22">
        <f>V20-V21</f>
        <v>4208</v>
      </c>
      <c r="W22">
        <f>V22+U22</f>
        <v>4208</v>
      </c>
      <c r="Y22" s="56"/>
      <c r="AA22" t="s">
        <v>0</v>
      </c>
      <c r="AB22">
        <f>AB20-AB21</f>
        <v>0</v>
      </c>
      <c r="AC22">
        <f>AC20-AC21</f>
        <v>3993</v>
      </c>
      <c r="AD22">
        <f>AC22+AB22</f>
        <v>3993</v>
      </c>
    </row>
    <row r="23" spans="1:6" ht="14.25">
      <c r="A23" s="24"/>
      <c r="B23" s="24"/>
      <c r="C23" s="24"/>
      <c r="D23" s="24"/>
      <c r="E23" s="24"/>
      <c r="F23" s="24"/>
    </row>
    <row r="24" spans="10:31" s="24" customFormat="1" ht="14.25">
      <c r="J24"/>
      <c r="K24" s="38"/>
      <c r="L24"/>
      <c r="M24"/>
      <c r="N24"/>
      <c r="O24"/>
      <c r="P24"/>
      <c r="Q24"/>
      <c r="R24" s="38"/>
      <c r="S24"/>
      <c r="T24"/>
      <c r="U24"/>
      <c r="V24"/>
      <c r="W24"/>
      <c r="X24"/>
      <c r="Y24" s="38"/>
      <c r="Z24"/>
      <c r="AA24"/>
      <c r="AB24"/>
      <c r="AC24"/>
      <c r="AD24"/>
      <c r="AE24"/>
    </row>
    <row r="25" spans="1:25" s="24" customFormat="1" ht="14.25">
      <c r="A25"/>
      <c r="B25"/>
      <c r="C25"/>
      <c r="D25"/>
      <c r="E25"/>
      <c r="F25"/>
      <c r="J25" s="24" t="s">
        <v>127</v>
      </c>
      <c r="K25" s="38"/>
      <c r="R25" s="38"/>
      <c r="Y25" s="38"/>
    </row>
    <row r="26" spans="10:31" ht="14.25">
      <c r="J26" s="24"/>
      <c r="L26" s="24"/>
      <c r="M26" s="24"/>
      <c r="N26" s="57" t="s">
        <v>1</v>
      </c>
      <c r="O26" s="57"/>
      <c r="P26" s="24"/>
      <c r="Q26" s="24"/>
      <c r="S26" s="24"/>
      <c r="T26" s="24"/>
      <c r="U26" s="57" t="s">
        <v>1</v>
      </c>
      <c r="V26" s="57"/>
      <c r="W26" s="24"/>
      <c r="X26" s="24"/>
      <c r="Z26" s="24"/>
      <c r="AA26" s="24"/>
      <c r="AB26" s="57" t="s">
        <v>1</v>
      </c>
      <c r="AC26" s="57"/>
      <c r="AD26" s="24"/>
      <c r="AE26" s="24"/>
    </row>
    <row r="27" spans="14:29" ht="21.75" customHeight="1">
      <c r="N27" t="s">
        <v>125</v>
      </c>
      <c r="O27" t="s">
        <v>0</v>
      </c>
      <c r="U27" t="s">
        <v>125</v>
      </c>
      <c r="V27" t="s">
        <v>0</v>
      </c>
      <c r="AB27" t="s">
        <v>125</v>
      </c>
      <c r="AC27" t="s">
        <v>0</v>
      </c>
    </row>
    <row r="28" spans="14:30" ht="21.75" customHeight="1">
      <c r="N28">
        <v>135</v>
      </c>
      <c r="O28">
        <f>P28-N28</f>
        <v>4128</v>
      </c>
      <c r="P28">
        <v>4263</v>
      </c>
      <c r="U28">
        <v>46</v>
      </c>
      <c r="V28">
        <f>W28-U28</f>
        <v>4217</v>
      </c>
      <c r="W28">
        <v>4263</v>
      </c>
      <c r="AB28">
        <v>89</v>
      </c>
      <c r="AC28">
        <f>AD28-AB28</f>
        <v>4174</v>
      </c>
      <c r="AD28">
        <v>4263</v>
      </c>
    </row>
    <row r="29" spans="7:30" ht="15">
      <c r="G29" s="36"/>
      <c r="K29" s="56" t="s">
        <v>124</v>
      </c>
      <c r="L29">
        <v>325</v>
      </c>
      <c r="M29" t="s">
        <v>125</v>
      </c>
      <c r="N29">
        <v>135</v>
      </c>
      <c r="O29">
        <f>L29-N29</f>
        <v>190</v>
      </c>
      <c r="P29">
        <f>O29+N29</f>
        <v>325</v>
      </c>
      <c r="R29" s="56" t="s">
        <v>124</v>
      </c>
      <c r="S29">
        <v>55</v>
      </c>
      <c r="T29" t="s">
        <v>125</v>
      </c>
      <c r="U29">
        <v>46</v>
      </c>
      <c r="V29">
        <f>S29-U29</f>
        <v>9</v>
      </c>
      <c r="W29">
        <f>V29+U29</f>
        <v>55</v>
      </c>
      <c r="Y29" s="56" t="s">
        <v>124</v>
      </c>
      <c r="Z29">
        <v>270</v>
      </c>
      <c r="AA29" t="s">
        <v>125</v>
      </c>
      <c r="AB29">
        <v>89</v>
      </c>
      <c r="AC29">
        <f>Z29-AB29</f>
        <v>181</v>
      </c>
      <c r="AD29">
        <f>AC29+AB29</f>
        <v>270</v>
      </c>
    </row>
    <row r="30" spans="7:30" ht="15">
      <c r="G30" s="36"/>
      <c r="K30" s="56"/>
      <c r="M30" t="s">
        <v>0</v>
      </c>
      <c r="N30">
        <f>N28-N29</f>
        <v>0</v>
      </c>
      <c r="O30">
        <f>O28-O29</f>
        <v>3938</v>
      </c>
      <c r="P30">
        <f>O30+N30</f>
        <v>3938</v>
      </c>
      <c r="R30" s="56"/>
      <c r="T30" t="s">
        <v>0</v>
      </c>
      <c r="U30">
        <f>U28-U29</f>
        <v>0</v>
      </c>
      <c r="V30">
        <f>V28-V29</f>
        <v>4208</v>
      </c>
      <c r="W30">
        <f>V30+U30</f>
        <v>4208</v>
      </c>
      <c r="Y30" s="56"/>
      <c r="AA30" t="s">
        <v>0</v>
      </c>
      <c r="AB30">
        <f>AB28-AB29</f>
        <v>0</v>
      </c>
      <c r="AC30">
        <f>AC28-AC29</f>
        <v>3993</v>
      </c>
      <c r="AD30">
        <f>AC30+AB30</f>
        <v>3993</v>
      </c>
    </row>
    <row r="31" spans="1:6" ht="14.25">
      <c r="A31" s="24"/>
      <c r="B31" s="24"/>
      <c r="C31" s="24"/>
      <c r="D31" s="24"/>
      <c r="E31" s="24"/>
      <c r="F31" s="24"/>
    </row>
    <row r="32" spans="7:31" s="24" customFormat="1" ht="15">
      <c r="G32" s="36"/>
      <c r="J32"/>
      <c r="K32" s="38"/>
      <c r="L32"/>
      <c r="M32"/>
      <c r="N32"/>
      <c r="O32"/>
      <c r="P32"/>
      <c r="Q32"/>
      <c r="R32" s="38"/>
      <c r="S32"/>
      <c r="T32"/>
      <c r="U32"/>
      <c r="V32"/>
      <c r="W32"/>
      <c r="X32"/>
      <c r="Y32" s="38"/>
      <c r="Z32"/>
      <c r="AA32"/>
      <c r="AB32"/>
      <c r="AC32"/>
      <c r="AD32"/>
      <c r="AE32"/>
    </row>
    <row r="33" spans="1:25" s="24" customFormat="1" ht="14.25">
      <c r="A33"/>
      <c r="B33"/>
      <c r="C33"/>
      <c r="D33"/>
      <c r="E33"/>
      <c r="F33"/>
      <c r="J33" s="24" t="s">
        <v>38</v>
      </c>
      <c r="K33" s="38"/>
      <c r="R33" s="38"/>
      <c r="Y33" s="38"/>
    </row>
    <row r="34" spans="10:31" ht="14.25">
      <c r="J34" s="24"/>
      <c r="L34" s="24"/>
      <c r="M34" s="24"/>
      <c r="N34" s="57" t="s">
        <v>1</v>
      </c>
      <c r="O34" s="57"/>
      <c r="P34" s="24"/>
      <c r="Q34" s="24"/>
      <c r="S34" s="24"/>
      <c r="T34" s="24"/>
      <c r="U34" s="57" t="s">
        <v>1</v>
      </c>
      <c r="V34" s="57"/>
      <c r="W34" s="24"/>
      <c r="X34" s="24"/>
      <c r="Z34" s="24"/>
      <c r="AA34" s="24"/>
      <c r="AB34" s="57" t="s">
        <v>1</v>
      </c>
      <c r="AC34" s="57"/>
      <c r="AD34" s="24"/>
      <c r="AE34" s="24"/>
    </row>
    <row r="35" spans="14:29" ht="14.25">
      <c r="N35" t="s">
        <v>125</v>
      </c>
      <c r="O35" t="s">
        <v>0</v>
      </c>
      <c r="U35" t="s">
        <v>125</v>
      </c>
      <c r="V35" t="s">
        <v>0</v>
      </c>
      <c r="AB35" t="s">
        <v>125</v>
      </c>
      <c r="AC35" t="s">
        <v>0</v>
      </c>
    </row>
    <row r="36" spans="14:30" ht="14.25">
      <c r="N36">
        <v>209</v>
      </c>
      <c r="O36">
        <f>P36-N36</f>
        <v>4054</v>
      </c>
      <c r="P36">
        <v>4263</v>
      </c>
      <c r="U36">
        <v>51</v>
      </c>
      <c r="V36">
        <f>W36-U36</f>
        <v>4212</v>
      </c>
      <c r="W36">
        <v>4263</v>
      </c>
      <c r="AB36">
        <v>158</v>
      </c>
      <c r="AC36">
        <f>AD36-AB36</f>
        <v>4105</v>
      </c>
      <c r="AD36">
        <v>4263</v>
      </c>
    </row>
    <row r="37" spans="11:30" ht="14.25">
      <c r="K37" s="56" t="s">
        <v>124</v>
      </c>
      <c r="L37">
        <v>325</v>
      </c>
      <c r="M37" t="s">
        <v>125</v>
      </c>
      <c r="N37">
        <v>209</v>
      </c>
      <c r="O37">
        <f>L37-N37</f>
        <v>116</v>
      </c>
      <c r="P37">
        <f>O37+N37</f>
        <v>325</v>
      </c>
      <c r="R37" s="56" t="s">
        <v>124</v>
      </c>
      <c r="S37">
        <v>55</v>
      </c>
      <c r="T37" t="s">
        <v>125</v>
      </c>
      <c r="U37">
        <v>51</v>
      </c>
      <c r="V37">
        <f>S37-U37</f>
        <v>4</v>
      </c>
      <c r="W37">
        <f>V37+U37</f>
        <v>55</v>
      </c>
      <c r="Y37" s="56" t="s">
        <v>124</v>
      </c>
      <c r="Z37">
        <v>270</v>
      </c>
      <c r="AA37" t="s">
        <v>125</v>
      </c>
      <c r="AB37">
        <v>158</v>
      </c>
      <c r="AC37">
        <f>Z37-AB37</f>
        <v>112</v>
      </c>
      <c r="AD37">
        <f>AC37+AB37</f>
        <v>270</v>
      </c>
    </row>
    <row r="38" spans="11:30" ht="14.25">
      <c r="K38" s="56"/>
      <c r="M38" t="s">
        <v>0</v>
      </c>
      <c r="N38">
        <f>N36-N37</f>
        <v>0</v>
      </c>
      <c r="O38">
        <f>O36-O37</f>
        <v>3938</v>
      </c>
      <c r="P38">
        <f>O38+N38</f>
        <v>3938</v>
      </c>
      <c r="R38" s="56"/>
      <c r="T38" t="s">
        <v>0</v>
      </c>
      <c r="U38">
        <f>U36-U37</f>
        <v>0</v>
      </c>
      <c r="V38">
        <f>V36-V37</f>
        <v>4208</v>
      </c>
      <c r="W38">
        <f>V38+U38</f>
        <v>4208</v>
      </c>
      <c r="Y38" s="56"/>
      <c r="AA38" t="s">
        <v>0</v>
      </c>
      <c r="AB38">
        <f>AB36-AB37</f>
        <v>0</v>
      </c>
      <c r="AC38">
        <f>AC36-AC37</f>
        <v>3993</v>
      </c>
      <c r="AD38">
        <f>AC38+AB38</f>
        <v>3993</v>
      </c>
    </row>
  </sheetData>
  <sheetProtection/>
  <mergeCells count="24">
    <mergeCell ref="U34:V34"/>
    <mergeCell ref="U10:V10"/>
    <mergeCell ref="R13:R14"/>
    <mergeCell ref="U18:V18"/>
    <mergeCell ref="R21:R22"/>
    <mergeCell ref="U26:V26"/>
    <mergeCell ref="R29:R30"/>
    <mergeCell ref="K13:K14"/>
    <mergeCell ref="N10:O10"/>
    <mergeCell ref="N18:O18"/>
    <mergeCell ref="K21:K22"/>
    <mergeCell ref="N26:O26"/>
    <mergeCell ref="R37:R38"/>
    <mergeCell ref="K29:K30"/>
    <mergeCell ref="N34:O34"/>
    <mergeCell ref="K37:K38"/>
    <mergeCell ref="Y29:Y30"/>
    <mergeCell ref="AB34:AC34"/>
    <mergeCell ref="Y37:Y38"/>
    <mergeCell ref="AB10:AC10"/>
    <mergeCell ref="Y13:Y14"/>
    <mergeCell ref="AB18:AC18"/>
    <mergeCell ref="Y21:Y22"/>
    <mergeCell ref="AB26:A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9"/>
  <sheetViews>
    <sheetView zoomScale="85" zoomScaleNormal="85" zoomScalePageLayoutView="0" workbookViewId="0" topLeftCell="A2">
      <selection activeCell="G9" sqref="G9"/>
    </sheetView>
  </sheetViews>
  <sheetFormatPr defaultColWidth="9.140625" defaultRowHeight="15"/>
  <cols>
    <col min="1" max="1" width="43.28125" style="42" customWidth="1"/>
    <col min="2" max="10" width="12.00390625" style="0" customWidth="1"/>
  </cols>
  <sheetData>
    <row r="1" ht="14.25">
      <c r="A1" t="s">
        <v>147</v>
      </c>
    </row>
    <row r="2" ht="15">
      <c r="A2" s="47" t="s">
        <v>148</v>
      </c>
    </row>
    <row r="3" ht="14.25">
      <c r="A3" t="s">
        <v>149</v>
      </c>
    </row>
    <row r="4" ht="14.25">
      <c r="A4" t="s">
        <v>150</v>
      </c>
    </row>
    <row r="7" spans="1:11" s="32" customFormat="1" ht="57">
      <c r="A7" s="48"/>
      <c r="B7" s="33" t="s">
        <v>59</v>
      </c>
      <c r="C7" s="33" t="s">
        <v>60</v>
      </c>
      <c r="D7" s="33" t="s">
        <v>61</v>
      </c>
      <c r="E7" s="33" t="s">
        <v>62</v>
      </c>
      <c r="F7" s="33" t="s">
        <v>79</v>
      </c>
      <c r="G7" s="33"/>
      <c r="H7" s="33"/>
      <c r="I7" s="33"/>
      <c r="J7" s="33"/>
      <c r="K7" s="33"/>
    </row>
    <row r="8" spans="1:11" ht="14.25">
      <c r="A8" s="49"/>
      <c r="B8" s="23" t="s">
        <v>63</v>
      </c>
      <c r="C8" s="23" t="s">
        <v>64</v>
      </c>
      <c r="D8" s="23" t="s">
        <v>65</v>
      </c>
      <c r="E8" s="23" t="s">
        <v>66</v>
      </c>
      <c r="F8" s="23" t="s">
        <v>67</v>
      </c>
      <c r="G8" s="23"/>
      <c r="H8" s="23"/>
      <c r="I8" s="23"/>
      <c r="J8" s="23"/>
      <c r="K8" s="23"/>
    </row>
    <row r="9" spans="1:11" ht="14.25">
      <c r="A9" s="42" t="s">
        <v>130</v>
      </c>
      <c r="B9" s="15">
        <f>'vector matching'!N13</f>
        <v>88</v>
      </c>
      <c r="C9" s="15">
        <f>'vector matching'!N14</f>
        <v>0</v>
      </c>
      <c r="D9" s="15">
        <f>'vector matching'!O13</f>
        <v>237</v>
      </c>
      <c r="E9" s="15">
        <f>'vector matching'!O14</f>
        <v>3939</v>
      </c>
      <c r="F9" s="15">
        <f>B9+E9</f>
        <v>4027</v>
      </c>
      <c r="G9" s="18"/>
      <c r="H9" s="15"/>
      <c r="I9" s="18"/>
      <c r="J9" s="18"/>
      <c r="K9" s="18"/>
    </row>
    <row r="10" spans="1:11" ht="14.25">
      <c r="A10" s="42" t="s">
        <v>131</v>
      </c>
      <c r="B10" s="15">
        <f>'vector matching'!N21</f>
        <v>165</v>
      </c>
      <c r="C10" s="15">
        <f>'vector matching'!N22</f>
        <v>0</v>
      </c>
      <c r="D10" s="15">
        <f>'vector matching'!O21</f>
        <v>160</v>
      </c>
      <c r="E10" s="15">
        <f>'vector matching'!O22</f>
        <v>3938</v>
      </c>
      <c r="F10" s="15">
        <f>B10+E10</f>
        <v>4103</v>
      </c>
      <c r="G10" s="18"/>
      <c r="H10" s="15"/>
      <c r="I10" s="18"/>
      <c r="J10" s="18"/>
      <c r="K10" s="18"/>
    </row>
    <row r="11" spans="1:11" ht="14.25">
      <c r="A11" s="42" t="s">
        <v>132</v>
      </c>
      <c r="B11" s="15">
        <f>'vector matching'!N29</f>
        <v>135</v>
      </c>
      <c r="C11" s="15">
        <f>'vector matching'!N30</f>
        <v>0</v>
      </c>
      <c r="D11" s="15">
        <f>'vector matching'!O29</f>
        <v>190</v>
      </c>
      <c r="E11" s="15">
        <f>'vector matching'!O30</f>
        <v>3938</v>
      </c>
      <c r="F11" s="15">
        <f aca="true" t="shared" si="0" ref="F11:F16">B11+E11</f>
        <v>4073</v>
      </c>
      <c r="G11" s="18"/>
      <c r="H11" s="15"/>
      <c r="I11" s="18"/>
      <c r="J11" s="18"/>
      <c r="K11" s="18"/>
    </row>
    <row r="12" spans="1:11" ht="14.25">
      <c r="A12" s="42" t="s">
        <v>133</v>
      </c>
      <c r="B12" s="15">
        <f>'vector matching'!N37</f>
        <v>209</v>
      </c>
      <c r="C12" s="15">
        <f>'vector matching'!N38</f>
        <v>0</v>
      </c>
      <c r="D12" s="15">
        <f>'vector matching'!O37</f>
        <v>116</v>
      </c>
      <c r="E12" s="15">
        <f>'vector matching'!O38</f>
        <v>3938</v>
      </c>
      <c r="F12" s="15">
        <f>B12+E12</f>
        <v>4147</v>
      </c>
      <c r="G12" s="18"/>
      <c r="H12" s="15"/>
      <c r="I12" s="18"/>
      <c r="J12" s="18"/>
      <c r="K12" s="18"/>
    </row>
    <row r="13" spans="1:11" ht="14.25">
      <c r="A13" s="42" t="s">
        <v>134</v>
      </c>
      <c r="B13" s="15">
        <f>'vector matching'!U13</f>
        <v>30</v>
      </c>
      <c r="C13" s="15">
        <f>'vector matching'!U14</f>
        <v>0</v>
      </c>
      <c r="D13" s="15">
        <f>'vector matching'!V13</f>
        <v>25</v>
      </c>
      <c r="E13" s="15">
        <f>'vector matching'!V14</f>
        <v>4209</v>
      </c>
      <c r="F13" s="15">
        <f>B13+E13</f>
        <v>4239</v>
      </c>
      <c r="G13" s="18"/>
      <c r="H13" s="15"/>
      <c r="I13" s="18"/>
      <c r="J13" s="18"/>
      <c r="K13" s="18"/>
    </row>
    <row r="14" spans="1:11" ht="14.25">
      <c r="A14" s="42" t="s">
        <v>137</v>
      </c>
      <c r="B14" s="15">
        <f>'vector matching'!U21</f>
        <v>35</v>
      </c>
      <c r="C14" s="15">
        <f>'vector matching'!U22</f>
        <v>0</v>
      </c>
      <c r="D14" s="15">
        <f>'vector matching'!V21</f>
        <v>20</v>
      </c>
      <c r="E14" s="15">
        <f>'vector matching'!V22</f>
        <v>4208</v>
      </c>
      <c r="F14" s="15">
        <f t="shared" si="0"/>
        <v>4243</v>
      </c>
      <c r="G14" s="18"/>
      <c r="H14" s="15"/>
      <c r="I14" s="18"/>
      <c r="J14" s="18"/>
      <c r="K14" s="18"/>
    </row>
    <row r="15" spans="1:11" ht="14.25">
      <c r="A15" s="42" t="s">
        <v>135</v>
      </c>
      <c r="B15" s="15">
        <f>'vector matching'!U29</f>
        <v>46</v>
      </c>
      <c r="C15" s="15">
        <f>'vector matching'!U30</f>
        <v>0</v>
      </c>
      <c r="D15" s="15">
        <f>'vector matching'!V29</f>
        <v>9</v>
      </c>
      <c r="E15" s="15">
        <f>'vector matching'!V30</f>
        <v>4208</v>
      </c>
      <c r="F15" s="15">
        <f t="shared" si="0"/>
        <v>4254</v>
      </c>
      <c r="G15" s="18"/>
      <c r="H15" s="15"/>
      <c r="I15" s="18"/>
      <c r="J15" s="18"/>
      <c r="K15" s="18"/>
    </row>
    <row r="16" spans="1:11" ht="14.25">
      <c r="A16" s="42" t="s">
        <v>136</v>
      </c>
      <c r="B16" s="15">
        <f>'vector matching'!U37</f>
        <v>51</v>
      </c>
      <c r="C16" s="15">
        <f>'vector matching'!U38</f>
        <v>0</v>
      </c>
      <c r="D16" s="15">
        <f>'vector matching'!V37</f>
        <v>4</v>
      </c>
      <c r="E16" s="15">
        <f>'vector matching'!V38</f>
        <v>4208</v>
      </c>
      <c r="F16" s="15">
        <f t="shared" si="0"/>
        <v>4259</v>
      </c>
      <c r="G16" s="18"/>
      <c r="H16" s="15"/>
      <c r="I16" s="18"/>
      <c r="J16" s="18"/>
      <c r="K16" s="18"/>
    </row>
    <row r="17" spans="2:11" ht="14.25">
      <c r="B17" s="15"/>
      <c r="C17" s="15"/>
      <c r="D17" s="15"/>
      <c r="E17" s="15"/>
      <c r="F17" s="15"/>
      <c r="G17" s="18"/>
      <c r="H17" s="15"/>
      <c r="I17" s="18"/>
      <c r="J17" s="18"/>
      <c r="K17" s="18"/>
    </row>
    <row r="18" spans="1:11" ht="14.25">
      <c r="A18" s="42" t="s">
        <v>151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2:11" ht="14.25"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3:11" ht="14.25">
      <c r="C20" s="18"/>
      <c r="D20" s="18"/>
      <c r="E20" s="18"/>
      <c r="F20" s="18"/>
      <c r="G20" s="18"/>
      <c r="H20" s="18"/>
      <c r="I20" s="18"/>
      <c r="J20" s="18"/>
      <c r="K20" s="18"/>
    </row>
    <row r="21" spans="1:11" s="32" customFormat="1" ht="42.75">
      <c r="A21" s="48"/>
      <c r="B21" s="33" t="s">
        <v>88</v>
      </c>
      <c r="C21" s="32" t="s">
        <v>130</v>
      </c>
      <c r="D21" s="39" t="s">
        <v>131</v>
      </c>
      <c r="E21" s="39" t="s">
        <v>132</v>
      </c>
      <c r="F21" s="39" t="s">
        <v>133</v>
      </c>
      <c r="G21" s="39" t="s">
        <v>134</v>
      </c>
      <c r="H21" s="39" t="s">
        <v>137</v>
      </c>
      <c r="I21" s="39" t="s">
        <v>135</v>
      </c>
      <c r="J21" s="39" t="s">
        <v>136</v>
      </c>
      <c r="K21" s="33"/>
    </row>
    <row r="22" spans="1:12" ht="14.25">
      <c r="A22" s="42" t="s">
        <v>80</v>
      </c>
      <c r="B22" s="18" t="s">
        <v>93</v>
      </c>
      <c r="C22" s="30">
        <f>B9/(B9+D9)</f>
        <v>0.27076923076923076</v>
      </c>
      <c r="D22" s="30">
        <f>B10/(B10+D10)</f>
        <v>0.5076923076923077</v>
      </c>
      <c r="E22" s="30">
        <f>B11/(B11+D11)</f>
        <v>0.4153846153846154</v>
      </c>
      <c r="F22" s="30">
        <f>B12/(B12+D12)</f>
        <v>0.6430769230769231</v>
      </c>
      <c r="G22" s="30">
        <f>B13/(B13+D13)</f>
        <v>0.5454545454545454</v>
      </c>
      <c r="H22" s="30">
        <f>B14/(B14+D14)</f>
        <v>0.6363636363636364</v>
      </c>
      <c r="I22" s="30">
        <f>B15/(B15+D15)</f>
        <v>0.8363636363636363</v>
      </c>
      <c r="J22" s="30">
        <f>B16/(B16+D16)</f>
        <v>0.9272727272727272</v>
      </c>
      <c r="K22" s="30"/>
      <c r="L22" s="31"/>
    </row>
    <row r="23" spans="1:12" ht="14.25">
      <c r="A23" s="42" t="s">
        <v>115</v>
      </c>
      <c r="B23" s="18" t="s">
        <v>96</v>
      </c>
      <c r="C23" s="30">
        <f>D9/(B9+D9)</f>
        <v>0.7292307692307692</v>
      </c>
      <c r="D23" s="30">
        <f>D10/(B10+D10)</f>
        <v>0.49230769230769234</v>
      </c>
      <c r="E23" s="30">
        <f>D11/(B11+D11)</f>
        <v>0.5846153846153846</v>
      </c>
      <c r="F23" s="30">
        <f>D12/(B12+D12)</f>
        <v>0.3569230769230769</v>
      </c>
      <c r="G23" s="30">
        <f>D13/(B13+D13)</f>
        <v>0.45454545454545453</v>
      </c>
      <c r="H23" s="30">
        <f>D14/(B14+D14)</f>
        <v>0.36363636363636365</v>
      </c>
      <c r="I23" s="30">
        <f>D15/(B15+D15)</f>
        <v>0.16363636363636364</v>
      </c>
      <c r="J23" s="30">
        <f>D16/(B16+D16)</f>
        <v>0.07272727272727272</v>
      </c>
      <c r="K23" s="30"/>
      <c r="L23" s="31"/>
    </row>
    <row r="24" spans="1:12" ht="14.25">
      <c r="A24" s="42" t="s">
        <v>100</v>
      </c>
      <c r="B24" s="18" t="s">
        <v>98</v>
      </c>
      <c r="C24" s="30">
        <f>E9/(D9+E9)</f>
        <v>0.9432471264367817</v>
      </c>
      <c r="D24" s="30">
        <f>E10/(D10+E10)</f>
        <v>0.9609565641776476</v>
      </c>
      <c r="E24" s="30">
        <f>E11/(D11+E11)</f>
        <v>0.9539728682170543</v>
      </c>
      <c r="F24" s="30">
        <f>E12/(D12+E12)</f>
        <v>0.9713862851504687</v>
      </c>
      <c r="G24" s="30">
        <f>E13/(D13+E13)</f>
        <v>0.9940954180444025</v>
      </c>
      <c r="H24" s="30">
        <f>E14/(D14+E14)</f>
        <v>0.9952696310312205</v>
      </c>
      <c r="I24" s="30">
        <f>E15/(D15+E15)</f>
        <v>0.9978657813611572</v>
      </c>
      <c r="J24" s="30">
        <f>E16/(D16+E16)</f>
        <v>0.9990503323836657</v>
      </c>
      <c r="K24" s="30"/>
      <c r="L24" s="31"/>
    </row>
    <row r="25" spans="4:10" ht="14.25">
      <c r="D25" s="40"/>
      <c r="E25" s="40"/>
      <c r="F25" s="40"/>
      <c r="G25" s="40"/>
      <c r="H25" s="40"/>
      <c r="I25" s="40"/>
      <c r="J25" s="40"/>
    </row>
    <row r="26" spans="4:10" ht="14.25">
      <c r="D26" s="40"/>
      <c r="E26" s="40"/>
      <c r="F26" s="40"/>
      <c r="G26" s="40"/>
      <c r="H26" s="40"/>
      <c r="I26" s="40"/>
      <c r="J26" s="40"/>
    </row>
    <row r="29" spans="1:11" ht="14.25">
      <c r="A29" s="26"/>
      <c r="B29" s="18"/>
      <c r="C29" s="18"/>
      <c r="D29" s="18"/>
      <c r="E29" s="18"/>
      <c r="F29" s="18"/>
      <c r="G29" s="18"/>
      <c r="H29" s="18"/>
      <c r="I29" s="18"/>
      <c r="J29" s="18"/>
      <c r="K29" s="18"/>
    </row>
    <row r="30" spans="1:11" ht="14.25">
      <c r="A30" s="42" t="s">
        <v>111</v>
      </c>
      <c r="B30" s="18" t="s">
        <v>89</v>
      </c>
      <c r="C30" s="18"/>
      <c r="D30" s="18"/>
      <c r="E30" s="18"/>
      <c r="F30" s="26"/>
      <c r="G30" s="18"/>
      <c r="H30" s="18"/>
      <c r="I30" s="18"/>
      <c r="J30" s="18"/>
      <c r="K30" s="18"/>
    </row>
    <row r="31" spans="1:11" ht="14.25">
      <c r="A31" s="42" t="s">
        <v>112</v>
      </c>
      <c r="B31" s="18" t="s">
        <v>90</v>
      </c>
      <c r="C31" s="18"/>
      <c r="D31" s="18"/>
      <c r="E31" s="18"/>
      <c r="F31" s="26"/>
      <c r="G31" s="18"/>
      <c r="H31" s="18"/>
      <c r="I31" s="18"/>
      <c r="J31" s="18"/>
      <c r="K31" s="18"/>
    </row>
    <row r="32" spans="1:12" ht="14.25">
      <c r="A32" s="42" t="s">
        <v>113</v>
      </c>
      <c r="B32" s="18" t="s">
        <v>91</v>
      </c>
      <c r="C32" s="30"/>
      <c r="D32" s="30"/>
      <c r="E32" s="30"/>
      <c r="F32" s="30"/>
      <c r="G32" s="30"/>
      <c r="H32" s="30"/>
      <c r="I32" s="30"/>
      <c r="J32" s="30"/>
      <c r="K32" s="30"/>
      <c r="L32" s="31"/>
    </row>
    <row r="33" spans="1:12" ht="14.25">
      <c r="A33" s="42" t="s">
        <v>81</v>
      </c>
      <c r="B33" s="18" t="s">
        <v>94</v>
      </c>
      <c r="C33" s="30"/>
      <c r="D33" s="30"/>
      <c r="E33" s="30"/>
      <c r="F33" s="30"/>
      <c r="G33" s="30"/>
      <c r="H33" s="30"/>
      <c r="I33" s="30"/>
      <c r="J33" s="30"/>
      <c r="K33" s="30"/>
      <c r="L33" s="31"/>
    </row>
    <row r="34" spans="1:12" ht="14.25">
      <c r="A34" s="42" t="s">
        <v>114</v>
      </c>
      <c r="B34" s="18" t="s">
        <v>95</v>
      </c>
      <c r="C34" s="30"/>
      <c r="D34" s="30"/>
      <c r="E34" s="30"/>
      <c r="F34" s="30"/>
      <c r="G34" s="30"/>
      <c r="H34" s="30"/>
      <c r="I34" s="30"/>
      <c r="J34" s="30"/>
      <c r="K34" s="30"/>
      <c r="L34" s="31"/>
    </row>
    <row r="35" spans="1:12" ht="14.25">
      <c r="A35" s="42" t="s">
        <v>99</v>
      </c>
      <c r="B35" s="18" t="s">
        <v>97</v>
      </c>
      <c r="C35" s="30"/>
      <c r="D35" s="30"/>
      <c r="E35" s="30"/>
      <c r="F35" s="30"/>
      <c r="G35" s="30"/>
      <c r="H35" s="30"/>
      <c r="I35" s="30"/>
      <c r="J35" s="30"/>
      <c r="K35" s="30"/>
      <c r="L35" s="31"/>
    </row>
    <row r="36" spans="1:12" ht="14.25">
      <c r="A36" s="42" t="s">
        <v>116</v>
      </c>
      <c r="B36" s="18" t="s">
        <v>92</v>
      </c>
      <c r="C36" s="30"/>
      <c r="D36" s="30"/>
      <c r="E36" s="30"/>
      <c r="F36" s="30"/>
      <c r="G36" s="30"/>
      <c r="H36" s="30"/>
      <c r="I36" s="30"/>
      <c r="J36" s="30"/>
      <c r="K36" s="30"/>
      <c r="L36" s="31"/>
    </row>
    <row r="37" spans="1:11" ht="14.25">
      <c r="A37" s="42" t="s">
        <v>117</v>
      </c>
      <c r="B37" s="18" t="s">
        <v>101</v>
      </c>
      <c r="C37" s="18"/>
      <c r="D37" s="18"/>
      <c r="E37" s="18"/>
      <c r="F37" s="27"/>
      <c r="G37" s="18"/>
      <c r="H37" s="18"/>
      <c r="I37" s="18"/>
      <c r="J37" s="18"/>
      <c r="K37" s="18"/>
    </row>
    <row r="38" spans="1:11" ht="14.25">
      <c r="A38" s="42" t="s">
        <v>102</v>
      </c>
      <c r="B38" s="18" t="s">
        <v>103</v>
      </c>
      <c r="C38" s="18"/>
      <c r="D38" s="18"/>
      <c r="E38" s="28"/>
      <c r="F38" s="18"/>
      <c r="G38" s="18"/>
      <c r="H38" s="18"/>
      <c r="I38" s="18"/>
      <c r="J38" s="18"/>
      <c r="K38" s="18"/>
    </row>
    <row r="39" spans="1:11" ht="14.25">
      <c r="A39" s="42" t="s">
        <v>104</v>
      </c>
      <c r="B39" s="18" t="s">
        <v>105</v>
      </c>
      <c r="C39" s="18"/>
      <c r="D39" s="18"/>
      <c r="E39" s="18"/>
      <c r="F39" s="18"/>
      <c r="G39" s="18"/>
      <c r="H39" s="18"/>
      <c r="I39" s="18"/>
      <c r="J39" s="18"/>
      <c r="K39" s="18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63.00390625" style="42" bestFit="1" customWidth="1"/>
    <col min="2" max="2" width="8.8515625" style="34" customWidth="1"/>
    <col min="3" max="3" width="9.140625" style="35" bestFit="1" customWidth="1"/>
    <col min="4" max="5" width="8.8515625" style="34" customWidth="1"/>
    <col min="6" max="16384" width="8.8515625" style="42" customWidth="1"/>
  </cols>
  <sheetData>
    <row r="1" ht="14.25">
      <c r="A1" t="s">
        <v>147</v>
      </c>
    </row>
    <row r="2" ht="15">
      <c r="A2" s="47" t="s">
        <v>148</v>
      </c>
    </row>
    <row r="3" ht="14.25">
      <c r="A3" t="s">
        <v>149</v>
      </c>
    </row>
    <row r="4" ht="14.25">
      <c r="A4" t="s">
        <v>150</v>
      </c>
    </row>
    <row r="6" ht="14.25" customHeight="1">
      <c r="C6" s="35">
        <v>100</v>
      </c>
    </row>
    <row r="7" spans="2:5" ht="14.25">
      <c r="B7" s="34" t="s">
        <v>51</v>
      </c>
      <c r="C7" s="35" t="s">
        <v>47</v>
      </c>
      <c r="D7" s="34" t="s">
        <v>50</v>
      </c>
      <c r="E7" s="34" t="s">
        <v>47</v>
      </c>
    </row>
    <row r="8" spans="1:2" ht="14.25">
      <c r="A8" s="42" t="s">
        <v>56</v>
      </c>
      <c r="B8" s="34">
        <f>1and2!B10*1000000</f>
        <v>625500</v>
      </c>
    </row>
    <row r="9" spans="1:4" ht="14.25">
      <c r="A9" s="42" t="s">
        <v>52</v>
      </c>
      <c r="B9" s="34">
        <v>798</v>
      </c>
      <c r="C9" s="35">
        <f>B9/B8*C6</f>
        <v>0.1275779376498801</v>
      </c>
      <c r="D9" s="34">
        <f>B9*C9/C6</f>
        <v>1.0180719424460432</v>
      </c>
    </row>
    <row r="10" spans="1:3" ht="14.25">
      <c r="A10" s="42" t="s">
        <v>48</v>
      </c>
      <c r="B10" s="34">
        <v>22868</v>
      </c>
      <c r="C10" s="35">
        <f>B10/B8*C6</f>
        <v>3.6559552358113505</v>
      </c>
    </row>
    <row r="11" spans="1:5" ht="14.25">
      <c r="A11" s="42" t="s">
        <v>140</v>
      </c>
      <c r="B11" s="34">
        <v>357.8</v>
      </c>
      <c r="C11" s="35">
        <f>B11/D9</f>
        <v>351.44864039798745</v>
      </c>
      <c r="E11" s="34">
        <f>B11/B9*100</f>
        <v>44.83709273182958</v>
      </c>
    </row>
    <row r="12" spans="1:3" ht="14.25">
      <c r="A12" s="42" t="s">
        <v>54</v>
      </c>
      <c r="B12" s="34">
        <v>49320</v>
      </c>
      <c r="C12" s="35">
        <f>B12/B8*C6</f>
        <v>7.884892086330936</v>
      </c>
    </row>
    <row r="13" spans="1:5" ht="14.25">
      <c r="A13" s="42" t="s">
        <v>141</v>
      </c>
      <c r="B13" s="34">
        <v>540.3</v>
      </c>
      <c r="C13" s="35">
        <f>B13/D9</f>
        <v>530.7090564757759</v>
      </c>
      <c r="E13" s="34">
        <f>B13/B9*100</f>
        <v>67.70676691729322</v>
      </c>
    </row>
    <row r="15" spans="1:3" ht="14.25">
      <c r="A15" s="42" t="s">
        <v>53</v>
      </c>
      <c r="B15" s="34">
        <v>453.5</v>
      </c>
      <c r="C15" s="35">
        <f>B15/D9</f>
        <v>445.44985584261406</v>
      </c>
    </row>
    <row r="16" spans="1:5" ht="14.25">
      <c r="A16" s="42" t="s">
        <v>49</v>
      </c>
      <c r="B16" s="34">
        <v>266.9</v>
      </c>
      <c r="C16" s="35">
        <f>B16/D9</f>
        <v>262.16221945842045</v>
      </c>
      <c r="E16" s="34">
        <f>B16/B15*100</f>
        <v>58.85336273428886</v>
      </c>
    </row>
    <row r="17" spans="1:5" ht="14.25">
      <c r="A17" s="42" t="s">
        <v>55</v>
      </c>
      <c r="B17" s="34">
        <v>400.8</v>
      </c>
      <c r="C17" s="35">
        <f>B17/D9</f>
        <v>393.6853411724801</v>
      </c>
      <c r="E17" s="34">
        <f>B17/B15*100</f>
        <v>88.37927232635062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Ghezzo</dc:creator>
  <cp:keywords/>
  <dc:description/>
  <cp:lastModifiedBy>Elena Ghezzo</cp:lastModifiedBy>
  <dcterms:created xsi:type="dcterms:W3CDTF">2015-06-05T18:17:20Z</dcterms:created>
  <dcterms:modified xsi:type="dcterms:W3CDTF">2022-09-13T18:01:35Z</dcterms:modified>
  <cp:category/>
  <cp:version/>
  <cp:contentType/>
  <cp:contentStatus/>
</cp:coreProperties>
</file>