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c203259\Documents\A ChloroKB\Quantitative data\Paper\Q_Atlas_V8\"/>
    </mc:Choice>
  </mc:AlternateContent>
  <bookViews>
    <workbookView xWindow="0" yWindow="0" windowWidth="2154" windowHeight="0" tabRatio="847"/>
  </bookViews>
  <sheets>
    <sheet name="Table S1.1 (complete_data)" sheetId="1" r:id="rId1"/>
    <sheet name="Table S1.2 (veins data)" sheetId="2" r:id="rId2"/>
    <sheet name="Table S1.3(minor veins cells n)" sheetId="9" r:id="rId3"/>
    <sheet name="Table S1.4 (ER,Golgi)" sheetId="3" r:id="rId4"/>
    <sheet name="TableS.1.5 (areas, cell wall)" sheetId="12" r:id="rId5"/>
    <sheet name="Table S1.6 (Additional data)" sheetId="6" r:id="rId6"/>
    <sheet name="Table S1.7 Cells summary" sheetId="8" r:id="rId7"/>
    <sheet name="Table S1.8 Subcell" sheetId="10" r:id="rId8"/>
    <sheet name="Table S1.9 Subcell summary" sheetId="11" r:id="rId9"/>
    <sheet name="Table S1.10 Legend" sheetId="4" r:id="rId10"/>
    <sheet name="Table S1.11 Abbreviations" sheetId="7"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8" l="1"/>
  <c r="C7" i="8"/>
  <c r="C22" i="8" s="1"/>
  <c r="D62" i="1" l="1"/>
  <c r="D933" i="1" l="1"/>
  <c r="D935" i="1" s="1"/>
  <c r="D936" i="1"/>
  <c r="D972" i="1"/>
  <c r="D974" i="1"/>
  <c r="D973" i="1"/>
  <c r="D975" i="1"/>
  <c r="D1002" i="1"/>
  <c r="D986" i="1"/>
  <c r="D987" i="1"/>
  <c r="D985" i="1"/>
  <c r="D984" i="1"/>
  <c r="D981" i="1"/>
  <c r="D980" i="1"/>
  <c r="D979" i="1"/>
  <c r="D978" i="1"/>
  <c r="D977" i="1"/>
  <c r="D976" i="1"/>
  <c r="D938" i="1"/>
  <c r="D922" i="1"/>
  <c r="D917" i="1"/>
  <c r="D913" i="1"/>
  <c r="D889" i="1"/>
  <c r="D632" i="1"/>
  <c r="D628" i="1"/>
  <c r="D627" i="1"/>
  <c r="D623" i="1"/>
  <c r="D620" i="1"/>
  <c r="D619" i="1"/>
  <c r="D617" i="1"/>
  <c r="D613" i="1"/>
  <c r="D612" i="1"/>
  <c r="D608" i="1"/>
  <c r="D605" i="1"/>
  <c r="D604" i="1"/>
  <c r="D331" i="1"/>
  <c r="D329" i="1"/>
  <c r="D937" i="1" l="1"/>
  <c r="D271" i="1"/>
  <c r="D268" i="1"/>
  <c r="D267" i="1"/>
  <c r="D264" i="1"/>
  <c r="D258" i="1"/>
  <c r="D253" i="1"/>
  <c r="D249" i="1"/>
  <c r="D254" i="1"/>
  <c r="D251" i="1"/>
  <c r="D250" i="1"/>
  <c r="D242" i="1"/>
  <c r="D244" i="1"/>
  <c r="D247" i="1"/>
  <c r="D245" i="1"/>
  <c r="D238" i="1"/>
  <c r="D237" i="1"/>
  <c r="D235" i="1"/>
  <c r="D234" i="1"/>
  <c r="D233" i="1"/>
  <c r="D231" i="1"/>
  <c r="D229" i="1"/>
  <c r="D228" i="1"/>
  <c r="D194" i="1"/>
  <c r="D164" i="1"/>
  <c r="D159" i="1"/>
  <c r="D157" i="1"/>
  <c r="D154" i="1"/>
  <c r="D148" i="1"/>
  <c r="D144" i="1"/>
  <c r="D136" i="1"/>
  <c r="D132" i="1"/>
  <c r="D131" i="1"/>
  <c r="D130" i="1"/>
  <c r="D126" i="1"/>
  <c r="D172" i="2"/>
  <c r="D168" i="2"/>
  <c r="D193" i="2" s="1"/>
  <c r="D197" i="2" s="1"/>
  <c r="D164" i="2"/>
  <c r="D184" i="2"/>
  <c r="D195" i="2"/>
  <c r="D194" i="2"/>
  <c r="D192" i="2"/>
  <c r="D191" i="2"/>
  <c r="D189" i="2"/>
  <c r="D182" i="2"/>
  <c r="D316" i="2" s="1"/>
  <c r="D181" i="2"/>
  <c r="D315" i="2" s="1"/>
  <c r="D180" i="2"/>
  <c r="D179" i="2"/>
  <c r="D178" i="2"/>
  <c r="D312" i="2" s="1"/>
  <c r="D176" i="2"/>
  <c r="D169" i="2"/>
  <c r="D167" i="2"/>
  <c r="D313" i="2" s="1"/>
  <c r="D166" i="2"/>
  <c r="D157" i="2"/>
  <c r="D155" i="2"/>
  <c r="D154" i="2"/>
  <c r="C37" i="12"/>
  <c r="C47" i="12"/>
  <c r="C280" i="12"/>
  <c r="C270" i="12"/>
  <c r="C265" i="12"/>
  <c r="C252" i="12"/>
  <c r="C253" i="12" s="1"/>
  <c r="C235" i="12"/>
  <c r="C234" i="12"/>
  <c r="C232" i="12"/>
  <c r="C228" i="12"/>
  <c r="C227" i="12"/>
  <c r="C225" i="12"/>
  <c r="C224" i="12"/>
  <c r="C223" i="12"/>
  <c r="C198" i="12"/>
  <c r="C26" i="12"/>
  <c r="C144" i="12"/>
  <c r="C148" i="12"/>
  <c r="C147" i="12"/>
  <c r="C146" i="12"/>
  <c r="C145" i="12"/>
  <c r="C143" i="12"/>
  <c r="C142" i="12"/>
  <c r="C113" i="12"/>
  <c r="C112" i="12"/>
  <c r="C111" i="12"/>
  <c r="C110" i="12"/>
  <c r="C109" i="12"/>
  <c r="C84" i="12"/>
  <c r="C83" i="12"/>
  <c r="C81" i="12"/>
  <c r="C76" i="12"/>
  <c r="C75" i="12"/>
  <c r="C73" i="12"/>
  <c r="C72" i="12"/>
  <c r="C63" i="12"/>
  <c r="C48" i="12"/>
  <c r="C32" i="12"/>
  <c r="C31" i="12"/>
  <c r="D122" i="1"/>
  <c r="D121" i="1"/>
  <c r="D120" i="1"/>
  <c r="D60" i="1"/>
  <c r="D52" i="1"/>
  <c r="D170" i="2"/>
  <c r="D156" i="2"/>
  <c r="D153" i="2"/>
  <c r="D12" i="11"/>
  <c r="C12" i="11"/>
  <c r="D10" i="11"/>
  <c r="C10" i="11"/>
  <c r="C16" i="8" l="1"/>
  <c r="D946" i="1"/>
  <c r="D755" i="1" l="1"/>
  <c r="D751" i="1"/>
  <c r="D696" i="1"/>
  <c r="B89" i="6" l="1"/>
  <c r="D584" i="1" l="1"/>
  <c r="D583" i="1"/>
  <c r="D585" i="1"/>
  <c r="D208" i="1"/>
  <c r="D207" i="1"/>
  <c r="D206" i="1"/>
  <c r="D212" i="1"/>
  <c r="D211" i="1"/>
  <c r="D202" i="1"/>
  <c r="D201" i="1" l="1"/>
  <c r="D200" i="1"/>
  <c r="D210" i="1"/>
  <c r="D203" i="1"/>
  <c r="C79" i="12" l="1"/>
  <c r="C68" i="12"/>
  <c r="C71" i="12" s="1"/>
  <c r="C246" i="12"/>
  <c r="C247" i="12" s="1"/>
  <c r="B14" i="8"/>
  <c r="B13" i="8"/>
  <c r="B12" i="8"/>
  <c r="C248" i="12" l="1"/>
  <c r="C250" i="12" s="1"/>
  <c r="B86" i="6"/>
  <c r="C277" i="12"/>
  <c r="C278" i="12" s="1"/>
  <c r="C279" i="12" s="1"/>
  <c r="C281" i="12" s="1"/>
  <c r="D80" i="1"/>
  <c r="D79" i="1"/>
  <c r="C141" i="12"/>
  <c r="B97" i="6" l="1"/>
  <c r="B99" i="6" s="1"/>
  <c r="B91" i="6"/>
  <c r="B90" i="6"/>
  <c r="B94" i="6" s="1"/>
  <c r="B93" i="6" l="1"/>
  <c r="B95" i="6"/>
  <c r="B96" i="6" s="1"/>
  <c r="D713" i="1" s="1"/>
  <c r="C256" i="12"/>
  <c r="C259" i="12" s="1"/>
  <c r="C255" i="12"/>
  <c r="C258" i="12" s="1"/>
  <c r="B69" i="6" l="1"/>
  <c r="C273" i="12" l="1"/>
  <c r="C266" i="12"/>
  <c r="C267" i="12" s="1"/>
  <c r="C271" i="12"/>
  <c r="C272" i="12" l="1"/>
  <c r="C274" i="12"/>
  <c r="C233" i="12"/>
  <c r="C231" i="12"/>
  <c r="C226" i="12" l="1"/>
  <c r="D75" i="1"/>
  <c r="C61" i="12" l="1"/>
  <c r="C62" i="12" s="1"/>
  <c r="C60" i="12"/>
  <c r="C92" i="12"/>
  <c r="C91" i="12"/>
  <c r="C90" i="12"/>
  <c r="C89" i="12"/>
  <c r="C88" i="12"/>
  <c r="C80" i="12"/>
  <c r="C49" i="12"/>
  <c r="C29" i="12"/>
  <c r="C28" i="12"/>
  <c r="B71" i="6"/>
  <c r="B64" i="6"/>
  <c r="B65" i="6" s="1"/>
  <c r="B67" i="6" s="1"/>
  <c r="C82" i="12"/>
  <c r="C74" i="12"/>
  <c r="C46" i="12"/>
  <c r="C36" i="12"/>
  <c r="C3" i="12"/>
  <c r="D145" i="2"/>
  <c r="D144" i="2"/>
  <c r="D143" i="2"/>
  <c r="D142" i="2"/>
  <c r="D141" i="2"/>
  <c r="D139" i="2"/>
  <c r="D86" i="2"/>
  <c r="C99" i="12" s="1"/>
  <c r="C106" i="12" s="1"/>
  <c r="D85" i="2"/>
  <c r="C98" i="12" s="1"/>
  <c r="C105" i="12" s="1"/>
  <c r="D84" i="2"/>
  <c r="C97" i="12" s="1"/>
  <c r="C104" i="12" s="1"/>
  <c r="D83" i="2"/>
  <c r="C96" i="12" s="1"/>
  <c r="C103" i="12" s="1"/>
  <c r="D82" i="2"/>
  <c r="C95" i="12" s="1"/>
  <c r="C102" i="12" s="1"/>
  <c r="C170" i="12" l="1"/>
  <c r="C186" i="12" s="1"/>
  <c r="C157" i="12"/>
  <c r="C154" i="12"/>
  <c r="C167" i="12"/>
  <c r="C183" i="12" s="1"/>
  <c r="C156" i="12"/>
  <c r="C169" i="12"/>
  <c r="C185" i="12" s="1"/>
  <c r="C268" i="12"/>
  <c r="C34" i="12"/>
  <c r="C38" i="12"/>
  <c r="C149" i="12" l="1"/>
  <c r="C161" i="12"/>
  <c r="C160" i="12"/>
  <c r="C201" i="12"/>
  <c r="C200" i="12"/>
  <c r="C50" i="12"/>
  <c r="C52" i="12" s="1"/>
  <c r="C53" i="12" s="1"/>
  <c r="C40" i="12"/>
  <c r="C33" i="12"/>
  <c r="B15" i="8"/>
  <c r="C140" i="12" l="1"/>
  <c r="C54" i="12"/>
  <c r="C42" i="12"/>
  <c r="C43" i="12" s="1"/>
  <c r="C162" i="12"/>
  <c r="C44" i="12" l="1"/>
  <c r="C139" i="12"/>
  <c r="C165" i="12"/>
  <c r="C152" i="12"/>
  <c r="C166" i="12"/>
  <c r="C182" i="12" s="1"/>
  <c r="C153" i="12"/>
  <c r="C197" i="12"/>
  <c r="C214" i="12" s="1"/>
  <c r="D888" i="1"/>
  <c r="C237" i="12" l="1"/>
  <c r="C239" i="12" s="1"/>
  <c r="C241" i="12" s="1"/>
  <c r="C216" i="12"/>
  <c r="C181" i="12"/>
  <c r="B56" i="6"/>
  <c r="D651" i="1" l="1"/>
  <c r="A6" i="11" l="1"/>
  <c r="D733" i="1" l="1"/>
  <c r="D734" i="1"/>
  <c r="D11" i="1" l="1"/>
  <c r="D12" i="1" s="1"/>
  <c r="D17" i="1"/>
  <c r="D782" i="1" s="1"/>
  <c r="D13" i="1" l="1"/>
  <c r="D14" i="1" s="1"/>
  <c r="D15" i="1" s="1"/>
  <c r="D16" i="1" s="1"/>
  <c r="N14" i="9" l="1"/>
  <c r="M14" i="9"/>
  <c r="J14" i="9"/>
  <c r="H14" i="9"/>
  <c r="F14" i="9"/>
  <c r="E14" i="9"/>
  <c r="C14" i="9"/>
  <c r="B24" i="9"/>
  <c r="B23" i="9"/>
  <c r="B22" i="9"/>
  <c r="B21" i="9"/>
  <c r="B20" i="9"/>
  <c r="B19" i="9"/>
  <c r="B18" i="9"/>
  <c r="D133" i="2"/>
  <c r="D125" i="2"/>
  <c r="D96" i="2"/>
  <c r="D95" i="2"/>
  <c r="D94" i="2"/>
  <c r="D93" i="2"/>
  <c r="D92" i="2"/>
  <c r="D123" i="2" l="1"/>
  <c r="B25" i="9"/>
  <c r="D72" i="2" s="1"/>
  <c r="D124" i="2"/>
  <c r="D70" i="2" l="1"/>
  <c r="D69" i="2"/>
  <c r="D68" i="2"/>
  <c r="D67" i="2"/>
  <c r="D53" i="2" s="1"/>
  <c r="D66" i="2"/>
  <c r="D65" i="2"/>
  <c r="D51" i="2" s="1"/>
  <c r="D64" i="2"/>
  <c r="D111" i="2" l="1"/>
  <c r="D54" i="2"/>
  <c r="D55" i="2"/>
  <c r="D112" i="2"/>
  <c r="D52" i="2"/>
  <c r="D110" i="2"/>
  <c r="D73" i="2"/>
  <c r="D56" i="2"/>
  <c r="D113" i="2"/>
  <c r="B26" i="9"/>
  <c r="E5" i="2" l="1"/>
  <c r="C17" i="8" l="1"/>
  <c r="C11" i="8"/>
  <c r="C5" i="8"/>
  <c r="B17" i="8"/>
  <c r="B16" i="8"/>
  <c r="B11" i="8"/>
  <c r="B7" i="8"/>
  <c r="B6" i="8"/>
  <c r="B5" i="8"/>
  <c r="D42" i="1"/>
  <c r="C6" i="8" s="1"/>
  <c r="B127" i="6" l="1"/>
  <c r="B150" i="6" l="1"/>
  <c r="B11" i="6"/>
  <c r="B10" i="6"/>
  <c r="B9" i="6"/>
  <c r="B32" i="3"/>
  <c r="D457" i="1" s="1"/>
  <c r="B31" i="3"/>
  <c r="B33" i="3" s="1"/>
  <c r="D525" i="1" s="1"/>
  <c r="B25" i="3"/>
  <c r="B24" i="3"/>
  <c r="B26" i="3" s="1"/>
  <c r="D521" i="1" s="1"/>
  <c r="B18" i="3"/>
  <c r="D450" i="1" s="1"/>
  <c r="B17" i="3"/>
  <c r="B19" i="3" s="1"/>
  <c r="D518" i="1" s="1"/>
  <c r="B27" i="3" l="1"/>
  <c r="D383" i="1" s="1"/>
  <c r="D453" i="1"/>
  <c r="B34" i="3"/>
  <c r="D387" i="1" s="1"/>
  <c r="D750" i="1"/>
  <c r="D5" i="2" l="1"/>
  <c r="D60" i="2"/>
  <c r="D41" i="2"/>
  <c r="D39" i="2" s="1"/>
  <c r="D135" i="2"/>
  <c r="D134" i="2"/>
  <c r="D132" i="2"/>
  <c r="D131" i="2"/>
  <c r="D129" i="2"/>
  <c r="D14" i="2"/>
  <c r="D16" i="2" l="1"/>
  <c r="D69" i="1"/>
  <c r="C59" i="12"/>
  <c r="D122" i="2"/>
  <c r="B18" i="8"/>
  <c r="D121" i="2"/>
  <c r="B19" i="8"/>
  <c r="D74" i="1"/>
  <c r="C159" i="12" s="1"/>
  <c r="D73" i="1"/>
  <c r="C158" i="12" s="1"/>
  <c r="D17" i="2"/>
  <c r="D18" i="2"/>
  <c r="D40" i="2"/>
  <c r="B8" i="8" l="1"/>
  <c r="C155" i="12"/>
  <c r="D205" i="2"/>
  <c r="D230" i="2"/>
  <c r="D218" i="2"/>
  <c r="D45" i="2"/>
  <c r="D46" i="2"/>
  <c r="D19" i="2"/>
  <c r="D208" i="2"/>
  <c r="D207" i="2"/>
  <c r="D160" i="2" l="1"/>
  <c r="D206" i="2"/>
  <c r="D209" i="2"/>
  <c r="D234" i="2"/>
  <c r="D220" i="2"/>
  <c r="D314" i="2"/>
  <c r="D235" i="2"/>
  <c r="D219" i="2"/>
  <c r="D232" i="2"/>
  <c r="D233" i="2"/>
  <c r="D236" i="2"/>
  <c r="D217" i="2"/>
  <c r="D221" i="2"/>
  <c r="D211" i="2" l="1"/>
  <c r="D253" i="2"/>
  <c r="D302" i="2" s="1"/>
  <c r="D129" i="1" s="1"/>
  <c r="D290" i="2"/>
  <c r="D37" i="1" s="1"/>
  <c r="C120" i="12"/>
  <c r="C127" i="12" s="1"/>
  <c r="C134" i="12" s="1"/>
  <c r="D49" i="1"/>
  <c r="C13" i="8" s="1"/>
  <c r="C117" i="12"/>
  <c r="C124" i="12" s="1"/>
  <c r="C131" i="12" s="1"/>
  <c r="D48" i="1"/>
  <c r="C12" i="8" s="1"/>
  <c r="C116" i="12"/>
  <c r="C123" i="12" s="1"/>
  <c r="C130" i="12" s="1"/>
  <c r="D54" i="1"/>
  <c r="C18" i="8" s="1"/>
  <c r="C119" i="12"/>
  <c r="C126" i="12" s="1"/>
  <c r="C133" i="12" s="1"/>
  <c r="D288" i="2"/>
  <c r="D31" i="1" s="1"/>
  <c r="C118" i="12"/>
  <c r="C125" i="12" s="1"/>
  <c r="C132" i="12" s="1"/>
  <c r="D241" i="2"/>
  <c r="D254" i="2"/>
  <c r="D239" i="2"/>
  <c r="D255" i="2"/>
  <c r="D238" i="2"/>
  <c r="D226" i="2"/>
  <c r="D223" i="2"/>
  <c r="D224" i="2"/>
  <c r="D251" i="2"/>
  <c r="D300" i="2" s="1"/>
  <c r="D252" i="2"/>
  <c r="D301" i="2" s="1"/>
  <c r="D287" i="2"/>
  <c r="D286" i="2"/>
  <c r="D55" i="1"/>
  <c r="C19" i="8" s="1"/>
  <c r="D50" i="1"/>
  <c r="C14" i="8" s="1"/>
  <c r="D289" i="2"/>
  <c r="D36" i="1" s="1"/>
  <c r="D94" i="1" l="1"/>
  <c r="D14" i="8" s="1"/>
  <c r="D98" i="1"/>
  <c r="D18" i="8" s="1"/>
  <c r="E18" i="8" s="1"/>
  <c r="F18" i="8" s="1"/>
  <c r="D303" i="2"/>
  <c r="D99" i="1"/>
  <c r="D19" i="8" s="1"/>
  <c r="E19" i="8" s="1"/>
  <c r="F19" i="8" s="1"/>
  <c r="D304" i="2"/>
  <c r="D30" i="1"/>
  <c r="D292" i="2"/>
  <c r="C24" i="8"/>
  <c r="D257" i="2"/>
  <c r="C173" i="12"/>
  <c r="C189" i="12" s="1"/>
  <c r="C171" i="12"/>
  <c r="C187" i="12" s="1"/>
  <c r="C175" i="12"/>
  <c r="C191" i="12" s="1"/>
  <c r="C174" i="12"/>
  <c r="C190" i="12" s="1"/>
  <c r="C172" i="12"/>
  <c r="C188" i="12" s="1"/>
  <c r="C205" i="12"/>
  <c r="C204" i="12"/>
  <c r="C202" i="12"/>
  <c r="C203" i="12"/>
  <c r="D29" i="1"/>
  <c r="D263" i="2"/>
  <c r="D103" i="1" s="1"/>
  <c r="D92" i="1"/>
  <c r="D12" i="8" s="1"/>
  <c r="E12" i="8" s="1"/>
  <c r="F12" i="8" s="1"/>
  <c r="C206" i="12"/>
  <c r="D133" i="1"/>
  <c r="E14" i="8"/>
  <c r="F14" i="8" s="1"/>
  <c r="D243" i="2"/>
  <c r="D244" i="2"/>
  <c r="D245" i="2"/>
  <c r="D93" i="1"/>
  <c r="D13" i="8" s="1"/>
  <c r="D128" i="1"/>
  <c r="D264" i="2"/>
  <c r="D104" i="1" s="1"/>
  <c r="D306" i="2" l="1"/>
  <c r="D134" i="1"/>
  <c r="D24" i="8"/>
  <c r="E24" i="8" s="1"/>
  <c r="F24" i="8" s="1"/>
  <c r="E13" i="8"/>
  <c r="F13" i="8" s="1"/>
  <c r="D127" i="1"/>
  <c r="D113" i="1" l="1"/>
  <c r="D283" i="1" l="1"/>
  <c r="D282" i="1"/>
  <c r="D397" i="1" l="1"/>
  <c r="D806" i="1"/>
  <c r="D832" i="1" s="1"/>
  <c r="D807" i="1"/>
  <c r="D833" i="1" s="1"/>
  <c r="D819" i="1"/>
  <c r="D820" i="1"/>
  <c r="D847" i="1" l="1"/>
  <c r="C94" i="10"/>
  <c r="D94" i="10" s="1"/>
  <c r="E94" i="10" s="1"/>
  <c r="D848" i="1"/>
  <c r="C93" i="10"/>
  <c r="D814" i="1"/>
  <c r="D93" i="10" l="1"/>
  <c r="E93" i="10" s="1"/>
  <c r="D768" i="1"/>
  <c r="D769" i="1"/>
  <c r="D743" i="1"/>
  <c r="D742" i="1"/>
  <c r="D741" i="1"/>
  <c r="D737" i="1"/>
  <c r="D735" i="1"/>
  <c r="B14" i="3"/>
  <c r="B15" i="3" s="1"/>
  <c r="B20" i="3" s="1"/>
  <c r="D380" i="1" s="1"/>
  <c r="B5" i="3"/>
  <c r="B6" i="3" s="1"/>
  <c r="D934" i="1"/>
  <c r="D464" i="1"/>
  <c r="D401" i="1"/>
  <c r="D346" i="1"/>
  <c r="D351" i="1"/>
  <c r="D279" i="1"/>
  <c r="D262" i="1"/>
  <c r="D277" i="1" s="1"/>
  <c r="D261" i="1"/>
  <c r="D192" i="1"/>
  <c r="D112" i="1"/>
  <c r="D97" i="1"/>
  <c r="D17" i="8" s="1"/>
  <c r="E17" i="8" s="1"/>
  <c r="F17" i="8" s="1"/>
  <c r="D35" i="1"/>
  <c r="D43" i="1"/>
  <c r="D813" i="1"/>
  <c r="D810" i="1" s="1"/>
  <c r="C87" i="10" l="1"/>
  <c r="D87" i="10" s="1"/>
  <c r="E87" i="10" s="1"/>
  <c r="D784" i="1"/>
  <c r="C88" i="10"/>
  <c r="D88" i="10" s="1"/>
  <c r="E88" i="10" s="1"/>
  <c r="D785" i="1"/>
  <c r="D371" i="1"/>
  <c r="D375" i="1" s="1"/>
  <c r="B9" i="3"/>
  <c r="D449" i="1" s="1"/>
  <c r="D463" i="1" s="1"/>
  <c r="B10" i="3"/>
  <c r="D24" i="1"/>
  <c r="D761" i="1"/>
  <c r="D87" i="1"/>
  <c r="D7" i="8" s="1"/>
  <c r="E7" i="8" s="1"/>
  <c r="F7" i="8" s="1"/>
  <c r="C80" i="10" l="1"/>
  <c r="D80" i="10" s="1"/>
  <c r="E80" i="10" s="1"/>
  <c r="D777" i="1"/>
  <c r="B11" i="3"/>
  <c r="D379" i="1" s="1"/>
  <c r="D517" i="1"/>
  <c r="D467" i="1"/>
  <c r="D471" i="1"/>
  <c r="D394" i="1" l="1"/>
  <c r="D408" i="1" s="1"/>
  <c r="D393" i="1"/>
  <c r="D407" i="1" s="1"/>
  <c r="D815" i="1"/>
  <c r="D829" i="1"/>
  <c r="D828" i="1"/>
  <c r="C18" i="10" l="1"/>
  <c r="D425" i="1"/>
  <c r="C19" i="10"/>
  <c r="D19" i="10" s="1"/>
  <c r="E19" i="10" s="1"/>
  <c r="D426" i="1"/>
  <c r="D648" i="1"/>
  <c r="D903" i="1"/>
  <c r="D18" i="10" l="1"/>
  <c r="E18" i="10" s="1"/>
  <c r="C118" i="10"/>
  <c r="D118" i="10" s="1"/>
  <c r="E118" i="10" s="1"/>
  <c r="D918" i="1"/>
  <c r="D944" i="1"/>
  <c r="D738" i="1" l="1"/>
  <c r="D286" i="1"/>
  <c r="D297" i="1" l="1"/>
  <c r="D276" i="1"/>
  <c r="C9" i="10" l="1"/>
  <c r="D9" i="10" s="1"/>
  <c r="E9" i="10" s="1"/>
  <c r="D322" i="1"/>
  <c r="D865" i="1"/>
  <c r="D296" i="1"/>
  <c r="D321" i="1" s="1"/>
  <c r="D764" i="1"/>
  <c r="D866" i="1"/>
  <c r="C83" i="10" l="1"/>
  <c r="D83" i="10" s="1"/>
  <c r="E83" i="10" s="1"/>
  <c r="D780" i="1"/>
  <c r="D333" i="1"/>
  <c r="D306" i="1"/>
  <c r="C8" i="10"/>
  <c r="D8" i="10" s="1"/>
  <c r="E8" i="10" s="1"/>
  <c r="D880" i="1"/>
  <c r="D879" i="1"/>
  <c r="D539" i="1" l="1"/>
  <c r="D535" i="1"/>
  <c r="D532" i="1"/>
  <c r="D531" i="1"/>
  <c r="D647" i="1"/>
  <c r="D6" i="2" l="1"/>
  <c r="D274" i="2" s="1"/>
  <c r="D895" i="1"/>
  <c r="C110" i="10" l="1"/>
  <c r="D110" i="10" s="1"/>
  <c r="E110" i="10" s="1"/>
  <c r="D910" i="1"/>
  <c r="D272" i="2"/>
  <c r="D273" i="2"/>
  <c r="D151" i="1" s="1"/>
  <c r="D271" i="2"/>
  <c r="D146" i="1" s="1"/>
  <c r="D280" i="2"/>
  <c r="D270" i="2"/>
  <c r="D152" i="1"/>
  <c r="D166" i="1"/>
  <c r="D167" i="1"/>
  <c r="D894" i="1"/>
  <c r="D909" i="1" s="1"/>
  <c r="D760" i="1"/>
  <c r="D485" i="1"/>
  <c r="D767" i="1"/>
  <c r="D477" i="1"/>
  <c r="D493" i="1" s="1"/>
  <c r="D759" i="1"/>
  <c r="D478" i="1"/>
  <c r="D290" i="1"/>
  <c r="D86" i="1"/>
  <c r="D291" i="1"/>
  <c r="D140" i="1"/>
  <c r="D150" i="1"/>
  <c r="D108" i="1"/>
  <c r="D85" i="1"/>
  <c r="D660" i="1"/>
  <c r="D544" i="1"/>
  <c r="D560" i="1" s="1"/>
  <c r="D661" i="1"/>
  <c r="D548" i="1"/>
  <c r="D545" i="1"/>
  <c r="D675" i="1" l="1"/>
  <c r="D698" i="1" s="1"/>
  <c r="D691" i="1"/>
  <c r="C49" i="10"/>
  <c r="D49" i="10" s="1"/>
  <c r="E49" i="10" s="1"/>
  <c r="D561" i="1"/>
  <c r="C52" i="10"/>
  <c r="D52" i="10" s="1"/>
  <c r="E52" i="10" s="1"/>
  <c r="D564" i="1"/>
  <c r="C34" i="10"/>
  <c r="D34" i="10" s="1"/>
  <c r="E34" i="10" s="1"/>
  <c r="D494" i="1"/>
  <c r="C41" i="10"/>
  <c r="D41" i="10" s="1"/>
  <c r="E41" i="10" s="1"/>
  <c r="D501" i="1"/>
  <c r="C64" i="10"/>
  <c r="D64" i="10" s="1"/>
  <c r="E64" i="10" s="1"/>
  <c r="D676" i="1"/>
  <c r="D699" i="1" s="1"/>
  <c r="C86" i="10"/>
  <c r="D86" i="10" s="1"/>
  <c r="E86" i="10" s="1"/>
  <c r="D783" i="1"/>
  <c r="C78" i="10"/>
  <c r="D775" i="1"/>
  <c r="C79" i="10"/>
  <c r="D79" i="10" s="1"/>
  <c r="E79" i="10" s="1"/>
  <c r="D776" i="1"/>
  <c r="C3" i="10"/>
  <c r="D316" i="1"/>
  <c r="C4" i="10"/>
  <c r="D4" i="10" s="1"/>
  <c r="E4" i="10" s="1"/>
  <c r="D317" i="1"/>
  <c r="D5" i="8"/>
  <c r="E5" i="8" s="1"/>
  <c r="F5" i="8" s="1"/>
  <c r="D6" i="8"/>
  <c r="E6" i="8" s="1"/>
  <c r="F6" i="8" s="1"/>
  <c r="C63" i="10"/>
  <c r="C33" i="10"/>
  <c r="C48" i="10"/>
  <c r="C109" i="10"/>
  <c r="D145" i="1"/>
  <c r="D276" i="2"/>
  <c r="D279" i="2"/>
  <c r="D147" i="1"/>
  <c r="D138" i="1"/>
  <c r="D139" i="1"/>
  <c r="D655" i="1"/>
  <c r="D270" i="1"/>
  <c r="D299" i="1" s="1"/>
  <c r="D266" i="1"/>
  <c r="D3" i="10" l="1"/>
  <c r="E3" i="10" s="1"/>
  <c r="D109" i="10"/>
  <c r="E109" i="10" s="1"/>
  <c r="D48" i="10"/>
  <c r="E48" i="10" s="1"/>
  <c r="D63" i="10"/>
  <c r="E63" i="10" s="1"/>
  <c r="D715" i="1"/>
  <c r="D78" i="10"/>
  <c r="E78" i="10" s="1"/>
  <c r="D716" i="1"/>
  <c r="C11" i="10"/>
  <c r="D11" i="10" s="1"/>
  <c r="E11" i="10" s="1"/>
  <c r="D324" i="1"/>
  <c r="D33" i="10"/>
  <c r="E33" i="10" s="1"/>
  <c r="D160" i="1"/>
  <c r="D749" i="1"/>
  <c r="D281" i="1"/>
  <c r="D285" i="1"/>
  <c r="D736" i="1" l="1"/>
  <c r="D874" i="1"/>
  <c r="D114" i="1" l="1"/>
  <c r="D169" i="1" s="1"/>
  <c r="D763" i="1" l="1"/>
  <c r="D481" i="1"/>
  <c r="D497" i="1" s="1"/>
  <c r="D300" i="1"/>
  <c r="D325" i="1" s="1"/>
  <c r="D295" i="1"/>
  <c r="D836" i="1"/>
  <c r="D904" i="1"/>
  <c r="D919" i="1" s="1"/>
  <c r="D96" i="1"/>
  <c r="D16" i="8" s="1"/>
  <c r="D552" i="1"/>
  <c r="D568" i="1" s="1"/>
  <c r="D411" i="1"/>
  <c r="D429" i="1" s="1"/>
  <c r="D91" i="1"/>
  <c r="D11" i="8" s="1"/>
  <c r="E11" i="8" s="1"/>
  <c r="F11" i="8" s="1"/>
  <c r="D664" i="1"/>
  <c r="D851" i="1" l="1"/>
  <c r="D679" i="1"/>
  <c r="D719" i="1" s="1"/>
  <c r="D573" i="1"/>
  <c r="D506" i="1"/>
  <c r="D490" i="1"/>
  <c r="C82" i="10"/>
  <c r="B8" i="11" s="1"/>
  <c r="D779" i="1"/>
  <c r="D320" i="1"/>
  <c r="E16" i="8"/>
  <c r="F16" i="8" s="1"/>
  <c r="D22" i="8"/>
  <c r="E22" i="8" s="1"/>
  <c r="F22" i="8" s="1"/>
  <c r="C119" i="10"/>
  <c r="D119" i="10" s="1"/>
  <c r="E119" i="10" s="1"/>
  <c r="C67" i="10"/>
  <c r="C97" i="10"/>
  <c r="C56" i="10"/>
  <c r="D557" i="1"/>
  <c r="C61" i="10" s="1"/>
  <c r="C22" i="10"/>
  <c r="D305" i="1"/>
  <c r="C7" i="10"/>
  <c r="D304" i="1"/>
  <c r="C12" i="10"/>
  <c r="D12" i="10" s="1"/>
  <c r="E12" i="10" s="1"/>
  <c r="C37" i="10"/>
  <c r="B5" i="11" s="1"/>
  <c r="D149" i="1"/>
  <c r="D193" i="1"/>
  <c r="D415" i="1"/>
  <c r="D95" i="1"/>
  <c r="D15" i="8" s="1"/>
  <c r="E15" i="8" s="1"/>
  <c r="F15" i="8" s="1"/>
  <c r="D668" i="1"/>
  <c r="D692" i="1" s="1"/>
  <c r="D694" i="1" s="1"/>
  <c r="C8" i="11" l="1"/>
  <c r="D8" i="11" s="1"/>
  <c r="C5" i="11"/>
  <c r="D5" i="11" s="1"/>
  <c r="D67" i="10"/>
  <c r="E67" i="10" s="1"/>
  <c r="D7" i="10"/>
  <c r="E7" i="10" s="1"/>
  <c r="B3" i="11"/>
  <c r="D56" i="10"/>
  <c r="E56" i="10" s="1"/>
  <c r="B6" i="11"/>
  <c r="D702" i="1"/>
  <c r="D61" i="10"/>
  <c r="D82" i="10"/>
  <c r="E82" i="10" s="1"/>
  <c r="C91" i="10"/>
  <c r="D422" i="1"/>
  <c r="D433" i="1"/>
  <c r="D673" i="1"/>
  <c r="C76" i="10" s="1"/>
  <c r="D683" i="1"/>
  <c r="D688" i="1" s="1"/>
  <c r="D372" i="1"/>
  <c r="D373" i="1" s="1"/>
  <c r="D352" i="1"/>
  <c r="D362" i="1"/>
  <c r="D363" i="1" s="1"/>
  <c r="D357" i="1"/>
  <c r="D358" i="1" s="1"/>
  <c r="D367" i="1"/>
  <c r="D368" i="1" s="1"/>
  <c r="D347" i="1"/>
  <c r="D348" i="1" s="1"/>
  <c r="D339" i="1"/>
  <c r="D340" i="1" s="1"/>
  <c r="D22" i="10"/>
  <c r="E22" i="10" s="1"/>
  <c r="D97" i="10"/>
  <c r="E97" i="10" s="1"/>
  <c r="D37" i="10"/>
  <c r="E37" i="10" s="1"/>
  <c r="C46" i="10"/>
  <c r="C71" i="10"/>
  <c r="D71" i="10" s="1"/>
  <c r="E71" i="10" s="1"/>
  <c r="D442" i="1"/>
  <c r="C26" i="10"/>
  <c r="D26" i="10" s="1"/>
  <c r="E26" i="10" s="1"/>
  <c r="D420" i="1"/>
  <c r="D441" i="1"/>
  <c r="B7" i="11" l="1"/>
  <c r="C6" i="11"/>
  <c r="D6" i="11" s="1"/>
  <c r="C3" i="11"/>
  <c r="D3" i="11" s="1"/>
  <c r="B4" i="11"/>
  <c r="E61" i="10"/>
  <c r="D46" i="10"/>
  <c r="D76" i="10"/>
  <c r="D971" i="1"/>
  <c r="D951" i="1"/>
  <c r="D438" i="1"/>
  <c r="D706" i="1"/>
  <c r="D723" i="1"/>
  <c r="D445" i="1"/>
  <c r="C31" i="10"/>
  <c r="D158" i="1"/>
  <c r="D353" i="1"/>
  <c r="D990" i="1" s="1"/>
  <c r="D991" i="1"/>
  <c r="D947" i="1"/>
  <c r="C4" i="11" l="1"/>
  <c r="D4" i="11" s="1"/>
  <c r="C7" i="11"/>
  <c r="D7" i="11" s="1"/>
  <c r="E46" i="10"/>
  <c r="E76" i="10"/>
  <c r="D31" i="10"/>
  <c r="D711" i="1"/>
  <c r="D983" i="1"/>
  <c r="D961" i="1"/>
  <c r="D955" i="1"/>
  <c r="D728" i="1"/>
  <c r="D992" i="1"/>
  <c r="D927" i="1"/>
  <c r="D929" i="1" s="1"/>
  <c r="E31" i="10" l="1"/>
  <c r="D989" i="1"/>
  <c r="D970" i="1" l="1"/>
  <c r="D954" i="1"/>
  <c r="D950" i="1"/>
  <c r="D982" i="1" l="1"/>
  <c r="D960" i="1"/>
  <c r="D801" i="1"/>
  <c r="D798" i="1" s="1"/>
  <c r="D823" i="1" l="1"/>
  <c r="D870" i="1" s="1"/>
  <c r="D840" i="1"/>
  <c r="D855" i="1" l="1"/>
  <c r="D845" i="1"/>
  <c r="D967" i="1"/>
  <c r="D969" i="1"/>
  <c r="C101" i="10"/>
  <c r="B9" i="11" s="1"/>
  <c r="C9" i="11" l="1"/>
  <c r="D9" i="11" s="1"/>
  <c r="D860" i="1"/>
  <c r="D953" i="1"/>
  <c r="D957" i="1"/>
  <c r="D101" i="10"/>
  <c r="E101" i="10" s="1"/>
  <c r="C106" i="10"/>
  <c r="D902" i="1"/>
  <c r="D887" i="1"/>
  <c r="D883" i="1"/>
  <c r="D898" i="1"/>
  <c r="D106" i="10" l="1"/>
  <c r="C113" i="10"/>
  <c r="C117" i="10"/>
  <c r="D117" i="10" s="1"/>
  <c r="E117" i="10" s="1"/>
  <c r="D968" i="1"/>
  <c r="D966" i="1"/>
  <c r="D956" i="1"/>
  <c r="D952" i="1"/>
  <c r="D907" i="1"/>
  <c r="C122" i="10" s="1"/>
  <c r="D892" i="1"/>
  <c r="D1004" i="1" s="1"/>
  <c r="D113" i="10" l="1"/>
  <c r="E113" i="10" s="1"/>
  <c r="B10" i="11"/>
  <c r="E106" i="10"/>
  <c r="D122" i="10"/>
  <c r="D963" i="1"/>
  <c r="D959" i="1"/>
  <c r="D965" i="1"/>
  <c r="D994" i="1"/>
  <c r="D958" i="1"/>
  <c r="B12" i="11" l="1"/>
  <c r="E122" i="10"/>
  <c r="D964" i="1"/>
  <c r="D993" i="1"/>
  <c r="D962" i="1"/>
  <c r="E10" i="11" l="1"/>
  <c r="E8" i="11"/>
  <c r="E5" i="11"/>
  <c r="E3" i="11"/>
  <c r="E6" i="11"/>
  <c r="E7" i="11"/>
  <c r="E4" i="11"/>
  <c r="E9" i="11"/>
  <c r="D215" i="2"/>
  <c r="D249" i="2" s="1"/>
  <c r="D298" i="2" s="1"/>
  <c r="D123" i="1" s="1"/>
  <c r="E12" i="11" l="1"/>
  <c r="D284" i="2"/>
  <c r="D44" i="1"/>
  <c r="D61" i="1" s="1"/>
  <c r="D88" i="1"/>
  <c r="D101" i="1" s="1"/>
  <c r="D268" i="2"/>
  <c r="D141" i="1" s="1"/>
  <c r="C168" i="12" l="1"/>
  <c r="C184" i="12" s="1"/>
  <c r="C193" i="12" s="1"/>
  <c r="C8" i="8"/>
  <c r="C23" i="8" s="1"/>
  <c r="C26" i="8" s="1"/>
  <c r="D25" i="1"/>
  <c r="C58" i="12" s="1"/>
  <c r="C64" i="12" s="1"/>
  <c r="C65" i="12" s="1"/>
  <c r="D183" i="1"/>
  <c r="D179" i="1"/>
  <c r="D173" i="1"/>
  <c r="D172" i="1"/>
  <c r="D175" i="1"/>
  <c r="D8" i="8"/>
  <c r="D949" i="1"/>
  <c r="D187" i="1"/>
  <c r="D762" i="1"/>
  <c r="D778" i="1" s="1"/>
  <c r="D788" i="1" s="1"/>
  <c r="D293" i="1"/>
  <c r="D57" i="1"/>
  <c r="C177" i="12" l="1"/>
  <c r="C178" i="12" s="1"/>
  <c r="C199" i="12"/>
  <c r="C208" i="12" s="1"/>
  <c r="C209" i="12" s="1"/>
  <c r="D319" i="1"/>
  <c r="D332" i="1" s="1"/>
  <c r="D23" i="8"/>
  <c r="E23" i="8" s="1"/>
  <c r="F23" i="8" s="1"/>
  <c r="E8" i="8"/>
  <c r="F8" i="8" s="1"/>
  <c r="C6" i="10"/>
  <c r="D773" i="1"/>
  <c r="C81" i="10"/>
  <c r="D81" i="10" s="1"/>
  <c r="E81" i="10" s="1"/>
  <c r="D26" i="8"/>
  <c r="E26" i="8" s="1"/>
  <c r="F26" i="8" s="1"/>
  <c r="D308" i="1"/>
  <c r="D988" i="1"/>
  <c r="D182" i="1"/>
  <c r="D181" i="1"/>
  <c r="D116" i="1"/>
  <c r="D110" i="1"/>
  <c r="D180" i="1"/>
  <c r="D178" i="1"/>
  <c r="D174" i="1"/>
  <c r="D943" i="1"/>
  <c r="D948" i="1"/>
  <c r="B128" i="6"/>
  <c r="D259" i="2" l="1"/>
  <c r="C179" i="12"/>
  <c r="H23" i="8"/>
  <c r="H7" i="8"/>
  <c r="H17" i="8"/>
  <c r="H6" i="8"/>
  <c r="H5" i="8"/>
  <c r="H11" i="8"/>
  <c r="H16" i="8"/>
  <c r="H15" i="8"/>
  <c r="H22" i="8"/>
  <c r="H19" i="8"/>
  <c r="H14" i="8"/>
  <c r="H18" i="8"/>
  <c r="H12" i="8"/>
  <c r="H24" i="8"/>
  <c r="H13" i="8"/>
  <c r="H8" i="8"/>
  <c r="D6" i="10"/>
  <c r="E6" i="10" s="1"/>
  <c r="C16" i="10"/>
  <c r="D91" i="10"/>
  <c r="D189" i="1"/>
  <c r="D313" i="1"/>
  <c r="D312" i="1"/>
  <c r="D311" i="1"/>
  <c r="D188" i="1"/>
  <c r="D184" i="1"/>
  <c r="D310" i="1"/>
  <c r="B178" i="6"/>
  <c r="B182" i="6"/>
  <c r="B183" i="6" s="1"/>
  <c r="D190" i="1"/>
  <c r="C211" i="12" l="1"/>
  <c r="D945" i="1"/>
  <c r="D928" i="1"/>
  <c r="D998" i="1" s="1"/>
  <c r="D1001" i="1" s="1"/>
  <c r="G6" i="8"/>
  <c r="G15" i="8"/>
  <c r="G17" i="8"/>
  <c r="G5" i="8"/>
  <c r="G11" i="8"/>
  <c r="G12" i="8"/>
  <c r="G13" i="8"/>
  <c r="G18" i="8"/>
  <c r="G24" i="8"/>
  <c r="G19" i="8"/>
  <c r="G14" i="8"/>
  <c r="G16" i="8"/>
  <c r="G7" i="8"/>
  <c r="G22" i="8"/>
  <c r="G8" i="8"/>
  <c r="G23" i="8"/>
  <c r="E91" i="10"/>
  <c r="D16" i="10"/>
  <c r="C124" i="10"/>
  <c r="H26" i="8"/>
  <c r="H20" i="8"/>
  <c r="C210" i="12" l="1"/>
  <c r="D124" i="10"/>
  <c r="D1000" i="1"/>
  <c r="D999" i="1"/>
  <c r="E16" i="10"/>
  <c r="G26" i="8"/>
  <c r="G20" i="8"/>
  <c r="F106" i="10" l="1"/>
  <c r="F91" i="10"/>
  <c r="F76" i="10"/>
  <c r="F16" i="10"/>
  <c r="F31" i="10"/>
  <c r="E124" i="10"/>
  <c r="F46" i="10"/>
  <c r="F122" i="10"/>
  <c r="F61" i="10"/>
  <c r="F124" i="10" l="1"/>
</calcChain>
</file>

<file path=xl/sharedStrings.xml><?xml version="1.0" encoding="utf-8"?>
<sst xmlns="http://schemas.openxmlformats.org/spreadsheetml/2006/main" count="5963" uniqueCount="2532">
  <si>
    <t>pL</t>
  </si>
  <si>
    <t>mg/cm2</t>
  </si>
  <si>
    <t>Protein</t>
  </si>
  <si>
    <t>Water content</t>
  </si>
  <si>
    <t>%</t>
  </si>
  <si>
    <t>fL</t>
  </si>
  <si>
    <t>50 to 194</t>
  </si>
  <si>
    <t>meristematic cells; volume increases from G1 to early metaphase</t>
  </si>
  <si>
    <t>fg</t>
  </si>
  <si>
    <t>protein number per mitochondrion</t>
  </si>
  <si>
    <t>Density of electron transport chain complexes (I,II,III,IV)</t>
  </si>
  <si>
    <t>8.4% of IMM area (6426 monomer per mitochondrion)</t>
  </si>
  <si>
    <t>ATP/ADP carrier</t>
  </si>
  <si>
    <t>copies/mitochondrion</t>
  </si>
  <si>
    <t>mg/ml</t>
  </si>
  <si>
    <t>protein concentration in the matrix</t>
  </si>
  <si>
    <t>per mg protein</t>
  </si>
  <si>
    <t>protein number per mg mitochondrial protein</t>
  </si>
  <si>
    <t>Mitochondrion volume</t>
  </si>
  <si>
    <t>number of plastoglobuli/chloroplasts</t>
  </si>
  <si>
    <t>Tolleter_2017_PMID_28637277</t>
  </si>
  <si>
    <t>mm^2</t>
  </si>
  <si>
    <t>number per mm^2</t>
  </si>
  <si>
    <t>µL</t>
  </si>
  <si>
    <t>Wuyts_2012_PMID_22471738</t>
  </si>
  <si>
    <t>Wuyts_2012_PMID_22471739</t>
  </si>
  <si>
    <t>µm^3</t>
  </si>
  <si>
    <t>number</t>
  </si>
  <si>
    <t>pg</t>
  </si>
  <si>
    <t>10.10^9 to 23,33 10^9</t>
  </si>
  <si>
    <t>glucose units</t>
  </si>
  <si>
    <t>3 to 14</t>
  </si>
  <si>
    <t>mg/m^2</t>
  </si>
  <si>
    <t>Proportion of chloroplast from mesophyll present in palisade mesophyll cells</t>
  </si>
  <si>
    <t>Chloroplasts number per spongy mesophyll cells (a generic dicotyledonous cell)</t>
  </si>
  <si>
    <t>Chloroplasts number per palisade mesophyll cells (a generic dicotyledonous cell)</t>
  </si>
  <si>
    <t>theroretical work</t>
  </si>
  <si>
    <t>µg/cm^2</t>
  </si>
  <si>
    <t>Chlorophyll content per chloroplast</t>
  </si>
  <si>
    <t>Starch Granule volume (on average)</t>
  </si>
  <si>
    <t>g/m^2</t>
  </si>
  <si>
    <t>Hsieh_2008_PMID_18236010</t>
  </si>
  <si>
    <t>Purdy_2013_PMID_24223944</t>
  </si>
  <si>
    <t>0,6-0,65</t>
  </si>
  <si>
    <t>ratio</t>
  </si>
  <si>
    <t>Vacuole meristematic cells</t>
  </si>
  <si>
    <t>Koffler_2013_PMID_23265941</t>
  </si>
  <si>
    <t>Nucleus</t>
  </si>
  <si>
    <t xml:space="preserve">Apoplasm </t>
  </si>
  <si>
    <t>4 to 11</t>
  </si>
  <si>
    <t>µL/cm^2</t>
  </si>
  <si>
    <t>Apoplastic air volume  µL/cm2</t>
  </si>
  <si>
    <t>Apoplastic fluid volume  µL/cm^2</t>
  </si>
  <si>
    <t>Apoplastic fluid volume  µL/g LFW</t>
  </si>
  <si>
    <t>mg/cm^2</t>
  </si>
  <si>
    <t>Pectin</t>
  </si>
  <si>
    <t xml:space="preserve">% </t>
  </si>
  <si>
    <t>Cell wall mg/g LFW</t>
  </si>
  <si>
    <t>Crumpton_Taylor_2012_PMID_22135430</t>
  </si>
  <si>
    <t>Fractional volume of stroma in a chloroplast</t>
  </si>
  <si>
    <t>µL/mm^2</t>
  </si>
  <si>
    <t>Mitochondrial volume in a single palisade mesophyll cell</t>
  </si>
  <si>
    <t>Mitochondrial volume in a single spongy mesophyl cell</t>
  </si>
  <si>
    <t>(Alternative) Volume occupied by the mitochondria from photosynthetic cells per leaf area (mm^2)</t>
  </si>
  <si>
    <t>(Alternative) Total volume occupied by the mitochondria per leaf area (mm^2)</t>
  </si>
  <si>
    <t>Strand_1999_PMID_10198098</t>
  </si>
  <si>
    <t>Strand_2003_PCE_26_523_535</t>
  </si>
  <si>
    <t>Pruzinska_2005_PMID_16113212</t>
  </si>
  <si>
    <t>Govaert_1996_PMID_21127682</t>
  </si>
  <si>
    <t>Alternative unit: volume occupied by the cytosol from photosynthetic cells per leaf area (mm^2)</t>
  </si>
  <si>
    <t>Weraduwage_2015_PMID_25914696</t>
  </si>
  <si>
    <t>mg</t>
  </si>
  <si>
    <t>Veins (% of the leaf volume very young leaf- 4 mm wide)</t>
  </si>
  <si>
    <t>Chlorophyll a MW</t>
  </si>
  <si>
    <t>Chlorophyll b MW</t>
  </si>
  <si>
    <t>g/mol</t>
  </si>
  <si>
    <t>Chl a/chl b ratio</t>
  </si>
  <si>
    <t>Legend</t>
  </si>
  <si>
    <t>Values in bold result from calculation using original data</t>
  </si>
  <si>
    <t>Apoplast</t>
  </si>
  <si>
    <t>Xiong_2017_PMID_28720786</t>
  </si>
  <si>
    <t xml:space="preserve">Rubisco </t>
  </si>
  <si>
    <t>Cell wall</t>
  </si>
  <si>
    <t>cell wall thickness</t>
  </si>
  <si>
    <t>µm</t>
  </si>
  <si>
    <t>fractional volume of cytosol in palisade mesophyll cells</t>
  </si>
  <si>
    <t>fractional volume of cytosol in spongy mesophyll cells</t>
  </si>
  <si>
    <t>Fractional volume of mitochondria in palisade mesophyll cells</t>
  </si>
  <si>
    <t>Fractional volume of mitochondria in spongy mesophyll cells</t>
  </si>
  <si>
    <t>Mitochondrial inter membrane space (IMS) volume (fraction of total mitochondrial volume)</t>
  </si>
  <si>
    <t xml:space="preserve">Chloroplasts </t>
  </si>
  <si>
    <t>Fractional volume of lumen in the chloroplast</t>
  </si>
  <si>
    <t>Fractional volume of envelope in the chloroplast</t>
  </si>
  <si>
    <t>Golgi volume in a single palisade cell</t>
  </si>
  <si>
    <t>Golgi volume in a single spongy cell</t>
  </si>
  <si>
    <t>Chlorophylls</t>
  </si>
  <si>
    <t>0,803 to 1,6</t>
  </si>
  <si>
    <t>averaged mesophyll cell vacuole volume</t>
  </si>
  <si>
    <t xml:space="preserve">Mass of a single hydrated mitochondrion </t>
  </si>
  <si>
    <t>protein amount per mitochondrion</t>
  </si>
  <si>
    <t>mitochondrion power</t>
  </si>
  <si>
    <t>Fractional volume of plastoglobuli in the chloroplast</t>
  </si>
  <si>
    <t>Teng_2006_PMID_16945092</t>
  </si>
  <si>
    <t>Kinsman_1998_PMID_9550714</t>
  </si>
  <si>
    <t>Chloroplast number per stomata cell</t>
  </si>
  <si>
    <t>Palisade mesophyll cell volume</t>
  </si>
  <si>
    <t>Spongy mesophyll cell volume</t>
  </si>
  <si>
    <t>Porosity (Arabidopsis)</t>
  </si>
  <si>
    <t>pipitone_2021_PMID_33629953</t>
  </si>
  <si>
    <t>Chloroplast volume in two-cotyledon stage Arabidopsis (96 h de-etiolation)</t>
  </si>
  <si>
    <t>Thylakoid surface per chloroplast in two-cotyledon stage Arabidopsis (96 h de-etiolation)</t>
  </si>
  <si>
    <t>Alternative unit: total volume occupied by the cytosol per leaf area (mm^2)</t>
  </si>
  <si>
    <r>
      <t xml:space="preserve">fraction of vacuole volume in </t>
    </r>
    <r>
      <rPr>
        <b/>
        <sz val="11"/>
        <color theme="1"/>
        <rFont val="Calibri"/>
        <family val="2"/>
        <scheme val="minor"/>
      </rPr>
      <t>palisade</t>
    </r>
    <r>
      <rPr>
        <sz val="11"/>
        <color theme="1"/>
        <rFont val="Calibri"/>
        <family val="2"/>
        <scheme val="minor"/>
      </rPr>
      <t xml:space="preserve"> mesophyll cells</t>
    </r>
  </si>
  <si>
    <r>
      <t xml:space="preserve">fraction of vacuole volume in </t>
    </r>
    <r>
      <rPr>
        <b/>
        <sz val="11"/>
        <color theme="1"/>
        <rFont val="Calibri"/>
        <family val="2"/>
        <scheme val="minor"/>
      </rPr>
      <t>spongy</t>
    </r>
    <r>
      <rPr>
        <sz val="11"/>
        <color theme="1"/>
        <rFont val="Calibri"/>
        <family val="2"/>
        <scheme val="minor"/>
      </rPr>
      <t xml:space="preserve"> mesophyll cells</t>
    </r>
  </si>
  <si>
    <r>
      <rPr>
        <b/>
        <sz val="11"/>
        <color theme="1"/>
        <rFont val="Calibri"/>
        <family val="2"/>
        <scheme val="minor"/>
      </rPr>
      <t>Palisade</t>
    </r>
    <r>
      <rPr>
        <sz val="11"/>
        <color theme="1"/>
        <rFont val="Calibri"/>
        <family val="2"/>
        <scheme val="minor"/>
      </rPr>
      <t xml:space="preserve"> mesophyll cell vacuole volume (in one cell) </t>
    </r>
  </si>
  <si>
    <r>
      <rPr>
        <b/>
        <sz val="11"/>
        <color theme="1"/>
        <rFont val="Calibri"/>
        <family val="2"/>
        <scheme val="minor"/>
      </rPr>
      <t>Spongy</t>
    </r>
    <r>
      <rPr>
        <sz val="11"/>
        <color theme="1"/>
        <rFont val="Calibri"/>
        <family val="2"/>
        <scheme val="minor"/>
      </rPr>
      <t xml:space="preserve"> mesophyll cell vacuole volume (in one cell)</t>
    </r>
  </si>
  <si>
    <t>Fraction of epidermal cell volume/total cell volume</t>
  </si>
  <si>
    <t xml:space="preserve">Jedd_2002_PMID_11978866 </t>
  </si>
  <si>
    <t>lndividual lipid droplet volume</t>
  </si>
  <si>
    <t xml:space="preserve">Brocard_2017_PMID_28611809 </t>
  </si>
  <si>
    <t>lipid droplet number per cell</t>
  </si>
  <si>
    <t>lipid droplet volume per mesophyll cell</t>
  </si>
  <si>
    <t>fractional volume of lipid droplets</t>
  </si>
  <si>
    <t>3,3 per cell section in old leaves (assuming a leaf section allows detection ina  200 nm thick cell slice and 100 µm size for palisadic cells =&gt; &lt; 15 lipid droplets in an old leaf mesophyll cells)</t>
  </si>
  <si>
    <t>Fraction of major photosynthetic cell volume/total cell volume</t>
  </si>
  <si>
    <t>Kawamura_2010_PMID_20128880</t>
  </si>
  <si>
    <t>Bundle sheath cell volume</t>
  </si>
  <si>
    <t>Phloem companion cell volume</t>
  </si>
  <si>
    <t>Phloem parenchyma cell volume</t>
  </si>
  <si>
    <t>Phloem sieve element cell volume</t>
  </si>
  <si>
    <t>Hydathode cell volume</t>
  </si>
  <si>
    <t>Trichome cell volume</t>
  </si>
  <si>
    <t>Gutierrez_2000_PMID_10995473</t>
  </si>
  <si>
    <t>Basal trichome  cell volume</t>
  </si>
  <si>
    <t>sum</t>
  </si>
  <si>
    <t>Air space</t>
  </si>
  <si>
    <t>Borniego_2020_PMID_31969890</t>
  </si>
  <si>
    <t xml:space="preserve">Other relative units </t>
  </si>
  <si>
    <t>all leaf cells, all subcellular compartments</t>
  </si>
  <si>
    <t>apoplast</t>
  </si>
  <si>
    <t>chloroplast</t>
  </si>
  <si>
    <t>photosynthetic cells, all subcellular compartments</t>
  </si>
  <si>
    <t>chloroplast envelope membrane</t>
  </si>
  <si>
    <t>chloroplast membranes (envelope and thylakoid)</t>
  </si>
  <si>
    <t>cytoplasm excluding vacuole (all leaf cells)</t>
  </si>
  <si>
    <t>cytoplasm excluding vacuole (photosynthetic cells)</t>
  </si>
  <si>
    <t>cytosol (all leaf cells)</t>
  </si>
  <si>
    <t>cytosol (photosynthetic cells)</t>
  </si>
  <si>
    <t>cytosol, endoplasmic reticulum, peroxisome (all leaf cells)</t>
  </si>
  <si>
    <t>cytosol, endoplasmic reticulum, peroxisome (photosynthetic cells)</t>
  </si>
  <si>
    <t>cytosol, mitochondrion matrix (all leaf cells)</t>
  </si>
  <si>
    <t>cytosol, mitochondrion matrix (photosynthetic cells)</t>
  </si>
  <si>
    <t>cytosol, mitochondrion matrix, peroxisome, stroma (all leaf cells)</t>
  </si>
  <si>
    <t>cytosol, mitochondrion matrix, peroxisome, stroma (photosynthetic cells)</t>
  </si>
  <si>
    <t>cytosol, mitochondrion matrix, peroxisome, stroma, vacuole (all leaf cells)</t>
  </si>
  <si>
    <t>cytosol, mitochondrion matrix, peroxisome, stroma, vacuole (photosynthetic cells)</t>
  </si>
  <si>
    <t>cytosol, mitochondrion matrix, stroma (all leaf cells)</t>
  </si>
  <si>
    <t>cytosol, mitochondrion matrix, stroma (photosynthetic cells)</t>
  </si>
  <si>
    <t>cytosol, mitochondrion matrix, stroma, vacuole (all leaf cells)</t>
  </si>
  <si>
    <t>cytosol, mitochondrion matrix, stroma, vacuole (photosynthetic cells)</t>
  </si>
  <si>
    <t>cytosol, mitochondrion matrix, vacuole (all leaf cells)</t>
  </si>
  <si>
    <t>cytosol, mitochondrion matrix, vacuole (photosynthetic cells)</t>
  </si>
  <si>
    <t>cytosol, peroxisome (all leaf cells)</t>
  </si>
  <si>
    <t>cytosol, peroxisome (photosynthetic cells)</t>
  </si>
  <si>
    <t>cytosol, peroxisome, stroma (all leaf cells)</t>
  </si>
  <si>
    <t>cytosol, peroxisome, stroma (photosynthetic cells)</t>
  </si>
  <si>
    <t>cytosol, stroma (all leaf cells)</t>
  </si>
  <si>
    <t>cytosol, stroma (photosynthetic cells)</t>
  </si>
  <si>
    <t>endoplasmic reticulum (all leaf cells)</t>
  </si>
  <si>
    <t>endoplasmic reticulum (photosynthetic cells)</t>
  </si>
  <si>
    <t>endoplasmic reticulum, peroxisome (all leaf cells)</t>
  </si>
  <si>
    <t>endoplasmic reticulum, peroxisome (photosynthetic cells)</t>
  </si>
  <si>
    <t>golgi (all leaf cells)</t>
  </si>
  <si>
    <t>golgi (photosynthetic cells)</t>
  </si>
  <si>
    <t>isolated vacuole (femtomol/vacuole unit)</t>
  </si>
  <si>
    <t>mitochondrion inter membrane space (all cells)</t>
  </si>
  <si>
    <t>mitochondrion inter membrane space (photosynthetic cells)</t>
  </si>
  <si>
    <t>mitochondrion matrix (all leaf cells)</t>
  </si>
  <si>
    <t>mitochondrion matrix (photosynthetic cells)</t>
  </si>
  <si>
    <t>mitochondrion matrix, stroma (all leaf cells)</t>
  </si>
  <si>
    <t>mitochondrion matrix, stroma (photosynthetic cells)</t>
  </si>
  <si>
    <t>nucleus (all leaf cells)</t>
  </si>
  <si>
    <t>nucleus (photosynthetic cells)</t>
  </si>
  <si>
    <t>peroxisome (all leaf cells)</t>
  </si>
  <si>
    <t>peroxisome (photosynthetic cells)</t>
  </si>
  <si>
    <t>stroma (photosynthetic cells)</t>
  </si>
  <si>
    <t>thylakoid lumen</t>
  </si>
  <si>
    <t>thylakoid membranes</t>
  </si>
  <si>
    <t>thylakoids (membranes plus lumen)</t>
  </si>
  <si>
    <t>vacuole (all leaf cells)</t>
  </si>
  <si>
    <t>vacuole (photosynthetic cells)</t>
  </si>
  <si>
    <t>lumen of isolated chloroplasts (per mg chl unit)</t>
  </si>
  <si>
    <r>
      <t xml:space="preserve">fractional volume occupied by chloroplasts in a single </t>
    </r>
    <r>
      <rPr>
        <b/>
        <sz val="11"/>
        <color theme="1"/>
        <rFont val="Calibri"/>
        <family val="2"/>
        <scheme val="minor"/>
      </rPr>
      <t>palisade</t>
    </r>
    <r>
      <rPr>
        <sz val="11"/>
        <color theme="1"/>
        <rFont val="Calibri"/>
        <family val="2"/>
        <scheme val="minor"/>
      </rPr>
      <t xml:space="preserve"> mesophyll cell</t>
    </r>
  </si>
  <si>
    <r>
      <t xml:space="preserve">fractional volume occupied by chloroplasts in a single </t>
    </r>
    <r>
      <rPr>
        <b/>
        <sz val="11"/>
        <color theme="1"/>
        <rFont val="Calibri"/>
        <family val="2"/>
        <scheme val="minor"/>
      </rPr>
      <t>spongy</t>
    </r>
    <r>
      <rPr>
        <sz val="11"/>
        <color theme="1"/>
        <rFont val="Calibri"/>
        <family val="2"/>
        <scheme val="minor"/>
      </rPr>
      <t xml:space="preserve"> mesophyll cell</t>
    </r>
  </si>
  <si>
    <t>See Table 1 in Kinsman_1998_PMID_9550714</t>
  </si>
  <si>
    <r>
      <t>fractional volume  occupied by chloroplasts in a single</t>
    </r>
    <r>
      <rPr>
        <b/>
        <sz val="11"/>
        <color theme="1"/>
        <rFont val="Calibri"/>
        <family val="2"/>
        <scheme val="minor"/>
      </rPr>
      <t xml:space="preserve"> bundle sheath</t>
    </r>
    <r>
      <rPr>
        <sz val="11"/>
        <color theme="1"/>
        <rFont val="Calibri"/>
        <family val="2"/>
        <scheme val="minor"/>
      </rPr>
      <t xml:space="preserve"> cell</t>
    </r>
  </si>
  <si>
    <t>Fraction of bundle sheath cell volume/total major photosynthetic cells volume</t>
  </si>
  <si>
    <t>Fraction of vein cells/total cell volume</t>
  </si>
  <si>
    <t>A value of 92 fL was obtained assuming a spheric chloroplast with a radius of 2.8 µm (plan area of spheric chloroplasts was 24.6 µm^2-see Fig.4, Kinsman_1998_PMID_9550714).</t>
  </si>
  <si>
    <r>
      <t xml:space="preserve">fraction of vacuole volume in leaf </t>
    </r>
    <r>
      <rPr>
        <b/>
        <sz val="11"/>
        <color theme="1"/>
        <rFont val="Calibri"/>
        <family val="2"/>
        <scheme val="minor"/>
      </rPr>
      <t>bundle sheath</t>
    </r>
    <r>
      <rPr>
        <sz val="11"/>
        <color theme="1"/>
        <rFont val="Calibri"/>
        <family val="2"/>
        <scheme val="minor"/>
      </rPr>
      <t xml:space="preserve"> cells</t>
    </r>
  </si>
  <si>
    <r>
      <t xml:space="preserve">fraction of vacuole volume in </t>
    </r>
    <r>
      <rPr>
        <b/>
        <sz val="11"/>
        <color theme="1"/>
        <rFont val="Calibri"/>
        <family val="2"/>
        <scheme val="minor"/>
      </rPr>
      <t>Xylem parenchyma</t>
    </r>
    <r>
      <rPr>
        <sz val="11"/>
        <color theme="1"/>
        <rFont val="Calibri"/>
        <family val="2"/>
        <scheme val="minor"/>
      </rPr>
      <t xml:space="preserve">  cells</t>
    </r>
  </si>
  <si>
    <r>
      <rPr>
        <b/>
        <sz val="11"/>
        <color theme="1"/>
        <rFont val="Calibri"/>
        <family val="2"/>
        <scheme val="minor"/>
      </rPr>
      <t>Bundle sheath</t>
    </r>
    <r>
      <rPr>
        <sz val="11"/>
        <color theme="1"/>
        <rFont val="Calibri"/>
        <family val="2"/>
        <scheme val="minor"/>
      </rPr>
      <t xml:space="preserve"> cell vacuole volume (in one cell) </t>
    </r>
  </si>
  <si>
    <r>
      <rPr>
        <b/>
        <sz val="11"/>
        <color theme="1"/>
        <rFont val="Calibri"/>
        <family val="2"/>
        <scheme val="minor"/>
      </rPr>
      <t>Phloem parenchyma</t>
    </r>
    <r>
      <rPr>
        <sz val="11"/>
        <color theme="1"/>
        <rFont val="Calibri"/>
        <family val="2"/>
        <scheme val="minor"/>
      </rPr>
      <t xml:space="preserve"> vacuole volume (in one cell)</t>
    </r>
  </si>
  <si>
    <r>
      <rPr>
        <b/>
        <sz val="11"/>
        <color theme="1"/>
        <rFont val="Calibri"/>
        <family val="2"/>
        <scheme val="minor"/>
      </rPr>
      <t>Phloem companion</t>
    </r>
    <r>
      <rPr>
        <sz val="11"/>
        <color theme="1"/>
        <rFont val="Calibri"/>
        <family val="2"/>
        <scheme val="minor"/>
      </rPr>
      <t xml:space="preserve"> cell vacuole volume (in one cell)</t>
    </r>
  </si>
  <si>
    <r>
      <rPr>
        <b/>
        <sz val="11"/>
        <color theme="1"/>
        <rFont val="Calibri"/>
        <family val="2"/>
        <scheme val="minor"/>
      </rPr>
      <t>Trichome</t>
    </r>
    <r>
      <rPr>
        <sz val="11"/>
        <color theme="1"/>
        <rFont val="Calibri"/>
        <family val="2"/>
        <scheme val="minor"/>
      </rPr>
      <t xml:space="preserve"> cell vacuole volume (in one cell)</t>
    </r>
  </si>
  <si>
    <t>see Barton_2016_PMID_27288524</t>
  </si>
  <si>
    <t>&gt;30 see Barton_2016_PMID_27288524</t>
  </si>
  <si>
    <r>
      <t>fraction of vacuole volume in leaf</t>
    </r>
    <r>
      <rPr>
        <b/>
        <sz val="11"/>
        <color theme="1"/>
        <rFont val="Calibri"/>
        <family val="2"/>
        <scheme val="minor"/>
      </rPr>
      <t xml:space="preserve"> basal trichome</t>
    </r>
    <r>
      <rPr>
        <sz val="11"/>
        <color theme="1"/>
        <rFont val="Calibri"/>
        <family val="2"/>
        <scheme val="minor"/>
      </rPr>
      <t xml:space="preserve"> cells</t>
    </r>
  </si>
  <si>
    <r>
      <t xml:space="preserve">fraction of vacuole volume in </t>
    </r>
    <r>
      <rPr>
        <b/>
        <sz val="11"/>
        <color theme="1"/>
        <rFont val="Calibri"/>
        <family val="2"/>
        <scheme val="minor"/>
      </rPr>
      <t>trichome</t>
    </r>
    <r>
      <rPr>
        <sz val="11"/>
        <color theme="1"/>
        <rFont val="Calibri"/>
        <family val="2"/>
        <scheme val="minor"/>
      </rPr>
      <t xml:space="preserve"> cells</t>
    </r>
  </si>
  <si>
    <r>
      <rPr>
        <b/>
        <sz val="11"/>
        <color theme="1"/>
        <rFont val="Calibri"/>
        <family val="2"/>
        <scheme val="minor"/>
      </rPr>
      <t>Basal trichome</t>
    </r>
    <r>
      <rPr>
        <sz val="11"/>
        <color theme="1"/>
        <rFont val="Calibri"/>
        <family val="2"/>
        <scheme val="minor"/>
      </rPr>
      <t xml:space="preserve"> cell vacuole volume (in one cell)</t>
    </r>
  </si>
  <si>
    <r>
      <rPr>
        <b/>
        <sz val="11"/>
        <color theme="1"/>
        <rFont val="Calibri"/>
        <family val="2"/>
        <scheme val="minor"/>
      </rPr>
      <t>Xylem parenchyma</t>
    </r>
    <r>
      <rPr>
        <sz val="11"/>
        <color theme="1"/>
        <rFont val="Calibri"/>
        <family val="2"/>
        <scheme val="minor"/>
      </rPr>
      <t xml:space="preserve"> cell vacuole volume (in one cell)</t>
    </r>
  </si>
  <si>
    <t>fractional volume of cytosol in basal trichome cells</t>
  </si>
  <si>
    <t>fractional volume of cytosol in bundle sheath cells</t>
  </si>
  <si>
    <t>fractional volume of cytosol in phloem companion  cells</t>
  </si>
  <si>
    <t>fractional volume of cytosol in phloem parenchyma  cells</t>
  </si>
  <si>
    <t>fractional volume of cytosol in xylem parenchyma cells</t>
  </si>
  <si>
    <t>Fractional volume of mitochondria in basal trichome cells</t>
  </si>
  <si>
    <t>Fractional volume of mitochondria in bundle sheath cells</t>
  </si>
  <si>
    <t>Fractional volume of mitochondria in phloem parenchyma cells</t>
  </si>
  <si>
    <t>Fractional volume of mitochondria in phloem companion cells</t>
  </si>
  <si>
    <t>Fractional volume of mitochondria in trichome cells</t>
  </si>
  <si>
    <t>fraction of peroxisome volume in basal trichome  cells</t>
  </si>
  <si>
    <t>fraction of peroxisome volume in bundle sheath  cells</t>
  </si>
  <si>
    <t>fraction of peroxisome volume in palisade mesophyll  cells</t>
  </si>
  <si>
    <t>fraction of peroxisome volume in spongy mesophyll  cells</t>
  </si>
  <si>
    <t>fraction of peroxisome volume in phloem companion cells</t>
  </si>
  <si>
    <t>fraction of peroxisome volume in phloem parenchyma cells</t>
  </si>
  <si>
    <t>fraction of peroxisome volume in trichome  cells</t>
  </si>
  <si>
    <t>fraction of peroxisome volume in xylem  cells</t>
  </si>
  <si>
    <r>
      <t>fractional volume occupied by chloroplasts in a single</t>
    </r>
    <r>
      <rPr>
        <b/>
        <sz val="11"/>
        <color theme="1"/>
        <rFont val="Calibri"/>
        <family val="2"/>
        <scheme val="minor"/>
      </rPr>
      <t xml:space="preserve"> stomata</t>
    </r>
    <r>
      <rPr>
        <sz val="11"/>
        <color theme="1"/>
        <rFont val="Calibri"/>
        <family val="2"/>
        <scheme val="minor"/>
      </rPr>
      <t xml:space="preserve"> cell</t>
    </r>
  </si>
  <si>
    <t>Vacuole occupies 90% of the cellular volume according to Gutierrez_PMID_10995473</t>
  </si>
  <si>
    <t>we assumed the same number as in spongy mesophyll cells</t>
  </si>
  <si>
    <t>Calculation based on peroxisome volume and number and abaxial cell volume</t>
  </si>
  <si>
    <t>Calculation based on peroxisome volume and number and adaxial cell volume</t>
  </si>
  <si>
    <t>fraction of peroxisome volume in stomata  cells</t>
  </si>
  <si>
    <t>Calculation based on peroxisome volume and number and stomata cell volume</t>
  </si>
  <si>
    <t>range 75-150; average 112</t>
  </si>
  <si>
    <r>
      <t>Fraction of cellular volume occupied by the nucleus in</t>
    </r>
    <r>
      <rPr>
        <b/>
        <sz val="11"/>
        <color theme="1"/>
        <rFont val="Calibri"/>
        <family val="2"/>
        <scheme val="minor"/>
      </rPr>
      <t xml:space="preserve"> spongy mesophyll</t>
    </r>
    <r>
      <rPr>
        <sz val="11"/>
        <color theme="1"/>
        <rFont val="Calibri"/>
        <family val="2"/>
        <scheme val="minor"/>
      </rPr>
      <t xml:space="preserve"> cell</t>
    </r>
  </si>
  <si>
    <r>
      <t>Fraction of cellular volume occupied by the nucleus in</t>
    </r>
    <r>
      <rPr>
        <b/>
        <sz val="11"/>
        <color theme="1"/>
        <rFont val="Calibri"/>
        <family val="2"/>
        <scheme val="minor"/>
      </rPr>
      <t xml:space="preserve"> trichome</t>
    </r>
    <r>
      <rPr>
        <sz val="11"/>
        <color theme="1"/>
        <rFont val="Calibri"/>
        <family val="2"/>
        <scheme val="minor"/>
      </rPr>
      <t xml:space="preserve"> cell</t>
    </r>
  </si>
  <si>
    <r>
      <t>Fraction of cellular volume occupied by the nucleus in</t>
    </r>
    <r>
      <rPr>
        <b/>
        <sz val="11"/>
        <color theme="1"/>
        <rFont val="Calibri"/>
        <family val="2"/>
        <scheme val="minor"/>
      </rPr>
      <t xml:space="preserve"> stomata</t>
    </r>
    <r>
      <rPr>
        <sz val="11"/>
        <color theme="1"/>
        <rFont val="Calibri"/>
        <family val="2"/>
        <scheme val="minor"/>
      </rPr>
      <t xml:space="preserve"> cell</t>
    </r>
  </si>
  <si>
    <r>
      <t>Fraction of cellular volume occupied by the nucleus in</t>
    </r>
    <r>
      <rPr>
        <b/>
        <sz val="11"/>
        <color theme="1"/>
        <rFont val="Calibri"/>
        <family val="2"/>
        <scheme val="minor"/>
      </rPr>
      <t xml:space="preserve"> xylem parenchyma</t>
    </r>
    <r>
      <rPr>
        <sz val="11"/>
        <color theme="1"/>
        <rFont val="Calibri"/>
        <family val="2"/>
        <scheme val="minor"/>
      </rPr>
      <t xml:space="preserve"> cell</t>
    </r>
  </si>
  <si>
    <r>
      <t>Fraction of cellular volume occupied by the nucleus in</t>
    </r>
    <r>
      <rPr>
        <b/>
        <sz val="11"/>
        <color theme="1"/>
        <rFont val="Calibri"/>
        <family val="2"/>
        <scheme val="minor"/>
      </rPr>
      <t xml:space="preserve"> phloem parenchyma</t>
    </r>
    <r>
      <rPr>
        <sz val="11"/>
        <color theme="1"/>
        <rFont val="Calibri"/>
        <family val="2"/>
        <scheme val="minor"/>
      </rPr>
      <t xml:space="preserve">  cell</t>
    </r>
  </si>
  <si>
    <r>
      <t>Fraction of cellular volume occupied by the nucleus in</t>
    </r>
    <r>
      <rPr>
        <b/>
        <sz val="11"/>
        <color theme="1"/>
        <rFont val="Calibri"/>
        <family val="2"/>
        <scheme val="minor"/>
      </rPr>
      <t xml:space="preserve"> phloem companion</t>
    </r>
    <r>
      <rPr>
        <sz val="11"/>
        <color theme="1"/>
        <rFont val="Calibri"/>
        <family val="2"/>
        <scheme val="minor"/>
      </rPr>
      <t xml:space="preserve">  cell</t>
    </r>
  </si>
  <si>
    <r>
      <t xml:space="preserve">Fraction of cellular volume occupied by the nucleus in </t>
    </r>
    <r>
      <rPr>
        <b/>
        <sz val="11"/>
        <color theme="1"/>
        <rFont val="Calibri"/>
        <family val="2"/>
        <scheme val="minor"/>
      </rPr>
      <t>palisade mesophyll</t>
    </r>
    <r>
      <rPr>
        <sz val="11"/>
        <color theme="1"/>
        <rFont val="Calibri"/>
        <family val="2"/>
        <scheme val="minor"/>
      </rPr>
      <t xml:space="preserve"> cell</t>
    </r>
  </si>
  <si>
    <r>
      <t xml:space="preserve">Fraction of cellular volume occupied by the nucleus in </t>
    </r>
    <r>
      <rPr>
        <b/>
        <sz val="11"/>
        <color theme="1"/>
        <rFont val="Calibri"/>
        <family val="2"/>
        <scheme val="minor"/>
      </rPr>
      <t>bundle sheath</t>
    </r>
    <r>
      <rPr>
        <sz val="11"/>
        <color theme="1"/>
        <rFont val="Calibri"/>
        <family val="2"/>
        <scheme val="minor"/>
      </rPr>
      <t xml:space="preserve"> cell</t>
    </r>
  </si>
  <si>
    <r>
      <t xml:space="preserve">Fraction of cellular volume occupied by the nucleus in </t>
    </r>
    <r>
      <rPr>
        <b/>
        <sz val="11"/>
        <color theme="1"/>
        <rFont val="Calibri"/>
        <family val="2"/>
        <scheme val="minor"/>
      </rPr>
      <t>basal trichome</t>
    </r>
    <r>
      <rPr>
        <sz val="11"/>
        <color theme="1"/>
        <rFont val="Calibri"/>
        <family val="2"/>
        <scheme val="minor"/>
      </rPr>
      <t xml:space="preserve"> cell</t>
    </r>
  </si>
  <si>
    <r>
      <t xml:space="preserve">Nuclear volume of a single </t>
    </r>
    <r>
      <rPr>
        <b/>
        <sz val="11"/>
        <color theme="1"/>
        <rFont val="Calibri"/>
        <family val="2"/>
        <scheme val="minor"/>
      </rPr>
      <t>basal trichome</t>
    </r>
    <r>
      <rPr>
        <sz val="11"/>
        <color theme="1"/>
        <rFont val="Calibri"/>
        <family val="2"/>
        <scheme val="minor"/>
      </rPr>
      <t xml:space="preserve"> cell</t>
    </r>
  </si>
  <si>
    <r>
      <t xml:space="preserve">Nuclear volume of a single </t>
    </r>
    <r>
      <rPr>
        <b/>
        <sz val="11"/>
        <color theme="1"/>
        <rFont val="Calibri"/>
        <family val="2"/>
        <scheme val="minor"/>
      </rPr>
      <t>bundle sheath</t>
    </r>
    <r>
      <rPr>
        <sz val="11"/>
        <color theme="1"/>
        <rFont val="Calibri"/>
        <family val="2"/>
        <scheme val="minor"/>
      </rPr>
      <t xml:space="preserve"> cell</t>
    </r>
  </si>
  <si>
    <r>
      <t xml:space="preserve">Nuclear volume of a single </t>
    </r>
    <r>
      <rPr>
        <b/>
        <sz val="11"/>
        <color theme="1"/>
        <rFont val="Calibri"/>
        <family val="2"/>
        <scheme val="minor"/>
      </rPr>
      <t>palisade mesophyll</t>
    </r>
    <r>
      <rPr>
        <sz val="11"/>
        <color theme="1"/>
        <rFont val="Calibri"/>
        <family val="2"/>
        <scheme val="minor"/>
      </rPr>
      <t xml:space="preserve"> cell</t>
    </r>
  </si>
  <si>
    <r>
      <t>Nuclear volume of a single</t>
    </r>
    <r>
      <rPr>
        <b/>
        <sz val="11"/>
        <color theme="1"/>
        <rFont val="Calibri"/>
        <family val="2"/>
        <scheme val="minor"/>
      </rPr>
      <t xml:space="preserve"> spongy mesophyll </t>
    </r>
    <r>
      <rPr>
        <sz val="11"/>
        <color theme="1"/>
        <rFont val="Calibri"/>
        <family val="2"/>
        <scheme val="minor"/>
      </rPr>
      <t xml:space="preserve"> cell</t>
    </r>
  </si>
  <si>
    <r>
      <t xml:space="preserve">Nuclear volume of a single </t>
    </r>
    <r>
      <rPr>
        <b/>
        <sz val="11"/>
        <color theme="1"/>
        <rFont val="Calibri"/>
        <family val="2"/>
        <scheme val="minor"/>
      </rPr>
      <t>stomata</t>
    </r>
    <r>
      <rPr>
        <sz val="11"/>
        <color theme="1"/>
        <rFont val="Calibri"/>
        <family val="2"/>
        <scheme val="minor"/>
      </rPr>
      <t xml:space="preserve"> cell</t>
    </r>
  </si>
  <si>
    <r>
      <t>Nuclear volume of a single</t>
    </r>
    <r>
      <rPr>
        <b/>
        <sz val="11"/>
        <color theme="1"/>
        <rFont val="Calibri"/>
        <family val="2"/>
        <scheme val="minor"/>
      </rPr>
      <t xml:space="preserve"> trichome</t>
    </r>
    <r>
      <rPr>
        <sz val="11"/>
        <color theme="1"/>
        <rFont val="Calibri"/>
        <family val="2"/>
        <scheme val="minor"/>
      </rPr>
      <t xml:space="preserve"> cell</t>
    </r>
  </si>
  <si>
    <r>
      <t xml:space="preserve">Nuclear volume of a single </t>
    </r>
    <r>
      <rPr>
        <b/>
        <sz val="11"/>
        <color theme="1"/>
        <rFont val="Calibri"/>
        <family val="2"/>
        <scheme val="minor"/>
      </rPr>
      <t>xylem parenchyma</t>
    </r>
    <r>
      <rPr>
        <sz val="11"/>
        <color theme="1"/>
        <rFont val="Calibri"/>
        <family val="2"/>
        <scheme val="minor"/>
      </rPr>
      <t xml:space="preserve"> cell</t>
    </r>
  </si>
  <si>
    <r>
      <t xml:space="preserve">Nuclear volume of a single </t>
    </r>
    <r>
      <rPr>
        <b/>
        <sz val="11"/>
        <color theme="1"/>
        <rFont val="Calibri"/>
        <family val="2"/>
        <scheme val="minor"/>
      </rPr>
      <t xml:space="preserve">phloem companion </t>
    </r>
    <r>
      <rPr>
        <sz val="11"/>
        <color theme="1"/>
        <rFont val="Calibri"/>
        <family val="2"/>
        <scheme val="minor"/>
      </rPr>
      <t xml:space="preserve"> cell</t>
    </r>
  </si>
  <si>
    <r>
      <t xml:space="preserve">Nuclear volume of a single </t>
    </r>
    <r>
      <rPr>
        <b/>
        <sz val="11"/>
        <color theme="1"/>
        <rFont val="Calibri"/>
        <family val="2"/>
        <scheme val="minor"/>
      </rPr>
      <t>phloem parenchyma</t>
    </r>
    <r>
      <rPr>
        <sz val="11"/>
        <color theme="1"/>
        <rFont val="Calibri"/>
        <family val="2"/>
        <scheme val="minor"/>
      </rPr>
      <t xml:space="preserve"> cell</t>
    </r>
  </si>
  <si>
    <t>Mitochondrial volume in a single basal trichome cells</t>
  </si>
  <si>
    <t>Mitochondrial volume in a single bundle sheath cells</t>
  </si>
  <si>
    <t>Mitochondrial volume in a single phloem companion cell</t>
  </si>
  <si>
    <t>Mitochondrial volume in a single phloem parenchyma cell</t>
  </si>
  <si>
    <t>Mitochondrial volume in a trichome cell</t>
  </si>
  <si>
    <t>Mitochondrial volume in a xylem parenchyma cell</t>
  </si>
  <si>
    <t>Fraction of basal trichome cell volume occupied by the Golgi</t>
  </si>
  <si>
    <t>Fraction of bundle sheath cell volume occupied by the Golgi</t>
  </si>
  <si>
    <t>Fraction of palisade mesophyll cell volume occupied by the Golgi</t>
  </si>
  <si>
    <t>Fraction of phloem companion cell volume occupied by the Golgi</t>
  </si>
  <si>
    <t>Fraction of phloem parenchyma cell volume occupied by the Golgi</t>
  </si>
  <si>
    <t>Fraction of spongy mesophyll cell volume occupied by the Golgi</t>
  </si>
  <si>
    <t>Fraction of stomata cell occupied by Golgi</t>
  </si>
  <si>
    <t>Fraction of trichome cells occupied by Golgi</t>
  </si>
  <si>
    <t>Fraction of xylem parenchyma cells occupied by Golgi</t>
  </si>
  <si>
    <t>Fraction of basal trichome cell volume occupied by the ER</t>
  </si>
  <si>
    <t>Fraction of bundle sheath cell volume occupied by the ER</t>
  </si>
  <si>
    <t>Fraction of palisade mesophyll cell volume occupied by the ER</t>
  </si>
  <si>
    <t>Fraction of phloem companion cell volume occupied by the ER</t>
  </si>
  <si>
    <t>Fraction of phloem parenchyma cell volume occupied by the ER</t>
  </si>
  <si>
    <t>Fraction of spongy mesophyll cell volume occupied by the ER</t>
  </si>
  <si>
    <t>Fraction of stomata cell occupied by the ER</t>
  </si>
  <si>
    <t>Fraction of trichome cells occupied by ER</t>
  </si>
  <si>
    <t>Fraction of xylem parenchyma cells occupied by the ER</t>
  </si>
  <si>
    <t>ER volume in a single basal trichome cell</t>
  </si>
  <si>
    <t>ER volume in a single bundle sheath cell</t>
  </si>
  <si>
    <t>ER volume in a single palisade mesophyll cell</t>
  </si>
  <si>
    <t>ER volume in a single spongy mesophyll cell</t>
  </si>
  <si>
    <t>ER volume in a single phloem companion cell</t>
  </si>
  <si>
    <t>ER volume in a single phloem parenchyma cell</t>
  </si>
  <si>
    <t>ER volume in a single trichome cell</t>
  </si>
  <si>
    <t>ER volume in a single stomata cell</t>
  </si>
  <si>
    <t>ER volume is a single xylem parenchyma cell</t>
  </si>
  <si>
    <t>Nuclear volume of a single abaxial epidermal pavement cell</t>
  </si>
  <si>
    <t>Nuclear volume of a single adaxial epidermal pavement cell</t>
  </si>
  <si>
    <t>fraction of peroxisome volume in abaxial epidermal pavement cells</t>
  </si>
  <si>
    <t>fraction of peroxisome volume in adaxial epidermal pavement cells</t>
  </si>
  <si>
    <t>fraction of vacuole volume in leaf abaxial epidermal pavement cells</t>
  </si>
  <si>
    <t>fraction of vacuole volume in leaf adaxial epidermal pavement cells</t>
  </si>
  <si>
    <t>fractional volume of cytosol in abaxial epidermal pavement cells</t>
  </si>
  <si>
    <t>fractional volume of cytosol in adaxial epidermal pavement cells</t>
  </si>
  <si>
    <t>Alternative unit: volume occupied by the cytosol from epidermal pavement cells per leaf area (mm^2)</t>
  </si>
  <si>
    <t>Fraction of abaxial epidermal pavement cell volume occupied by the ER</t>
  </si>
  <si>
    <t>Fraction of adaxial epidermal pavement cell volume occupied by the ER</t>
  </si>
  <si>
    <t>ER volume in a single abaxial epidermal pavement cell</t>
  </si>
  <si>
    <t>ER volume in a single adaxial epidermal pavement cell</t>
  </si>
  <si>
    <t>Fraction of abaxial epidermal pavement cell volume occupied by the Golgi</t>
  </si>
  <si>
    <t>Fraction of adaxial epidermal pavement cell volume occupied by the Golgi</t>
  </si>
  <si>
    <t>Fractional volume of mitochondria in abaxial epidermal pavement cells</t>
  </si>
  <si>
    <t>Fractional volume of mitochondria in adaxial epidermal pavement cells</t>
  </si>
  <si>
    <t>(Alternative) Volume occupied by the mitochondria from epidermal pavement cells per leaf area (mm^2)</t>
  </si>
  <si>
    <t>Fraction of cellular volume occupied by the nucleus in abaxial epidermal pavement cell</t>
  </si>
  <si>
    <t>Fraction of cellular volume occupied by the nucleus in adaxial epidermal pavement cell</t>
  </si>
  <si>
    <t>Values</t>
  </si>
  <si>
    <t>units</t>
  </si>
  <si>
    <t>References</t>
  </si>
  <si>
    <t>Comments</t>
  </si>
  <si>
    <t>Massonnet_2010_PMID_20200072</t>
  </si>
  <si>
    <t>fractional volume of cytosol in trichome cells</t>
  </si>
  <si>
    <t>Mitochondrial volume in a single abaxial epidermal pavement cell</t>
  </si>
  <si>
    <t>Mitochondrial volume in a single adaxial epidermal pavement cell</t>
  </si>
  <si>
    <r>
      <rPr>
        <b/>
        <sz val="11"/>
        <color theme="1"/>
        <rFont val="Calibri"/>
        <family val="2"/>
        <scheme val="minor"/>
      </rPr>
      <t>Stomata</t>
    </r>
    <r>
      <rPr>
        <sz val="11"/>
        <color theme="1"/>
        <rFont val="Calibri"/>
        <family val="2"/>
        <scheme val="minor"/>
      </rPr>
      <t xml:space="preserve"> cell vacuole volume (in one cell) </t>
    </r>
  </si>
  <si>
    <r>
      <t xml:space="preserve">fraction of vacuole volume in </t>
    </r>
    <r>
      <rPr>
        <b/>
        <sz val="11"/>
        <color theme="1"/>
        <rFont val="Calibri"/>
        <family val="2"/>
        <scheme val="minor"/>
      </rPr>
      <t>phloem companion</t>
    </r>
    <r>
      <rPr>
        <sz val="11"/>
        <color theme="1"/>
        <rFont val="Calibri"/>
        <family val="2"/>
        <scheme val="minor"/>
      </rPr>
      <t xml:space="preserve">  cells</t>
    </r>
  </si>
  <si>
    <r>
      <t xml:space="preserve">fraction of vacuole volume in </t>
    </r>
    <r>
      <rPr>
        <b/>
        <sz val="11"/>
        <color theme="1"/>
        <rFont val="Calibri"/>
        <family val="2"/>
        <scheme val="minor"/>
      </rPr>
      <t>phloem parenchyma</t>
    </r>
    <r>
      <rPr>
        <sz val="11"/>
        <color theme="1"/>
        <rFont val="Calibri"/>
        <family val="2"/>
        <scheme val="minor"/>
      </rPr>
      <t xml:space="preserve">  cells</t>
    </r>
  </si>
  <si>
    <t>fractional volume of cytosol in stomata cells</t>
  </si>
  <si>
    <t>Fractional volume of mitochondria in stomata cells</t>
  </si>
  <si>
    <t>Mitochondrial volume in a single stomata cell</t>
  </si>
  <si>
    <t>Plastoglobuli (mesophyll cells)</t>
  </si>
  <si>
    <t>Starch (mesophyll cells)</t>
  </si>
  <si>
    <t>Cytosol</t>
  </si>
  <si>
    <t>Endoplasmic reticulum</t>
  </si>
  <si>
    <t>Golgi</t>
  </si>
  <si>
    <t>Mitochondria</t>
  </si>
  <si>
    <t>Golgi volume in a single abaxial epidermal pavement cell</t>
  </si>
  <si>
    <t>See Cayla_2014_PMID_25714357</t>
  </si>
  <si>
    <t>Fractional volume of mitochondria in parenchyma xylem cells</t>
  </si>
  <si>
    <t>Fractional volume of mitochondria in phloem sieve elements</t>
  </si>
  <si>
    <t>Mitochondrial volume in a single phloem sieve element</t>
  </si>
  <si>
    <r>
      <t>Fraction of cellular volume occupied by the nucleus in</t>
    </r>
    <r>
      <rPr>
        <b/>
        <sz val="11"/>
        <color theme="1"/>
        <rFont val="Calibri"/>
        <family val="2"/>
        <scheme val="minor"/>
      </rPr>
      <t xml:space="preserve"> phloem sieve element</t>
    </r>
  </si>
  <si>
    <t>Bundle sheath cells density</t>
  </si>
  <si>
    <t xml:space="preserve">Spongy mesophyll cells density </t>
  </si>
  <si>
    <t>Adaxial (upper side) epidermal pavement cells density</t>
  </si>
  <si>
    <t>Abaxial (lower side) epidermal pavement cells density</t>
  </si>
  <si>
    <t>Trichome cells density</t>
  </si>
  <si>
    <t>Basal trichome cells density</t>
  </si>
  <si>
    <t>Division by 1,000,000 to convert pL into µL</t>
  </si>
  <si>
    <t>The 1000 factor converts cell volume from pL to fL</t>
  </si>
  <si>
    <t>The 10^9 factor converts fL into µL</t>
  </si>
  <si>
    <t>Abaxial epidermal pavement cell volume</t>
  </si>
  <si>
    <t>Adaxial epidermal pavement cell volume</t>
  </si>
  <si>
    <t>The 10^6 factor converts pL into µL</t>
  </si>
  <si>
    <t>Fractional volume of thylakoid membrane plus lumen in a chloroplast</t>
  </si>
  <si>
    <t>Fractional volume of thylakoid membrane in thylakoids</t>
  </si>
  <si>
    <t>Fractional volume of lumen space in thylakoids</t>
  </si>
  <si>
    <t>90.6 %</t>
  </si>
  <si>
    <t>Mass of chlorophyll a+ b per chloroplast (pg) based on photosynthetic cells chloroplasts volume</t>
  </si>
  <si>
    <t>Mass of chlorophyll a+ b per chloroplast (pg) based on photosynthetic cells chloroplasts number</t>
  </si>
  <si>
    <t>Calculation using the total amount of chlorophyll and the ratio chlorophyll a/chlorophyll b</t>
  </si>
  <si>
    <t>same principle as described above</t>
  </si>
  <si>
    <t>For metabolites exclusively localized in the golgi, assuming the same concentration in all the cells; the 10^3 factor converts nanomol per µL into nanomol/ml i.e µM</t>
  </si>
  <si>
    <t>For metabolites exclusively localized in the golgi, assuming the same concentration in all mesophyll cells; the 10^3 factor converts nanomol per µL into nanomol/ml i.e µM</t>
  </si>
  <si>
    <t>For metabolites exclusively present in the IMS in all cells, assuming identical concentration for all the cells;  the 10^3 factor converts nanomol per µL into nanomol/ml i.e µM</t>
  </si>
  <si>
    <t>For metabolites exclusively present in the IMS in mesophyll cells, assuming identical concentration for all mesophyll cells;  the 10^3 factor converts nanomol per µL into nanomol/ml i.e µM</t>
  </si>
  <si>
    <t>For metabolite exclusively present in the mitochondria matrix space in all cells, assuming identical concentration in all the cells;  the 10^3 factor converts nanomol per µL into nanomol/ml i.e µM</t>
  </si>
  <si>
    <t>For metabolite exclusively present in the mitochondria matrix space in mesophyll cells, assuming identical concentration in all the mesophyll cells;  the 10^3 factor converts nanomol per µL into nanomol/ml i.e µM</t>
  </si>
  <si>
    <t>same principle as described above for metabolite localized in several compartments.</t>
  </si>
  <si>
    <t>For metabolites exclusively localized in the ER, assuming the same concentration in all the cells; the 10^3 factor converts nanomol per µL into nanomol/ml i.e µM</t>
  </si>
  <si>
    <t>For metabolites exclusively localized in the ER, assuming the same concentration in all mesophyll cells; the 10^3 factor converts nanomol per µL into nanomol/ml i.e µM</t>
  </si>
  <si>
    <t>For metabolites exclusively localized in the nucleus, assuming the same concentration in all the cells; the 10^3 factor converts nanomol per µL into nanomol/ml i.e µM</t>
  </si>
  <si>
    <t>For metabolites exclusively localized in the nucleus of mesophyll cells, assuming the same concentration in all mesophyll cells; the 10^3 factor converts nanomol per µL into nanomol/ml i.e µM</t>
  </si>
  <si>
    <t>For metabolites exclusively localized in the peroxisome, assuming the same concentration in all the cells; the 10^3 factor converts nanomol per µL into nanomol/ml i.e µM</t>
  </si>
  <si>
    <t>For metabolites exclusively localized in the peroxisome of mesophyll cells, assuming the same concentration in all mesophyll cells; the 10^3 factor converts nanomol per µL into nanomol/ml i.e µM</t>
  </si>
  <si>
    <t xml:space="preserve"> For metabolites exclusively present in photosynthetic cells in all the subcellular compartment, including the vacuole; the 10^3 factor converts nanomol per µL into nanomol/ml i.e µM</t>
  </si>
  <si>
    <t>For metabolites exclusively present in the stroma and extracted from entire leaf but assuming contribution by mesophyll cells only;  the 10^3 factor converts nanomol per µL into nanomol/ml i.e µM</t>
  </si>
  <si>
    <t>For metabolites exclusively present in the thylakoid lumen and extracted from entire leaf but assuming contribution by mesophyll cells only;  the 10^3 factor converts nanomol per µL into nanomol/ml i.e µM</t>
  </si>
  <si>
    <t>For metabolites exclusively present in the thylakoid membranes and extracted from entire leaf but assuming contribution by mesophyll cells only;  the 10^3 factor converts nanomol per µL into nanomol/ml i.e µM</t>
  </si>
  <si>
    <t>For metabolites exclusively present in the thylakoid membranes and lumen and extracted from entire leaf but assuming contribution by mesophyll cells only;  the 10^3 factor converts nanomol per µL into nanomol/ml i.e µM</t>
  </si>
  <si>
    <t>For metabolite present exclusively in the vacuole from all mesophyll cells, assuming the same concentration in all the mesophyll cells; the 10^3 factor converts nanomol per µL into nanomol/ml i.e µM</t>
  </si>
  <si>
    <t>For metabolites quantified in entire chloroplasts and present in all chloroplast compartments; value in nanomol per mg chl is divided by the chloroplast volume corresponding to 1 mg chlorophyll and the averaged chloroplast volume in a mesophyll cell (93 fL); the 10^12 multiplying factor converts nanomol per fL into µM</t>
  </si>
  <si>
    <t>For metabolites present only in the stroma of isolated chloroplasts; Assuming the fractional volume occupancy of the stroma in a chloroplast is 61.3% of total chloroplast volume (Zellnig_2004)</t>
  </si>
  <si>
    <t>For metabolites present in entire thylakoids of isolated chloroplasts, assuming thylakoids represent 22.6% of total chloroplast volume (Zellnig_2004)</t>
  </si>
  <si>
    <t>Fractional volume of thylakoid membrane (lumen excluded) in a chloroplast</t>
  </si>
  <si>
    <t>For metabolites eclusively present in thylakoid membranes of isolated chloroplasts, assuming thylakoids membranes represent 15 % of total chloroplast volume (Lawlor (Photosynthesis book pp 56-58).</t>
  </si>
  <si>
    <t>For metabolites eclusively present in lumen of isolated chloroplasts, assuming lumen represent 7,7 % of total chloroplast volume (Lawlor (Photosynthesis book pp 56-58).</t>
  </si>
  <si>
    <t>For metabolites present in the matrix of isolated mitochondria, assuming 1 µL matrix per mg mitochondrial protein; the multiplying factor of 1000 converts nanomol/µL (i.e. mM) into µM.</t>
  </si>
  <si>
    <t>isolated vacuoles volume is assumed to be similar to mesophyll cell vacuole; volume is converted into fL by multiplying the denominator by 1000; the 10^6 factor converts fmol/fL (i.e. mol/L) into µM.</t>
  </si>
  <si>
    <t>number of Starch granules per chloroplast</t>
  </si>
  <si>
    <t>Mathur_2002_PMID_11891258</t>
  </si>
  <si>
    <t>Mathers_2018_PMID_30455724</t>
  </si>
  <si>
    <t>Larkin_2016_PMID_26862170</t>
  </si>
  <si>
    <t>Wada_2009_PMID_19074627</t>
  </si>
  <si>
    <t>Stettler_2009_PMID_19946617</t>
  </si>
  <si>
    <t>Malinova_2014_PMID_ 25401493</t>
  </si>
  <si>
    <t>Pike_1994_PMID_12232400</t>
  </si>
  <si>
    <t>Xiao_2017_PMID_27702991</t>
  </si>
  <si>
    <t>Fijiwara_2018_PMID_29466386</t>
  </si>
  <si>
    <t>Seguí_Simarro_2006_PMID_16151846</t>
  </si>
  <si>
    <t>Fuchs_2020_PMID_31520498</t>
  </si>
  <si>
    <t>Moller_2016_PMID_27094909</t>
  </si>
  <si>
    <t>Lee_2006_PMID_16905654</t>
  </si>
  <si>
    <t>Pipitone_2021_PMID_33629953</t>
  </si>
  <si>
    <t>Cotyledons, T96</t>
  </si>
  <si>
    <t>Chloroplasts number per cell (cotyledons, 96 H de-etiolation)</t>
  </si>
  <si>
    <t>Chlorophyll a</t>
  </si>
  <si>
    <t>Chlorophyll b</t>
  </si>
  <si>
    <t>Chlorophyll a+b</t>
  </si>
  <si>
    <t>Chlorophyll a +b</t>
  </si>
  <si>
    <t xml:space="preserve">chl a/chl b </t>
  </si>
  <si>
    <t>Mitochondrion matrix volume</t>
  </si>
  <si>
    <t>Mitochondria per µl of matrix space</t>
  </si>
  <si>
    <t>number per µl of matrix space</t>
  </si>
  <si>
    <t>Nuclear volume</t>
  </si>
  <si>
    <t>Nooijer_2007_PMID_19359359</t>
  </si>
  <si>
    <t>We assumed the nucleus has the same volume as in epidermal pavement cells</t>
  </si>
  <si>
    <t>Armstrong_2006_PMID_17087477</t>
  </si>
  <si>
    <t>Spongy mesophyll cells, plants grown in short days</t>
  </si>
  <si>
    <t>Andrey_2010_PMID_20628576</t>
  </si>
  <si>
    <t>Assuming a diameter of 5 µm</t>
  </si>
  <si>
    <t>Xylem parenchyma cell volume</t>
  </si>
  <si>
    <t>Xylem tracheary element volume</t>
  </si>
  <si>
    <t>the multiplying factor of 1,000,000,000 converts fL into µL</t>
  </si>
  <si>
    <r>
      <rPr>
        <b/>
        <sz val="11"/>
        <color theme="1"/>
        <rFont val="Calibri"/>
        <family val="2"/>
        <scheme val="minor"/>
      </rPr>
      <t>Abaxial epidermal pavement</t>
    </r>
    <r>
      <rPr>
        <sz val="11"/>
        <color theme="1"/>
        <rFont val="Calibri"/>
        <family val="2"/>
        <scheme val="minor"/>
      </rPr>
      <t xml:space="preserve"> cell vacuole volume (in one cell) </t>
    </r>
  </si>
  <si>
    <r>
      <rPr>
        <b/>
        <sz val="11"/>
        <color theme="1"/>
        <rFont val="Calibri"/>
        <family val="2"/>
        <scheme val="minor"/>
      </rPr>
      <t>Adaxial epidermal pavement</t>
    </r>
    <r>
      <rPr>
        <sz val="11"/>
        <color theme="1"/>
        <rFont val="Calibri"/>
        <family val="2"/>
        <scheme val="minor"/>
      </rPr>
      <t xml:space="preserve"> cell vacuole volume (in one cell) </t>
    </r>
  </si>
  <si>
    <t>data not available</t>
  </si>
  <si>
    <t>Bundle sheath cells are highly vacuolate (see Kinsman_1998_PMID_9550714)</t>
  </si>
  <si>
    <r>
      <t xml:space="preserve">fraction of vacuole volume in </t>
    </r>
    <r>
      <rPr>
        <b/>
        <sz val="11"/>
        <color theme="1"/>
        <rFont val="Calibri"/>
        <family val="2"/>
        <scheme val="minor"/>
      </rPr>
      <t>stomata</t>
    </r>
    <r>
      <rPr>
        <sz val="11"/>
        <color theme="1"/>
        <rFont val="Calibri"/>
        <family val="2"/>
        <scheme val="minor"/>
      </rPr>
      <t xml:space="preserve"> cells</t>
    </r>
  </si>
  <si>
    <t>Fractional volume of starch in the chloroplast (middle of the day)</t>
  </si>
  <si>
    <r>
      <t xml:space="preserve">volume occupied by all the chloroplasts in a single </t>
    </r>
    <r>
      <rPr>
        <b/>
        <sz val="11"/>
        <color theme="1"/>
        <rFont val="Calibri"/>
        <family val="2"/>
        <scheme val="minor"/>
      </rPr>
      <t>bundle sheath</t>
    </r>
    <r>
      <rPr>
        <sz val="11"/>
        <color theme="1"/>
        <rFont val="Calibri"/>
        <family val="2"/>
        <scheme val="minor"/>
      </rPr>
      <t xml:space="preserve"> cell</t>
    </r>
  </si>
  <si>
    <r>
      <t>volume occupied by all the chloroplasts in a single</t>
    </r>
    <r>
      <rPr>
        <b/>
        <sz val="11"/>
        <color theme="1"/>
        <rFont val="Calibri"/>
        <family val="2"/>
        <scheme val="minor"/>
      </rPr>
      <t xml:space="preserve"> palisade</t>
    </r>
    <r>
      <rPr>
        <sz val="11"/>
        <color theme="1"/>
        <rFont val="Calibri"/>
        <family val="2"/>
        <scheme val="minor"/>
      </rPr>
      <t xml:space="preserve"> mesophyll cell</t>
    </r>
  </si>
  <si>
    <r>
      <t xml:space="preserve">volume occupied by all the chloroplasts in a single </t>
    </r>
    <r>
      <rPr>
        <b/>
        <sz val="11"/>
        <color theme="1"/>
        <rFont val="Calibri"/>
        <family val="2"/>
        <scheme val="minor"/>
      </rPr>
      <t>phloem companion</t>
    </r>
    <r>
      <rPr>
        <sz val="11"/>
        <color theme="1"/>
        <rFont val="Calibri"/>
        <family val="2"/>
        <scheme val="minor"/>
      </rPr>
      <t xml:space="preserve"> cell</t>
    </r>
  </si>
  <si>
    <r>
      <t>volume occupied by all the chloroplasts in a single</t>
    </r>
    <r>
      <rPr>
        <b/>
        <sz val="11"/>
        <color theme="1"/>
        <rFont val="Calibri"/>
        <family val="2"/>
        <scheme val="minor"/>
      </rPr>
      <t xml:space="preserve"> phloem parenchyma</t>
    </r>
    <r>
      <rPr>
        <sz val="11"/>
        <color theme="1"/>
        <rFont val="Calibri"/>
        <family val="2"/>
        <scheme val="minor"/>
      </rPr>
      <t xml:space="preserve"> cell</t>
    </r>
  </si>
  <si>
    <r>
      <t xml:space="preserve">volume occupied by all the chloroplasts in a single </t>
    </r>
    <r>
      <rPr>
        <b/>
        <sz val="11"/>
        <color theme="1"/>
        <rFont val="Calibri"/>
        <family val="2"/>
        <scheme val="minor"/>
      </rPr>
      <t>phloem sieve element</t>
    </r>
  </si>
  <si>
    <r>
      <t xml:space="preserve">volume occupied by all the chloroplasts in a single </t>
    </r>
    <r>
      <rPr>
        <b/>
        <sz val="11"/>
        <color theme="1"/>
        <rFont val="Calibri"/>
        <family val="2"/>
        <scheme val="minor"/>
      </rPr>
      <t>spongy</t>
    </r>
    <r>
      <rPr>
        <sz val="11"/>
        <color theme="1"/>
        <rFont val="Calibri"/>
        <family val="2"/>
        <scheme val="minor"/>
      </rPr>
      <t xml:space="preserve"> mesophyll cell</t>
    </r>
  </si>
  <si>
    <r>
      <t xml:space="preserve">volume occupied by all the chloroplasts in a single </t>
    </r>
    <r>
      <rPr>
        <b/>
        <sz val="11"/>
        <color theme="1"/>
        <rFont val="Calibri"/>
        <family val="2"/>
        <scheme val="minor"/>
      </rPr>
      <t>stomata</t>
    </r>
    <r>
      <rPr>
        <sz val="11"/>
        <color theme="1"/>
        <rFont val="Calibri"/>
        <family val="2"/>
        <scheme val="minor"/>
      </rPr>
      <t xml:space="preserve"> cell</t>
    </r>
  </si>
  <si>
    <r>
      <t xml:space="preserve">volume occupied by all the chloroplasts in a single </t>
    </r>
    <r>
      <rPr>
        <b/>
        <sz val="11"/>
        <color theme="1"/>
        <rFont val="Calibri"/>
        <family val="2"/>
        <scheme val="minor"/>
      </rPr>
      <t>trichome</t>
    </r>
    <r>
      <rPr>
        <sz val="11"/>
        <color theme="1"/>
        <rFont val="Calibri"/>
        <family val="2"/>
        <scheme val="minor"/>
      </rPr>
      <t xml:space="preserve"> cell</t>
    </r>
  </si>
  <si>
    <r>
      <t>fractional volume occupied by chloroplasts in a single</t>
    </r>
    <r>
      <rPr>
        <b/>
        <sz val="11"/>
        <color theme="1"/>
        <rFont val="Calibri"/>
        <family val="2"/>
        <scheme val="minor"/>
      </rPr>
      <t xml:space="preserve"> trichome</t>
    </r>
    <r>
      <rPr>
        <sz val="11"/>
        <color theme="1"/>
        <rFont val="Calibri"/>
        <family val="2"/>
        <scheme val="minor"/>
      </rPr>
      <t xml:space="preserve"> cell</t>
    </r>
  </si>
  <si>
    <r>
      <t xml:space="preserve">volume occupied by all the chloroplasts in a single </t>
    </r>
    <r>
      <rPr>
        <b/>
        <sz val="11"/>
        <color theme="1"/>
        <rFont val="Calibri"/>
        <family val="2"/>
        <scheme val="minor"/>
      </rPr>
      <t>abaxial</t>
    </r>
    <r>
      <rPr>
        <sz val="11"/>
        <color theme="1"/>
        <rFont val="Calibri"/>
        <family val="2"/>
        <scheme val="minor"/>
      </rPr>
      <t xml:space="preserve"> epidermal pavement cell</t>
    </r>
  </si>
  <si>
    <r>
      <t xml:space="preserve">volume occupied by all the chloroplasts in a single </t>
    </r>
    <r>
      <rPr>
        <b/>
        <sz val="11"/>
        <color theme="1"/>
        <rFont val="Calibri"/>
        <family val="2"/>
        <scheme val="minor"/>
      </rPr>
      <t>adaxial</t>
    </r>
    <r>
      <rPr>
        <sz val="11"/>
        <color theme="1"/>
        <rFont val="Calibri"/>
        <family val="2"/>
        <scheme val="minor"/>
      </rPr>
      <t xml:space="preserve"> epidermal pavement cell</t>
    </r>
  </si>
  <si>
    <r>
      <t xml:space="preserve">fractional volume  occupied by chloroplasts in a single </t>
    </r>
    <r>
      <rPr>
        <b/>
        <sz val="11"/>
        <color theme="1"/>
        <rFont val="Calibri"/>
        <family val="2"/>
        <scheme val="minor"/>
      </rPr>
      <t>abaxial</t>
    </r>
    <r>
      <rPr>
        <sz val="11"/>
        <color theme="1"/>
        <rFont val="Calibri"/>
        <family val="2"/>
        <scheme val="minor"/>
      </rPr>
      <t xml:space="preserve"> epidermal pavement cell</t>
    </r>
  </si>
  <si>
    <r>
      <t xml:space="preserve">fractional volume  occupied by chloroplasts in a single </t>
    </r>
    <r>
      <rPr>
        <b/>
        <sz val="11"/>
        <color theme="1"/>
        <rFont val="Calibri"/>
        <family val="2"/>
        <scheme val="minor"/>
      </rPr>
      <t>adaxial</t>
    </r>
    <r>
      <rPr>
        <sz val="11"/>
        <color theme="1"/>
        <rFont val="Calibri"/>
        <family val="2"/>
        <scheme val="minor"/>
      </rPr>
      <t xml:space="preserve"> epidermal pavement cell</t>
    </r>
  </si>
  <si>
    <r>
      <t xml:space="preserve">fractional volume occupied by plastids in a single </t>
    </r>
    <r>
      <rPr>
        <b/>
        <sz val="11"/>
        <color theme="1"/>
        <rFont val="Calibri"/>
        <family val="2"/>
        <scheme val="minor"/>
      </rPr>
      <t>phloem sieve element</t>
    </r>
  </si>
  <si>
    <r>
      <t xml:space="preserve">Averaged single chloroplast volume in </t>
    </r>
    <r>
      <rPr>
        <b/>
        <sz val="11"/>
        <color theme="1"/>
        <rFont val="Calibri"/>
        <family val="2"/>
        <scheme val="minor"/>
      </rPr>
      <t>abaxial</t>
    </r>
    <r>
      <rPr>
        <sz val="11"/>
        <color theme="1"/>
        <rFont val="Calibri"/>
        <family val="2"/>
        <scheme val="minor"/>
      </rPr>
      <t xml:space="preserve"> epidermal pavement cells</t>
    </r>
  </si>
  <si>
    <r>
      <t xml:space="preserve">Averaged single chloroplast volume in </t>
    </r>
    <r>
      <rPr>
        <b/>
        <sz val="11"/>
        <color theme="1"/>
        <rFont val="Calibri"/>
        <family val="2"/>
        <scheme val="minor"/>
      </rPr>
      <t>adaxial</t>
    </r>
    <r>
      <rPr>
        <sz val="11"/>
        <color theme="1"/>
        <rFont val="Calibri"/>
        <family val="2"/>
        <scheme val="minor"/>
      </rPr>
      <t xml:space="preserve"> epidermal pavement cells</t>
    </r>
  </si>
  <si>
    <r>
      <t xml:space="preserve">Averaged single chloroplast volume in </t>
    </r>
    <r>
      <rPr>
        <b/>
        <sz val="11"/>
        <color theme="1"/>
        <rFont val="Calibri"/>
        <family val="2"/>
        <scheme val="minor"/>
      </rPr>
      <t>bundle</t>
    </r>
    <r>
      <rPr>
        <sz val="11"/>
        <color theme="1"/>
        <rFont val="Calibri"/>
        <family val="2"/>
        <scheme val="minor"/>
      </rPr>
      <t xml:space="preserve"> sheath cells</t>
    </r>
  </si>
  <si>
    <r>
      <t xml:space="preserve">Averaged single chloroplast volume in </t>
    </r>
    <r>
      <rPr>
        <b/>
        <sz val="11"/>
        <color theme="1"/>
        <rFont val="Calibri"/>
        <family val="2"/>
        <scheme val="minor"/>
      </rPr>
      <t>palisade</t>
    </r>
    <r>
      <rPr>
        <sz val="11"/>
        <color theme="1"/>
        <rFont val="Calibri"/>
        <family val="2"/>
        <scheme val="minor"/>
      </rPr>
      <t xml:space="preserve"> mesophyll cells</t>
    </r>
  </si>
  <si>
    <r>
      <t xml:space="preserve">Averaged single chloroplast volume in </t>
    </r>
    <r>
      <rPr>
        <b/>
        <sz val="11"/>
        <color theme="1"/>
        <rFont val="Calibri"/>
        <family val="2"/>
        <scheme val="minor"/>
      </rPr>
      <t>phloem</t>
    </r>
    <r>
      <rPr>
        <sz val="11"/>
        <color theme="1"/>
        <rFont val="Calibri"/>
        <family val="2"/>
        <scheme val="minor"/>
      </rPr>
      <t xml:space="preserve"> companion cells</t>
    </r>
  </si>
  <si>
    <r>
      <t xml:space="preserve">Averaged single plastid volume in </t>
    </r>
    <r>
      <rPr>
        <b/>
        <sz val="11"/>
        <color theme="1"/>
        <rFont val="Calibri"/>
        <family val="2"/>
        <scheme val="minor"/>
      </rPr>
      <t>phloem</t>
    </r>
    <r>
      <rPr>
        <sz val="11"/>
        <color theme="1"/>
        <rFont val="Calibri"/>
        <family val="2"/>
        <scheme val="minor"/>
      </rPr>
      <t xml:space="preserve"> parenchyma cells</t>
    </r>
  </si>
  <si>
    <r>
      <t xml:space="preserve">Averaged single plastid volume in </t>
    </r>
    <r>
      <rPr>
        <b/>
        <sz val="11"/>
        <color theme="1"/>
        <rFont val="Calibri"/>
        <family val="2"/>
        <scheme val="minor"/>
      </rPr>
      <t>phloem</t>
    </r>
    <r>
      <rPr>
        <sz val="11"/>
        <color theme="1"/>
        <rFont val="Calibri"/>
        <family val="2"/>
        <scheme val="minor"/>
      </rPr>
      <t xml:space="preserve"> sieve element</t>
    </r>
  </si>
  <si>
    <r>
      <t xml:space="preserve">Averaged single chloroplast volume in </t>
    </r>
    <r>
      <rPr>
        <b/>
        <sz val="11"/>
        <color theme="1"/>
        <rFont val="Calibri"/>
        <family val="2"/>
        <scheme val="minor"/>
      </rPr>
      <t>spongy</t>
    </r>
    <r>
      <rPr>
        <sz val="11"/>
        <color theme="1"/>
        <rFont val="Calibri"/>
        <family val="2"/>
        <scheme val="minor"/>
      </rPr>
      <t xml:space="preserve"> mesophyll cells</t>
    </r>
  </si>
  <si>
    <r>
      <t xml:space="preserve">Averaged single chloroplast volume in </t>
    </r>
    <r>
      <rPr>
        <b/>
        <sz val="11"/>
        <color theme="1"/>
        <rFont val="Calibri"/>
        <family val="2"/>
        <scheme val="minor"/>
      </rPr>
      <t>stomata</t>
    </r>
    <r>
      <rPr>
        <sz val="11"/>
        <color theme="1"/>
        <rFont val="Calibri"/>
        <family val="2"/>
        <scheme val="minor"/>
      </rPr>
      <t xml:space="preserve"> cells</t>
    </r>
  </si>
  <si>
    <r>
      <t xml:space="preserve">Averaged single leucoplasts volume in </t>
    </r>
    <r>
      <rPr>
        <b/>
        <sz val="11"/>
        <color theme="1"/>
        <rFont val="Calibri"/>
        <family val="2"/>
        <scheme val="minor"/>
      </rPr>
      <t>trichome</t>
    </r>
    <r>
      <rPr>
        <sz val="11"/>
        <color theme="1"/>
        <rFont val="Calibri"/>
        <family val="2"/>
        <scheme val="minor"/>
      </rPr>
      <t xml:space="preserve"> cells</t>
    </r>
  </si>
  <si>
    <r>
      <t xml:space="preserve">Number of chloroplasts per </t>
    </r>
    <r>
      <rPr>
        <b/>
        <sz val="11"/>
        <color theme="1"/>
        <rFont val="Calibri"/>
        <family val="2"/>
        <scheme val="minor"/>
      </rPr>
      <t>abaxial</t>
    </r>
    <r>
      <rPr>
        <sz val="11"/>
        <color theme="1"/>
        <rFont val="Calibri"/>
        <family val="2"/>
        <scheme val="minor"/>
      </rPr>
      <t xml:space="preserve"> epidermal pavement cell</t>
    </r>
  </si>
  <si>
    <r>
      <t xml:space="preserve">Number of chloroplasts per </t>
    </r>
    <r>
      <rPr>
        <b/>
        <sz val="11"/>
        <color theme="1"/>
        <rFont val="Calibri"/>
        <family val="2"/>
        <scheme val="minor"/>
      </rPr>
      <t>adaxial</t>
    </r>
    <r>
      <rPr>
        <sz val="11"/>
        <color theme="1"/>
        <rFont val="Calibri"/>
        <family val="2"/>
        <scheme val="minor"/>
      </rPr>
      <t xml:space="preserve"> epidermal pavement cell</t>
    </r>
  </si>
  <si>
    <r>
      <t xml:space="preserve">Number of chloroplasts per </t>
    </r>
    <r>
      <rPr>
        <b/>
        <sz val="11"/>
        <color theme="1"/>
        <rFont val="Calibri"/>
        <family val="2"/>
        <scheme val="minor"/>
      </rPr>
      <t>bundle</t>
    </r>
    <r>
      <rPr>
        <sz val="11"/>
        <color theme="1"/>
        <rFont val="Calibri"/>
        <family val="2"/>
        <scheme val="minor"/>
      </rPr>
      <t xml:space="preserve"> sheath cell</t>
    </r>
  </si>
  <si>
    <r>
      <t xml:space="preserve">Number of chloroplasts per </t>
    </r>
    <r>
      <rPr>
        <b/>
        <sz val="11"/>
        <color theme="1"/>
        <rFont val="Calibri"/>
        <family val="2"/>
        <scheme val="minor"/>
      </rPr>
      <t>palisade</t>
    </r>
    <r>
      <rPr>
        <sz val="11"/>
        <color theme="1"/>
        <rFont val="Calibri"/>
        <family val="2"/>
        <scheme val="minor"/>
      </rPr>
      <t xml:space="preserve"> mesophyll cell</t>
    </r>
  </si>
  <si>
    <r>
      <t xml:space="preserve">Number of chloroplasts per </t>
    </r>
    <r>
      <rPr>
        <b/>
        <sz val="11"/>
        <color theme="1"/>
        <rFont val="Calibri"/>
        <family val="2"/>
        <scheme val="minor"/>
      </rPr>
      <t>phloem</t>
    </r>
    <r>
      <rPr>
        <sz val="11"/>
        <color theme="1"/>
        <rFont val="Calibri"/>
        <family val="2"/>
        <scheme val="minor"/>
      </rPr>
      <t xml:space="preserve"> companion cell</t>
    </r>
  </si>
  <si>
    <r>
      <t xml:space="preserve">Number of chloroplasts per </t>
    </r>
    <r>
      <rPr>
        <b/>
        <sz val="11"/>
        <color theme="1"/>
        <rFont val="Calibri"/>
        <family val="2"/>
        <scheme val="minor"/>
      </rPr>
      <t>phloem</t>
    </r>
    <r>
      <rPr>
        <sz val="11"/>
        <color theme="1"/>
        <rFont val="Calibri"/>
        <family val="2"/>
        <scheme val="minor"/>
      </rPr>
      <t xml:space="preserve"> parenchyma cell</t>
    </r>
  </si>
  <si>
    <r>
      <t xml:space="preserve">Number of plastids per </t>
    </r>
    <r>
      <rPr>
        <b/>
        <sz val="11"/>
        <color theme="1"/>
        <rFont val="Calibri"/>
        <family val="2"/>
        <scheme val="minor"/>
      </rPr>
      <t>phloem</t>
    </r>
    <r>
      <rPr>
        <sz val="11"/>
        <color theme="1"/>
        <rFont val="Calibri"/>
        <family val="2"/>
        <scheme val="minor"/>
      </rPr>
      <t xml:space="preserve"> </t>
    </r>
    <r>
      <rPr>
        <b/>
        <sz val="11"/>
        <color theme="1"/>
        <rFont val="Calibri"/>
        <family val="2"/>
        <scheme val="minor"/>
      </rPr>
      <t>sieve</t>
    </r>
    <r>
      <rPr>
        <sz val="11"/>
        <color theme="1"/>
        <rFont val="Calibri"/>
        <family val="2"/>
        <scheme val="minor"/>
      </rPr>
      <t xml:space="preserve"> element</t>
    </r>
  </si>
  <si>
    <r>
      <t xml:space="preserve">Number of chloroplasts per </t>
    </r>
    <r>
      <rPr>
        <b/>
        <sz val="11"/>
        <color theme="1"/>
        <rFont val="Calibri"/>
        <family val="2"/>
        <scheme val="minor"/>
      </rPr>
      <t>spongy</t>
    </r>
    <r>
      <rPr>
        <sz val="11"/>
        <color theme="1"/>
        <rFont val="Calibri"/>
        <family val="2"/>
        <scheme val="minor"/>
      </rPr>
      <t xml:space="preserve"> mesophyll cell</t>
    </r>
  </si>
  <si>
    <r>
      <t xml:space="preserve">Number of chloroplasts per </t>
    </r>
    <r>
      <rPr>
        <b/>
        <sz val="11"/>
        <color theme="1"/>
        <rFont val="Calibri"/>
        <family val="2"/>
        <scheme val="minor"/>
      </rPr>
      <t>stomata</t>
    </r>
    <r>
      <rPr>
        <sz val="11"/>
        <color theme="1"/>
        <rFont val="Calibri"/>
        <family val="2"/>
        <scheme val="minor"/>
      </rPr>
      <t xml:space="preserve"> cell</t>
    </r>
  </si>
  <si>
    <r>
      <t xml:space="preserve">Number of leucoplast per </t>
    </r>
    <r>
      <rPr>
        <b/>
        <sz val="11"/>
        <color theme="1"/>
        <rFont val="Calibri"/>
        <family val="2"/>
        <scheme val="minor"/>
      </rPr>
      <t>trichome</t>
    </r>
    <r>
      <rPr>
        <sz val="11"/>
        <color theme="1"/>
        <rFont val="Calibri"/>
        <family val="2"/>
        <scheme val="minor"/>
      </rPr>
      <t xml:space="preserve"> cells</t>
    </r>
  </si>
  <si>
    <r>
      <t xml:space="preserve">Number of plastid per </t>
    </r>
    <r>
      <rPr>
        <b/>
        <sz val="11"/>
        <color theme="1"/>
        <rFont val="Calibri"/>
        <family val="2"/>
        <scheme val="minor"/>
      </rPr>
      <t>xylem</t>
    </r>
    <r>
      <rPr>
        <sz val="11"/>
        <color theme="1"/>
        <rFont val="Calibri"/>
        <family val="2"/>
        <scheme val="minor"/>
      </rPr>
      <t xml:space="preserve"> parenchyma cell</t>
    </r>
  </si>
  <si>
    <t>number (per cell)</t>
  </si>
  <si>
    <t>fL (per cell)</t>
  </si>
  <si>
    <t>% (of cell volume)</t>
  </si>
  <si>
    <t>pL (per cell)</t>
  </si>
  <si>
    <r>
      <t xml:space="preserve">Number of </t>
    </r>
    <r>
      <rPr>
        <sz val="11"/>
        <color rgb="FFFF0000"/>
        <rFont val="Calibri"/>
        <family val="2"/>
        <scheme val="minor"/>
      </rPr>
      <t>leucoplasts</t>
    </r>
    <r>
      <rPr>
        <sz val="11"/>
        <color theme="1"/>
        <rFont val="Calibri"/>
        <family val="2"/>
        <scheme val="minor"/>
      </rPr>
      <t xml:space="preserve"> per </t>
    </r>
    <r>
      <rPr>
        <b/>
        <sz val="11"/>
        <color theme="1"/>
        <rFont val="Calibri"/>
        <family val="2"/>
        <scheme val="minor"/>
      </rPr>
      <t>basal</t>
    </r>
    <r>
      <rPr>
        <sz val="11"/>
        <color theme="1"/>
        <rFont val="Calibri"/>
        <family val="2"/>
        <scheme val="minor"/>
      </rPr>
      <t xml:space="preserve"> trichome cell</t>
    </r>
  </si>
  <si>
    <t>Chloroplast Stroma (mesophyll cells)</t>
  </si>
  <si>
    <t>Chloroplasts thylakoid  (mesophyll cells)</t>
  </si>
  <si>
    <t>Chloroplast thylakoid lumen (mesophyll cells)</t>
  </si>
  <si>
    <t>Chloroplast envelope (mesophyll cells)</t>
  </si>
  <si>
    <t>fractional volume of cytosol in phloem sieve elements</t>
  </si>
  <si>
    <t>Fraction of phloem sieve element volume occupied by the ER</t>
  </si>
  <si>
    <t>ER volume in a single phloem sieve element</t>
  </si>
  <si>
    <t>fL (per droplet)</t>
  </si>
  <si>
    <t>Fraction of phloem sieve element occupied by the Golgi</t>
  </si>
  <si>
    <r>
      <t xml:space="preserve">Averaged mitochondrion volume in </t>
    </r>
    <r>
      <rPr>
        <b/>
        <sz val="11"/>
        <color theme="1"/>
        <rFont val="Calibri"/>
        <family val="2"/>
        <scheme val="minor"/>
      </rPr>
      <t>abaxial</t>
    </r>
    <r>
      <rPr>
        <sz val="11"/>
        <color theme="1"/>
        <rFont val="Calibri"/>
        <family val="2"/>
        <scheme val="minor"/>
      </rPr>
      <t xml:space="preserve"> epidermal pavement cells</t>
    </r>
  </si>
  <si>
    <r>
      <t xml:space="preserve">Averaged mitochondrion volume in </t>
    </r>
    <r>
      <rPr>
        <b/>
        <sz val="11"/>
        <color theme="1"/>
        <rFont val="Calibri"/>
        <family val="2"/>
        <scheme val="minor"/>
      </rPr>
      <t>adaxial</t>
    </r>
    <r>
      <rPr>
        <sz val="11"/>
        <color theme="1"/>
        <rFont val="Calibri"/>
        <family val="2"/>
        <scheme val="minor"/>
      </rPr>
      <t xml:space="preserve"> epidermal pavement cells</t>
    </r>
  </si>
  <si>
    <r>
      <t xml:space="preserve">Averaged mitochondrion volume in </t>
    </r>
    <r>
      <rPr>
        <b/>
        <sz val="11"/>
        <color theme="1"/>
        <rFont val="Calibri"/>
        <family val="2"/>
        <scheme val="minor"/>
      </rPr>
      <t>basal</t>
    </r>
    <r>
      <rPr>
        <sz val="11"/>
        <color theme="1"/>
        <rFont val="Calibri"/>
        <family val="2"/>
        <scheme val="minor"/>
      </rPr>
      <t xml:space="preserve"> trichome cell</t>
    </r>
  </si>
  <si>
    <r>
      <t xml:space="preserve">Averaged  mitochondrion volume in </t>
    </r>
    <r>
      <rPr>
        <b/>
        <sz val="11"/>
        <color theme="1"/>
        <rFont val="Calibri"/>
        <family val="2"/>
        <scheme val="minor"/>
      </rPr>
      <t>bundle</t>
    </r>
    <r>
      <rPr>
        <sz val="11"/>
        <color theme="1"/>
        <rFont val="Calibri"/>
        <family val="2"/>
        <scheme val="minor"/>
      </rPr>
      <t xml:space="preserve"> sheath cells</t>
    </r>
  </si>
  <si>
    <r>
      <t xml:space="preserve">Averaged mitochondrion volume in </t>
    </r>
    <r>
      <rPr>
        <b/>
        <sz val="11"/>
        <color theme="1"/>
        <rFont val="Calibri"/>
        <family val="2"/>
        <scheme val="minor"/>
      </rPr>
      <t>palisade</t>
    </r>
    <r>
      <rPr>
        <sz val="11"/>
        <color theme="1"/>
        <rFont val="Calibri"/>
        <family val="2"/>
        <scheme val="minor"/>
      </rPr>
      <t xml:space="preserve"> mesophyll cells</t>
    </r>
  </si>
  <si>
    <r>
      <t xml:space="preserve">Averaged  mitochondrion volume in </t>
    </r>
    <r>
      <rPr>
        <b/>
        <sz val="11"/>
        <color theme="1"/>
        <rFont val="Calibri"/>
        <family val="2"/>
        <scheme val="minor"/>
      </rPr>
      <t>phloem</t>
    </r>
    <r>
      <rPr>
        <sz val="11"/>
        <color theme="1"/>
        <rFont val="Calibri"/>
        <family val="2"/>
        <scheme val="minor"/>
      </rPr>
      <t xml:space="preserve"> companion cells</t>
    </r>
  </si>
  <si>
    <r>
      <t xml:space="preserve">Averaged mitochondrion volume in </t>
    </r>
    <r>
      <rPr>
        <b/>
        <sz val="11"/>
        <color theme="1"/>
        <rFont val="Calibri"/>
        <family val="2"/>
        <scheme val="minor"/>
      </rPr>
      <t>phloem</t>
    </r>
    <r>
      <rPr>
        <sz val="11"/>
        <color theme="1"/>
        <rFont val="Calibri"/>
        <family val="2"/>
        <scheme val="minor"/>
      </rPr>
      <t xml:space="preserve"> parenchyma cells</t>
    </r>
  </si>
  <si>
    <r>
      <t xml:space="preserve">Averaged  mitochondrion volume in </t>
    </r>
    <r>
      <rPr>
        <b/>
        <sz val="11"/>
        <color theme="1"/>
        <rFont val="Calibri"/>
        <family val="2"/>
        <scheme val="minor"/>
      </rPr>
      <t>phloem</t>
    </r>
    <r>
      <rPr>
        <sz val="11"/>
        <color theme="1"/>
        <rFont val="Calibri"/>
        <family val="2"/>
        <scheme val="minor"/>
      </rPr>
      <t xml:space="preserve"> sieve element</t>
    </r>
  </si>
  <si>
    <r>
      <t xml:space="preserve">Averaged  mitochondrion volume in </t>
    </r>
    <r>
      <rPr>
        <b/>
        <sz val="11"/>
        <color theme="1"/>
        <rFont val="Calibri"/>
        <family val="2"/>
        <scheme val="minor"/>
      </rPr>
      <t>spongy</t>
    </r>
    <r>
      <rPr>
        <sz val="11"/>
        <color theme="1"/>
        <rFont val="Calibri"/>
        <family val="2"/>
        <scheme val="minor"/>
      </rPr>
      <t xml:space="preserve"> mesophyll cells</t>
    </r>
  </si>
  <si>
    <r>
      <t xml:space="preserve">Averaged  mitochondrion volume in </t>
    </r>
    <r>
      <rPr>
        <b/>
        <sz val="11"/>
        <color theme="1"/>
        <rFont val="Calibri"/>
        <family val="2"/>
        <scheme val="minor"/>
      </rPr>
      <t>stomata</t>
    </r>
    <r>
      <rPr>
        <sz val="11"/>
        <color theme="1"/>
        <rFont val="Calibri"/>
        <family val="2"/>
        <scheme val="minor"/>
      </rPr>
      <t xml:space="preserve"> cells</t>
    </r>
  </si>
  <si>
    <r>
      <t xml:space="preserve">Averaged  mitochondrion volume in </t>
    </r>
    <r>
      <rPr>
        <b/>
        <sz val="11"/>
        <color theme="1"/>
        <rFont val="Calibri"/>
        <family val="2"/>
        <scheme val="minor"/>
      </rPr>
      <t>trichome</t>
    </r>
    <r>
      <rPr>
        <sz val="11"/>
        <color theme="1"/>
        <rFont val="Calibri"/>
        <family val="2"/>
        <scheme val="minor"/>
      </rPr>
      <t xml:space="preserve"> cells</t>
    </r>
  </si>
  <si>
    <r>
      <t xml:space="preserve">Averaged  mitochondrion volume in </t>
    </r>
    <r>
      <rPr>
        <b/>
        <sz val="11"/>
        <color theme="1"/>
        <rFont val="Calibri"/>
        <family val="2"/>
        <scheme val="minor"/>
      </rPr>
      <t>Xylem</t>
    </r>
    <r>
      <rPr>
        <sz val="11"/>
        <color theme="1"/>
        <rFont val="Calibri"/>
        <family val="2"/>
        <scheme val="minor"/>
      </rPr>
      <t xml:space="preserve"> parenchyma cells</t>
    </r>
  </si>
  <si>
    <t>Total mitochondrial volume in a xylem parenchyma cell</t>
  </si>
  <si>
    <t>Total matrix volume in P+S+ Ad+ Ab cells  per g Fresh weight</t>
  </si>
  <si>
    <r>
      <t xml:space="preserve">Nuclear volume of a single </t>
    </r>
    <r>
      <rPr>
        <b/>
        <sz val="11"/>
        <color theme="1"/>
        <rFont val="Calibri"/>
        <family val="2"/>
        <scheme val="minor"/>
      </rPr>
      <t>phloem sieve element</t>
    </r>
  </si>
  <si>
    <r>
      <rPr>
        <b/>
        <sz val="11"/>
        <color theme="1"/>
        <rFont val="Calibri"/>
        <family val="2"/>
        <scheme val="minor"/>
      </rPr>
      <t>Phloem sieve element</t>
    </r>
    <r>
      <rPr>
        <sz val="11"/>
        <color theme="1"/>
        <rFont val="Calibri"/>
        <family val="2"/>
        <scheme val="minor"/>
      </rPr>
      <t xml:space="preserve"> vacuole volume (in one cell)</t>
    </r>
  </si>
  <si>
    <r>
      <t>volume occupied by</t>
    </r>
    <r>
      <rPr>
        <b/>
        <sz val="11"/>
        <color theme="1"/>
        <rFont val="Calibri"/>
        <family val="2"/>
        <scheme val="minor"/>
      </rPr>
      <t xml:space="preserve"> phloem sieve element</t>
    </r>
    <r>
      <rPr>
        <sz val="11"/>
        <color theme="1"/>
        <rFont val="Calibri"/>
        <family val="2"/>
        <scheme val="minor"/>
      </rPr>
      <t xml:space="preserve"> vacuole volume (in one cell)</t>
    </r>
  </si>
  <si>
    <r>
      <t>volume occupied by</t>
    </r>
    <r>
      <rPr>
        <b/>
        <sz val="11"/>
        <color theme="1"/>
        <rFont val="Calibri"/>
        <family val="2"/>
        <scheme val="minor"/>
      </rPr>
      <t xml:space="preserve"> phloem companion</t>
    </r>
    <r>
      <rPr>
        <sz val="11"/>
        <color theme="1"/>
        <rFont val="Calibri"/>
        <family val="2"/>
        <scheme val="minor"/>
      </rPr>
      <t xml:space="preserve"> cell vacuole volume (in one cell)</t>
    </r>
  </si>
  <si>
    <r>
      <t xml:space="preserve">volume occupied by </t>
    </r>
    <r>
      <rPr>
        <b/>
        <sz val="11"/>
        <color theme="1"/>
        <rFont val="Calibri"/>
        <family val="2"/>
        <scheme val="minor"/>
      </rPr>
      <t>phloem parenchyma</t>
    </r>
    <r>
      <rPr>
        <sz val="11"/>
        <color theme="1"/>
        <rFont val="Calibri"/>
        <family val="2"/>
        <scheme val="minor"/>
      </rPr>
      <t xml:space="preserve"> vacuole volume (in one cell)</t>
    </r>
  </si>
  <si>
    <r>
      <t xml:space="preserve">Volume of vacuole in </t>
    </r>
    <r>
      <rPr>
        <b/>
        <sz val="11"/>
        <color theme="1"/>
        <rFont val="Calibri"/>
        <family val="2"/>
        <scheme val="minor"/>
      </rPr>
      <t>xylem parenchyma</t>
    </r>
    <r>
      <rPr>
        <sz val="11"/>
        <color theme="1"/>
        <rFont val="Calibri"/>
        <family val="2"/>
        <scheme val="minor"/>
      </rPr>
      <t xml:space="preserve"> cell vacuole volume (in one cell)</t>
    </r>
  </si>
  <si>
    <t>we assumed peroxisomes are as abundant as in stomata cells</t>
  </si>
  <si>
    <t>absent</t>
  </si>
  <si>
    <t>See Fig 4 in Nguyen_2018_PMID_30228123, assuming a sphere of 1 µm radius</t>
  </si>
  <si>
    <r>
      <t xml:space="preserve">Averaged single chloroplasts volume in </t>
    </r>
    <r>
      <rPr>
        <b/>
        <sz val="11"/>
        <color theme="1"/>
        <rFont val="Calibri"/>
        <family val="2"/>
        <scheme val="minor"/>
      </rPr>
      <t>Xylem</t>
    </r>
    <r>
      <rPr>
        <sz val="11"/>
        <color theme="1"/>
        <rFont val="Calibri"/>
        <family val="2"/>
        <scheme val="minor"/>
      </rPr>
      <t xml:space="preserve"> </t>
    </r>
    <r>
      <rPr>
        <b/>
        <sz val="11"/>
        <color theme="1"/>
        <rFont val="Calibri"/>
        <family val="2"/>
        <scheme val="minor"/>
      </rPr>
      <t>parenchyma</t>
    </r>
    <r>
      <rPr>
        <sz val="11"/>
        <color theme="1"/>
        <rFont val="Calibri"/>
        <family val="2"/>
        <scheme val="minor"/>
      </rPr>
      <t xml:space="preserve"> cells</t>
    </r>
  </si>
  <si>
    <t>Xylem tracheide cell wall thickness</t>
  </si>
  <si>
    <t>Phloem companion cell</t>
  </si>
  <si>
    <t>Phloem parenchyma cells</t>
  </si>
  <si>
    <t>Phloem sieve element</t>
  </si>
  <si>
    <t>Hydathode cells density</t>
  </si>
  <si>
    <t>Xylem parenchyma cells density</t>
  </si>
  <si>
    <t>Xylem tracheide cells density</t>
  </si>
  <si>
    <t>Specific cell number (excluding vein cells)</t>
  </si>
  <si>
    <t>Abaxial epidermal pavement cells volume per m^2</t>
  </si>
  <si>
    <t>µl/m^2</t>
  </si>
  <si>
    <r>
      <t xml:space="preserve">volume occupied by all the plastids in a single </t>
    </r>
    <r>
      <rPr>
        <b/>
        <sz val="11"/>
        <color theme="1"/>
        <rFont val="Calibri"/>
        <family val="2"/>
        <scheme val="minor"/>
      </rPr>
      <t>Xylem parenchyma</t>
    </r>
    <r>
      <rPr>
        <sz val="11"/>
        <color theme="1"/>
        <rFont val="Calibri"/>
        <family val="2"/>
        <scheme val="minor"/>
      </rPr>
      <t xml:space="preserve"> cell</t>
    </r>
  </si>
  <si>
    <t>number in leaf n°6</t>
  </si>
  <si>
    <t>Hydathode number in one leaf n°6</t>
  </si>
  <si>
    <t xml:space="preserve">Epidermal cells number per leaf n°6 (abaxial, adaxial epidermal pavement cells, basal and trichome cells, stomata cells) </t>
  </si>
  <si>
    <t>Vessel cells number per leaf n°6 (PCC+PPC+PSE+XPC+XTE)</t>
  </si>
  <si>
    <t>Abaxial epidermal pavement cells volume in one leaf n°6</t>
  </si>
  <si>
    <t>Adaxial epidermal pavement cells volume in one leaf n°6</t>
  </si>
  <si>
    <t>Basal trichome cells volume in one leaf n°6</t>
  </si>
  <si>
    <t>Bundle sheath cells volume in leaf n°6</t>
  </si>
  <si>
    <t>Hydathode cells volume in leaf n°6</t>
  </si>
  <si>
    <t>Palisade mesophyll cells volume in one leaf n°6</t>
  </si>
  <si>
    <t>Spongy mesophyll cells volume in one leaf n°6</t>
  </si>
  <si>
    <t>Stomata cells volume in one leaf n°6</t>
  </si>
  <si>
    <t>Trichome cell volumes in one leaf n°6</t>
  </si>
  <si>
    <t>Total apoplastic fluid volume in leaf n°6</t>
  </si>
  <si>
    <t>Air space between palisade mesophyll mature in a leaf n°6</t>
  </si>
  <si>
    <t>Air space between spongy mesophyll mature in a leaf n°6</t>
  </si>
  <si>
    <t>total air space per leaf n°6</t>
  </si>
  <si>
    <t>Number of chloroplasts from abaxial epidermal pavement cells in leaf n°6</t>
  </si>
  <si>
    <t>number (in leaf n°6)</t>
  </si>
  <si>
    <t>Number of chloroplasts from adaxial epidermal pavement cells in leaf n°6</t>
  </si>
  <si>
    <t>Number of chloroplasts from basal trichome cells in leaf n°6</t>
  </si>
  <si>
    <t>Number of chloroplasts from bundle sheath cell in leaf n°6</t>
  </si>
  <si>
    <t>Number of chloroplasts from palisade mesophyll cells in leaf n°6</t>
  </si>
  <si>
    <t>Number of chloroplasts from phloem companion cells in leaf n°6</t>
  </si>
  <si>
    <t>Number of chloroplasts from phloem parenchyma cells in leaf n°6</t>
  </si>
  <si>
    <t>Number of plastids from phloem sieve elements in leaf n°6</t>
  </si>
  <si>
    <t>Number of chloroplasts from spongy mesophyll cells in leaf n°6</t>
  </si>
  <si>
    <t>Number of chloroplasts from stomata cells in leaf n°6</t>
  </si>
  <si>
    <t>Number of leucoplast from trichome cells in leaf n°6</t>
  </si>
  <si>
    <t>Number of plastid from xylem parenchyma cells in leaf n°6</t>
  </si>
  <si>
    <t>total number of chloroplasts in leaf n°6</t>
  </si>
  <si>
    <t>µL (per leaf n°6)</t>
  </si>
  <si>
    <t>µL (in leaf n°6)</t>
  </si>
  <si>
    <t>volume occupied by phloem companion cell chloroplasts in leaf n°6</t>
  </si>
  <si>
    <t>Volume occupied by the stroma in leaf n°6</t>
  </si>
  <si>
    <t>Volume occupied by the thylakoid in leaf n°6</t>
  </si>
  <si>
    <t>Volume occupied by the thylakoid lumen in leaf n°6</t>
  </si>
  <si>
    <t>Volume occupied by plastoglobuli in leaf n°6</t>
  </si>
  <si>
    <t>Volume occupied by envelope in leaf n°6</t>
  </si>
  <si>
    <t>Volume occupied by starch in leaf n°6 (middle of the day)</t>
  </si>
  <si>
    <t>Volume occupied by the cytosol of palisade mesophyll cells in leaf n°6</t>
  </si>
  <si>
    <t>Volume occupied by the cytosol of spongy mesophyll cells in leaf n°6</t>
  </si>
  <si>
    <t>Total ER volume in abaxial epidermal pavement cells in leaf n°6</t>
  </si>
  <si>
    <t>Total ER volume in adaxial epidermal pavement cells in leaf n°6</t>
  </si>
  <si>
    <t>Total ER volume in  basal trichome cells in leaf n°6</t>
  </si>
  <si>
    <t>Total ER volume in bundle sheath cells in leaf n°6</t>
  </si>
  <si>
    <t>Total ER volume in palisade cells in leaf n°6</t>
  </si>
  <si>
    <t>Total ER volume in phloem companion cells in leaf n°6</t>
  </si>
  <si>
    <t>Total ER volume in phloem parenchyma cells in leaf n°6</t>
  </si>
  <si>
    <t>Total ER volume in phloem sieve element in leaf n°6</t>
  </si>
  <si>
    <t>Total ER volume in spongy cells in leaf n°6</t>
  </si>
  <si>
    <t>Total ER volume in stomata cells in leaf n°6</t>
  </si>
  <si>
    <t>Total ER volume in trichome cells in leaf n°6</t>
  </si>
  <si>
    <t>Total ER volume in xylem parenchyma cells in leaf n°6</t>
  </si>
  <si>
    <t>Total Golgi volume in abaxial epidermal pavement cells in leaf n°6</t>
  </si>
  <si>
    <t>Total Golgi volume in palisade cells in leaf n°6</t>
  </si>
  <si>
    <t>Total Golgi volume in spongy cells in leaf n°6</t>
  </si>
  <si>
    <t>Number of mitochondria in leaf n°6 (ab+ad+PM+SM+ stomata)</t>
  </si>
  <si>
    <t>Total mitochondrial volume in abaxial epidermal pavement cells in leaf n°6</t>
  </si>
  <si>
    <t>Total mitochondrial volume in adaxial epidermal pavement cells in leaf n°6</t>
  </si>
  <si>
    <t>Total mitochondrial volume in basal trichome cells in leaf n°6</t>
  </si>
  <si>
    <t>Total mitochondrial volume in bundle sheath cells in leaf n°6</t>
  </si>
  <si>
    <t>Total mitochondrial volume in palisade cells in leaf n°6</t>
  </si>
  <si>
    <t>Total mitochondrial volume in phloem companion cells in leaf n°6</t>
  </si>
  <si>
    <t>Total mitochondrial volume in phloem parenchyma cells in leaf n°6</t>
  </si>
  <si>
    <t>Total mitochondrial volume in phloem sieve element in leaf n°6</t>
  </si>
  <si>
    <t>Total mitochondrial volume in spongy cells in leaf n°6</t>
  </si>
  <si>
    <t>Total mitochondrial volume in stomata cells in leaf n°6</t>
  </si>
  <si>
    <t>Total mitochondrial volume in trichome cells in leaf n°6</t>
  </si>
  <si>
    <t>Total nuclear volume in abaxial epidermal pavement cells in leaf n°6</t>
  </si>
  <si>
    <t>Total nuclear volume in adaxial epidermal pavement cells in leaf n°6</t>
  </si>
  <si>
    <t>Total nuclear volume in basal trichome cells in leaf n°6</t>
  </si>
  <si>
    <t>Total nuclear volume in bundle sheath cells in leaf n°6</t>
  </si>
  <si>
    <t>Total nuclear volume in palisade cells in leaf n°6</t>
  </si>
  <si>
    <t>Total nuclear volume in phloem companion cells in leaf n°6</t>
  </si>
  <si>
    <t>Total nuclear volume in phloem parenchyma cells in leaf n°6</t>
  </si>
  <si>
    <t>Total nuclear volume in phloem sieve element in leaf n°6</t>
  </si>
  <si>
    <t>Total nuclear volume in spongy mesophyll  cells in leaf n°6</t>
  </si>
  <si>
    <t>Total nuclear volume in stomata  cells in leaf n°6</t>
  </si>
  <si>
    <t>Total nuclear volume in trichome cells in leaf n°6</t>
  </si>
  <si>
    <t>Total nuclear volume in xylem parenchyma cells in leaf n°6</t>
  </si>
  <si>
    <t>Total nuclear volume in leaf n°6</t>
  </si>
  <si>
    <t>Total peroxisomal volume in palisade cells in leaf n°6</t>
  </si>
  <si>
    <t>Total peroxisomal volume in spongy cells in leaf n°6</t>
  </si>
  <si>
    <t>volume occupied by abaxial epidermal pavement cells vacuoles in leaf n°6</t>
  </si>
  <si>
    <t>volume occupied by adaxial epidermal pavement cells vacuoles in leaf n°6</t>
  </si>
  <si>
    <t>volume occupied by basal trichome cells vacuoles in leaf n°6</t>
  </si>
  <si>
    <t>volume occupied by bundle sheath cells vacuoles in leaf n°6</t>
  </si>
  <si>
    <t>volume occupied by palisade mesophyll cells vacuoles in leaf n°6</t>
  </si>
  <si>
    <t>volume occupied by spongy mesophyll cells vacuoles in leaf n°6</t>
  </si>
  <si>
    <t>volume occupied by trichome cell vacuoles in leaf n°6</t>
  </si>
  <si>
    <t>Volume of vacuole from stomata cell in leaf n°6</t>
  </si>
  <si>
    <t xml:space="preserve">Mass of chlorophyll a+b in leaf n°6 </t>
  </si>
  <si>
    <t>mg per leaf n°6</t>
  </si>
  <si>
    <t>fraction of phloem cells (PCC+PPC+PSE)/ total leaf cellular volume</t>
  </si>
  <si>
    <t>Fraction of trichome cells volume/total leaf cellular volume</t>
  </si>
  <si>
    <t>Fraction of stomata cells volume/total leaf cellular volume</t>
  </si>
  <si>
    <t>Fraction of spongy mesophyll cells volume/total leaf cellular volume</t>
  </si>
  <si>
    <t xml:space="preserve">Fraction of palisade mesophyll cells volume/total leaf cellular volume </t>
  </si>
  <si>
    <t>fraction of bundle sheath cells volume/total leaf cellular volume</t>
  </si>
  <si>
    <t>Fraction of basal trichome cells volume/total leaf cellular volume</t>
  </si>
  <si>
    <t>Fraction of adaxial cells volume/total leaf cellular volume</t>
  </si>
  <si>
    <t>Fraction of abaxial cells volume/total leaf cellular volume</t>
  </si>
  <si>
    <t>Adaxial epidermal pavement cells volume per m^2</t>
  </si>
  <si>
    <t>Basal trichome cells volume per m^2</t>
  </si>
  <si>
    <t>Bundle sheath cells volume per m^2</t>
  </si>
  <si>
    <t>Hydathode cells volume per m^2</t>
  </si>
  <si>
    <t>Palisade mesophyll cells volume per m^2</t>
  </si>
  <si>
    <t>Phloem companion cells volume per m^2</t>
  </si>
  <si>
    <t>Phloem parenchyma cells volume per m^2</t>
  </si>
  <si>
    <t>Phloem sieve elements volume per m^2</t>
  </si>
  <si>
    <t>Spongy mesophyll cells volume per m^2</t>
  </si>
  <si>
    <t>Stomata cells volume per m^2</t>
  </si>
  <si>
    <t>Trichome cell volume per m^2</t>
  </si>
  <si>
    <t>Xylem parenchyma cells (XPC) volume per m^2</t>
  </si>
  <si>
    <t>Total cellular volume per m^2</t>
  </si>
  <si>
    <t>Nguyen_2018_PMID_30228123; Persson_2007_PMID_17237350</t>
  </si>
  <si>
    <t>Phloem companion cells volume in one leaf n°6 (all veins orders)</t>
  </si>
  <si>
    <t>Phloem parenchyma cells volume  in one leaf n°6 (all vein orders)</t>
  </si>
  <si>
    <t>Xylem parenchyma cells (XPC) in leaf n°6 (all vein orders)</t>
  </si>
  <si>
    <t>fraction of hydathodes cells volume/total leaf cellular volume</t>
  </si>
  <si>
    <t>fraction of xylem cells (XPC+ XTE) volume/total leaf cellular volume (including cell alls)</t>
  </si>
  <si>
    <t xml:space="preserve">Cell wall % of leaf volume </t>
  </si>
  <si>
    <t>Calculation</t>
  </si>
  <si>
    <t>Wuyts_2010_PMID_20598116</t>
  </si>
  <si>
    <t>Phloem sap in leaf n°6</t>
  </si>
  <si>
    <t>Xylem sap in leaf n°6</t>
  </si>
  <si>
    <t>Wuyts_2012_PMID_22471732</t>
  </si>
  <si>
    <t>Lipid droplets (photosynthetic mesophyll cells)</t>
  </si>
  <si>
    <t>Mesophyll (palisade +spongy) cells contribution to chloroplast volume  in leaf n°6</t>
  </si>
  <si>
    <t>Phloem cells contribution to chloroplast volume  in leaf n°6</t>
  </si>
  <si>
    <t>Epidermal cell contribution to chloroplast volume (Ab+ Ad pavement cells+stomata)  in leaf n°6</t>
  </si>
  <si>
    <t>bundle sheath cell contribution (in %) to chloroplast volume in leaf n°6</t>
  </si>
  <si>
    <t>Epidermal cell contribution (in %) to chloroplast volume (Ab+ Ad pavement cells+stomata)  in leaf n°6</t>
  </si>
  <si>
    <t>Mesophyll (palisade +spongy) cells contribution (in %) to chloroplast volume  in leaf n°6</t>
  </si>
  <si>
    <t>Phloem cells contribution (in %) to chloroplast volume  in leaf n°6</t>
  </si>
  <si>
    <t>Methods</t>
  </si>
  <si>
    <t>Plant stage</t>
  </si>
  <si>
    <t>Leaf n°6, 21 day after initiation</t>
  </si>
  <si>
    <t>confocal and multiphoton microscopy</t>
  </si>
  <si>
    <t>Ebert_2010_PMID_20150518</t>
  </si>
  <si>
    <t>6 weeks-old plant; stage 3.09 according to Boyes_2001_PMID_11449047</t>
  </si>
  <si>
    <t>Leaf n°6, 6.5 mm in length</t>
  </si>
  <si>
    <t>Leaf 6, 21 days after initiation</t>
  </si>
  <si>
    <t>Light microscopy, SEM</t>
  </si>
  <si>
    <t>40-50 Days after emergence</t>
  </si>
  <si>
    <t>Scanning electron microscopy</t>
  </si>
  <si>
    <t>Table 1 in Gutierrez_2000_PMID_10995473</t>
  </si>
  <si>
    <t>30 days after germination</t>
  </si>
  <si>
    <t>Groups of cells</t>
  </si>
  <si>
    <t>SUBCELLULAR COMPARTMENTS</t>
  </si>
  <si>
    <t>MACROSCOPIC DATA</t>
  </si>
  <si>
    <t>Units</t>
  </si>
  <si>
    <t>Method</t>
  </si>
  <si>
    <t>Growth conditions</t>
  </si>
  <si>
    <t>MACROSCOPIC METRICS</t>
  </si>
  <si>
    <t>Reference leaf n°6 surface</t>
  </si>
  <si>
    <t>Wuyts_2012_PMID_22471736</t>
  </si>
  <si>
    <t>Figure 6 high cumulative light, see supplementary Table S1</t>
  </si>
  <si>
    <t>Veins length per leaf area</t>
  </si>
  <si>
    <t>mm/mm^2</t>
  </si>
  <si>
    <t>Caringella_2015_PMID_26047314</t>
  </si>
  <si>
    <t>Supplementary Table S1</t>
  </si>
  <si>
    <t>leaf clearing, cross section embedded</t>
  </si>
  <si>
    <t>6–8 weeks old plants</t>
  </si>
  <si>
    <t>Supplementary Table S1 ; 0,9 mm/mm^2 in Kang_2007_PMID_17569988</t>
  </si>
  <si>
    <t xml:space="preserve">Supplementary Table S1 </t>
  </si>
  <si>
    <t>mm/mm2</t>
  </si>
  <si>
    <t>Mid-vein length in one leaf n°6</t>
  </si>
  <si>
    <t>mm</t>
  </si>
  <si>
    <t>Calculation based on Caringella_2015_PMID_26047314 data (see above)  and leaf n°6 area (Wuyts_2012_PMID_22471736, well watered plants, high cumulative light); length of vascular pattern is proportional to leaf area (see Fig 5B in Dhondt_2012_PMID_21955023).</t>
  </si>
  <si>
    <t>Secondary veins length in one leaf n°6</t>
  </si>
  <si>
    <t>Minor veins (3rd+4th+5th orders) length in one leaf n°6</t>
  </si>
  <si>
    <t>total vein length in one leaf n°6</t>
  </si>
  <si>
    <t>Calculation based on Caringella_2015_PMID_26047314 data (see above)  and leaf n°6 area (Wuyts et al); length of vascular pattern is proportional to leaf area (see Fig 5B in Dhondt_2012_PMID_21955023).</t>
  </si>
  <si>
    <t>Bundle sheath cell length</t>
  </si>
  <si>
    <t>Cambial cell length</t>
  </si>
  <si>
    <t>Phloem companion cell length</t>
  </si>
  <si>
    <t>Cayla_2014_PMID_25714357</t>
  </si>
  <si>
    <t>Confocal microscopy</t>
  </si>
  <si>
    <t>Rosette</t>
  </si>
  <si>
    <t>Phloem parenchyma cell length</t>
  </si>
  <si>
    <t>Nguyen_2015_PMID_25899055</t>
  </si>
  <si>
    <t>See Fig.5 in Nguyen_2015_PMID_25899055 (average for 5 cells length estimation)</t>
  </si>
  <si>
    <t>Long day light regime (16H light)</t>
  </si>
  <si>
    <t xml:space="preserve"> 2-3 week old plants</t>
  </si>
  <si>
    <t>Phloem sieve element cell length</t>
  </si>
  <si>
    <t>Confocal microscopy, TEM</t>
  </si>
  <si>
    <t>Xylem parenchyma cell length</t>
  </si>
  <si>
    <t>Smith_2013_PMID_24096341</t>
  </si>
  <si>
    <t>TEM</t>
  </si>
  <si>
    <r>
      <t xml:space="preserve">7 day-old </t>
    </r>
    <r>
      <rPr>
        <i/>
        <sz val="11"/>
        <color theme="1"/>
        <rFont val="Calibri"/>
        <family val="2"/>
        <scheme val="minor"/>
      </rPr>
      <t>in vitro</t>
    </r>
    <r>
      <rPr>
        <sz val="11"/>
        <color theme="1"/>
        <rFont val="Calibri"/>
        <family val="2"/>
        <scheme val="minor"/>
      </rPr>
      <t xml:space="preserve"> plants</t>
    </r>
  </si>
  <si>
    <t>Xylem tracheary element length</t>
  </si>
  <si>
    <t>µm^2</t>
  </si>
  <si>
    <t>BSC are absent from the primary vein</t>
  </si>
  <si>
    <t>Nguyen_2018_PMID_30228123</t>
  </si>
  <si>
    <t>light microscopy</t>
  </si>
  <si>
    <t>Leaf 8, 5-week-old plants</t>
  </si>
  <si>
    <t>plants with 4 to 9 true leaves in Gao_2020</t>
  </si>
  <si>
    <t>See Phloem: Methods and Protocols, Liesche J. Ed (2019) chapter 5 Stewart et al., Quantification of Leaf Phloem Anatomical Features with Microscopy p 55-</t>
  </si>
  <si>
    <t>Wei_2022_biorxiv_475004v1</t>
  </si>
  <si>
    <t>Haritatos_2000_PMID_10923710</t>
  </si>
  <si>
    <t>Fig. 3 in Haritatos_2000_PMID_10923710</t>
  </si>
  <si>
    <t>Absence of bundle sheath cells in the major vein</t>
  </si>
  <si>
    <t>Fig 2 : Confocal images indicate a mean diameter of 4 μm and length of up to 70–100 μm; We assumed cells are cylinders of diameter 4 µm and length 85 µm (averaged value); see also Fig 1 A in Nguyen_2015_PMID_25899055 (0,98 pL) and Fig. 3 in Froelich_2011_PMID_22198148</t>
  </si>
  <si>
    <t xml:space="preserve"> PPC size seems highly variable : Cayla_2014_PMID_25714357 confocal images report a diameter of 17 µm with a length of 65 to 100 µm with a cellular volume of approx. 15 pL;  however, TEM cross section (Fig.3 in Haritatos_2000_PMID_10923710 or Fig.2 in Chen_2018_PMID_29483267), show smaller PPC cells with a cross section of about 20 µm^2 for a total volume of about 2 pL.</t>
  </si>
  <si>
    <t>Fig1a in Smith_2013_PMID_24096341 shows several root xylem parenchyma cells with an average length of 25 µm; Minor vein cross section in Haritatos_2000_PMID_10923710 shows an average section of 14 µm^2 for XPC cells</t>
  </si>
  <si>
    <t>Bundle sheath cells number per primary vein cross section</t>
  </si>
  <si>
    <t>Bundle sheath cells are absent in mid-rib.</t>
  </si>
  <si>
    <t>Cambial cells number per primary vein cross section</t>
  </si>
  <si>
    <t>Around 64 cambial cells counted in Fig. 3B representing a mid-rib cross section of a leaf</t>
  </si>
  <si>
    <t>Light microscopy</t>
  </si>
  <si>
    <t>Leaf 8</t>
  </si>
  <si>
    <t>Phloem companion cells number per primary vein cross section</t>
  </si>
  <si>
    <t>We assumed that the ratio of 2,3 phloem companion cell per sieve element observed in minor veins (Amiard_2007_PMID_17286821) also applies for mid vein.</t>
  </si>
  <si>
    <t>Phloem parenchyma cells number per primary vein cross section</t>
  </si>
  <si>
    <t>Phloem sieve elements number per primary vein cross section</t>
  </si>
  <si>
    <t>We assumed the TE/SE ratio of 0,509 observed in minor veins (Stewart_2018_PMID_29910820) applies also for leaf mid vein.</t>
  </si>
  <si>
    <t>Xylem parenchyma cells number per primary vein cross section</t>
  </si>
  <si>
    <t>Fig. 3B: xylem parenchyma cell counts</t>
  </si>
  <si>
    <t>Xylem TE number per primary vein cross section</t>
  </si>
  <si>
    <t>Fig. 3B : xylem tracheary elements counts</t>
  </si>
  <si>
    <t>Total vessel cell number per primary vein cross section</t>
  </si>
  <si>
    <t>A total of 214 phloem cells, 116 xylem cells and 19 Tracheary elements could be counted in Fig. 3B in Nguyen_2018_PMID_30228123</t>
  </si>
  <si>
    <t>Bundle sheath cells per 2nd vein cross section</t>
  </si>
  <si>
    <t>Kang_2002_PMID_12447534; Kang_2007_PMID_17569988</t>
  </si>
  <si>
    <t xml:space="preserve"> Leaf 8, 24 days post initiation </t>
  </si>
  <si>
    <t>Number of cambial cells per 2nd vein cross section</t>
  </si>
  <si>
    <t>Kang_2002_PMID_12447534</t>
  </si>
  <si>
    <t>Number of phloem companion cells per 2nd vein cross section</t>
  </si>
  <si>
    <t>Number of phloem parenchyma cells per 2nd vein cross section</t>
  </si>
  <si>
    <t xml:space="preserve">Number of phloem sieve elements per 2nd vein cross section </t>
  </si>
  <si>
    <t>Number of xylem parenchyma cells per 2nd vein cross section</t>
  </si>
  <si>
    <t>Number of xylem TE per 2nd vein cross section</t>
  </si>
  <si>
    <t>Total cell number of cells per 2nd vein cross section</t>
  </si>
  <si>
    <t>Number of bundle sheath cells per minor vein cross section</t>
  </si>
  <si>
    <t>Number of cambial cells per minor vein cross section</t>
  </si>
  <si>
    <t>Number of Phloem companion cells per minor vein cross section</t>
  </si>
  <si>
    <t>Number of Phloem parenchyma cells per minor vein cross section</t>
  </si>
  <si>
    <t xml:space="preserve">Number of Phloem sieve elements per minor vein cross section </t>
  </si>
  <si>
    <t>Stewart_2018_PMID_29910820</t>
  </si>
  <si>
    <t>Number of Xylem parenchyma cells per minor vein cross section</t>
  </si>
  <si>
    <t>Number of Xylem TE per minor vein cross section</t>
  </si>
  <si>
    <t>Primary vein (mid-vein) cells numbers in leaf n°6</t>
  </si>
  <si>
    <t>Bundle sheath cells in leaf n°6 primary vein</t>
  </si>
  <si>
    <t>Absence of bundle sheath cells in the primary vein</t>
  </si>
  <si>
    <t>Cambial cells in leaf n°6 primary vein</t>
  </si>
  <si>
    <t>Phloem companion cells number in leaf n°6 primary vein, assuming a conic shape</t>
  </si>
  <si>
    <t>Phloem parenchyma cells number in leaf n°6 primary vein, assuming a conic shape</t>
  </si>
  <si>
    <t>Phloem sieve element cells number in leaf n°6 primary vein, assuming a conic shape</t>
  </si>
  <si>
    <t>Xylem parenchyma cells number in leaf n°6 primary vein, assuming a conic shape</t>
  </si>
  <si>
    <t>Xylem tracheary element number in leaf n°6 primary vein, assuming a conic shape</t>
  </si>
  <si>
    <t>Total vessel cells number in leaf n°6 primary vein (TE excluded)</t>
  </si>
  <si>
    <t>Assuming primary vein cross section is constant along the leaf; if one assumes the primary vein is a cone the actual cell number could be 1/3rd of the computed value</t>
  </si>
  <si>
    <t>Secondary veins cells number in leaf n°6</t>
  </si>
  <si>
    <t>Bundle sheath cells in leaf n°6 secondary veins</t>
  </si>
  <si>
    <t>Cambial cell in leaf secondary veins</t>
  </si>
  <si>
    <t>Phloem companion cell number in leaf n°6 secondary veins</t>
  </si>
  <si>
    <t xml:space="preserve">Calculation based on dividing total vein length by the length of a single cell and multiplying by the number of cells per cross section. </t>
  </si>
  <si>
    <t>Phloem parenchyma cell number in leaf n°6 secondary veins</t>
  </si>
  <si>
    <t>Phloem sieve element cell number in leaf n°6 secondary veins</t>
  </si>
  <si>
    <t>Xylem parenchyma cell number in leaf n°6 secondary veins</t>
  </si>
  <si>
    <t>Xylem tracheary element number in leaf n°6 secondary veins</t>
  </si>
  <si>
    <t>TE are dead cells freely connected to each other by their ends; the figure is given as an indication</t>
  </si>
  <si>
    <t>Bundle sheath cells in leaf n°6 minor veins</t>
  </si>
  <si>
    <t>Cambial cells in leaf n°6 minor veins</t>
  </si>
  <si>
    <t>Phloem companion cell number in leaf n°6 minor veins</t>
  </si>
  <si>
    <t xml:space="preserve">Calculation based on dividing total minor vein length by the length of a single cell and multiplying by the number of cells per cross section. </t>
  </si>
  <si>
    <t>Phloem parenchyma cell number in leaf n°6 minor veins</t>
  </si>
  <si>
    <t>Phloem sieve element cell number in leaf n°6 minor veins</t>
  </si>
  <si>
    <t>Xylem parenchyma cell number in leaf n°6 minor veins</t>
  </si>
  <si>
    <t xml:space="preserve">Calculation based on dividing total minor vein length by the length of a single cell (assumed to be of 50 µm) and multiplying by the number of cells per cross section. </t>
  </si>
  <si>
    <t>Xylem tracheary element number in leaf n°6 minor veins</t>
  </si>
  <si>
    <t>Bundle sheath cells number in leaf n°6</t>
  </si>
  <si>
    <t>Cambial cells</t>
  </si>
  <si>
    <t xml:space="preserve">Phloem companion cell number in leaf n°6 </t>
  </si>
  <si>
    <t>Phloem parenchyma cell number in leaf n°6</t>
  </si>
  <si>
    <t>Phloem sieve element cell number in leaf n°6</t>
  </si>
  <si>
    <t>Xylem parenchyma cell number in leaf n°6</t>
  </si>
  <si>
    <t>Xylem tracheary element number in leaf n°6</t>
  </si>
  <si>
    <t>This value is  based on estimations detailed above for primary vein (assumed to be a cone) and for secondary veins (we assumed the same number of cells per secondary vein cross section, whatever their position in the leaf).</t>
  </si>
  <si>
    <t>Bundle sheath cells volume in leaf n°6 primary vein</t>
  </si>
  <si>
    <t>Assuming same cell volume as in secondary veins</t>
  </si>
  <si>
    <t>µl</t>
  </si>
  <si>
    <t>Secondary vein cells volumes in one leaf n°6</t>
  </si>
  <si>
    <t>We assumed the same volume of bundle sheath cells in secondary and higher order veins</t>
  </si>
  <si>
    <t>Assumed to be the same as in minor veins</t>
  </si>
  <si>
    <t>Minor veins (3rd, 4th and 5th order) cells volumes in one leaf n°6</t>
  </si>
  <si>
    <t xml:space="preserve">Calculation </t>
  </si>
  <si>
    <t>% of vessel cells volume from primary vein</t>
  </si>
  <si>
    <t>% of vessel cells volume from secondary vein</t>
  </si>
  <si>
    <t>% of vessel cells volume from minor veins</t>
  </si>
  <si>
    <t>Sap volume in leaf n°6</t>
  </si>
  <si>
    <t>Individual vessel cells volumes per g FW</t>
  </si>
  <si>
    <t>Total vessel cells volume per g FW leaf n°6</t>
  </si>
  <si>
    <t>Sap volume in leaf n°6 (per g FW)</t>
  </si>
  <si>
    <t>Phloem sap volume  per g FW leaf n°6</t>
  </si>
  <si>
    <t>Xylem sap volume per g FW leaf n°6</t>
  </si>
  <si>
    <t>Bundle sheath cell density</t>
  </si>
  <si>
    <t>Cambial cells density</t>
  </si>
  <si>
    <t>Phloem companion cell density</t>
  </si>
  <si>
    <t>Phloem parenchyma cell density</t>
  </si>
  <si>
    <t>Phloem sieve element cell density</t>
  </si>
  <si>
    <t>Xylem parenchyma cell density</t>
  </si>
  <si>
    <t>Xylem tracheary element density</t>
  </si>
  <si>
    <t>mm3/m^2</t>
  </si>
  <si>
    <t>mm^3/m^2</t>
  </si>
  <si>
    <t>See also see also Froelich_2011_PMID_22198148</t>
  </si>
  <si>
    <t>we assumed ER volume was proportional to cell size and we used the fractional volume of ER in epidermal pavement cells for the Calculations.</t>
  </si>
  <si>
    <t>Our observations</t>
  </si>
  <si>
    <t>Barton_2016_PMID_27288524</t>
  </si>
  <si>
    <t>FIB-SEM</t>
  </si>
  <si>
    <t>Rosette, 25 day-old plants</t>
  </si>
  <si>
    <t>Chloroplast diameter : 3.21 µm; volume calculated assuming the volume of a sphere.</t>
  </si>
  <si>
    <t>Chloroplast diameter : 4.08 µm; volume calculated assuming the volume of a sphere.</t>
  </si>
  <si>
    <t>Comment</t>
  </si>
  <si>
    <t xml:space="preserve">Growth condition </t>
  </si>
  <si>
    <t>Abaxial epidermal cell</t>
  </si>
  <si>
    <t>% of cell volume</t>
  </si>
  <si>
    <t xml:space="preserve">Winter_1994_Planta_vol_193_pp_530_535 </t>
  </si>
  <si>
    <r>
      <t xml:space="preserve">In </t>
    </r>
    <r>
      <rPr>
        <i/>
        <sz val="11"/>
        <color theme="1"/>
        <rFont val="Calibri"/>
        <family val="2"/>
        <scheme val="minor"/>
      </rPr>
      <t>Spinacia oleracea</t>
    </r>
    <r>
      <rPr>
        <sz val="11"/>
        <color theme="1"/>
        <rFont val="Calibri"/>
        <family val="2"/>
        <scheme val="minor"/>
      </rPr>
      <t xml:space="preserve"> (spinach) epidermal cells:  cytosol plus ER + Golgi + nucleus occupy 4.96% of the epidermal cell volume</t>
    </r>
  </si>
  <si>
    <t>Analyses of 2D TEM images</t>
  </si>
  <si>
    <t>nucleus</t>
  </si>
  <si>
    <t>"true" cytosol+ER+Golgi</t>
  </si>
  <si>
    <t>ER</t>
  </si>
  <si>
    <t>% of (cytosol + ER + golgi  volume)</t>
  </si>
  <si>
    <t>Bouchekhima_2009_PMID_19397745</t>
  </si>
  <si>
    <r>
      <t xml:space="preserve">In </t>
    </r>
    <r>
      <rPr>
        <i/>
        <sz val="11"/>
        <color theme="1"/>
        <rFont val="Calibri"/>
        <family val="2"/>
        <scheme val="minor"/>
      </rPr>
      <t>Nicotiana tabacum</t>
    </r>
    <r>
      <rPr>
        <sz val="11"/>
        <color theme="1"/>
        <rFont val="Calibri"/>
        <family val="2"/>
        <scheme val="minor"/>
      </rPr>
      <t xml:space="preserve"> epidermal cells, ER occupies 1405 µm^3 of a 41898 µm^3 cytosolic volume (i.e. 3.23% of the volume of cytosol analyzed).</t>
    </r>
  </si>
  <si>
    <r>
      <rPr>
        <i/>
        <sz val="11"/>
        <color theme="1"/>
        <rFont val="Calibri"/>
        <family val="2"/>
        <scheme val="minor"/>
      </rPr>
      <t xml:space="preserve">Nicotiana tabacum </t>
    </r>
    <r>
      <rPr>
        <sz val="11"/>
        <color theme="1"/>
        <rFont val="Calibri"/>
        <family val="2"/>
        <scheme val="minor"/>
      </rPr>
      <t>cv petit Havana SR1 was grown in greenhouse conditions</t>
    </r>
  </si>
  <si>
    <t>5- to 8-week-old leaves</t>
  </si>
  <si>
    <t>Boevink_2002_PMID_9750355</t>
  </si>
  <si>
    <t>We assumed golgi represents 10% of the ER volume based on visual inspection of pictures in Boevink_2002_PMID_9750355.</t>
  </si>
  <si>
    <r>
      <rPr>
        <i/>
        <sz val="11"/>
        <color theme="1"/>
        <rFont val="Calibri"/>
        <family val="2"/>
        <scheme val="minor"/>
      </rPr>
      <t>Nicotiana clevelandii</t>
    </r>
    <r>
      <rPr>
        <sz val="11"/>
        <color theme="1"/>
        <rFont val="Calibri"/>
        <family val="2"/>
        <scheme val="minor"/>
      </rPr>
      <t xml:space="preserve"> cultured cells</t>
    </r>
  </si>
  <si>
    <t>"true" cytosol</t>
  </si>
  <si>
    <t>Adaxial epidermal cell</t>
  </si>
  <si>
    <t>"true" cytosol+ ER+Golgi+nucleus</t>
  </si>
  <si>
    <t>% cell volume</t>
  </si>
  <si>
    <t>Palisade mesophyll cell</t>
  </si>
  <si>
    <r>
      <t xml:space="preserve">We assumed the same value as in Koffler_2013_PMID_23265941 for </t>
    </r>
    <r>
      <rPr>
        <i/>
        <sz val="11"/>
        <color theme="1"/>
        <rFont val="Calibri"/>
        <family val="2"/>
        <scheme val="minor"/>
      </rPr>
      <t>Arabidopsis thaliana</t>
    </r>
    <r>
      <rPr>
        <sz val="11"/>
        <color theme="1"/>
        <rFont val="Calibri"/>
        <family val="2"/>
        <scheme val="minor"/>
      </rPr>
      <t xml:space="preserve"> spongy mesophyll cells.</t>
    </r>
  </si>
  <si>
    <t>2D analyses of TEM images</t>
  </si>
  <si>
    <t>Short-day light regime (9H light); 22°C/18°C; himidity 60%; 150 µmol photons/m^2/s</t>
  </si>
  <si>
    <t>Spongy mesophyll cell</t>
  </si>
  <si>
    <t>Koffler_2013_PMID_23265941 indicates that cytosol+ER+Golgi represents 3.77% of the cell volume, and cells have appearance of spongy mesophyll cells (plants were grown in short day conditions)</t>
  </si>
  <si>
    <t>See Table S1.1, Sheet_1</t>
  </si>
  <si>
    <t>21 day-old-plants, upper part of leaves.</t>
  </si>
  <si>
    <t>Spectroscopy</t>
  </si>
  <si>
    <t xml:space="preserve">Tanaka_2007_PMID_17602189 </t>
  </si>
  <si>
    <t>End of the day</t>
  </si>
  <si>
    <r>
      <rPr>
        <i/>
        <sz val="11"/>
        <color theme="1"/>
        <rFont val="Calibri"/>
        <family val="2"/>
        <scheme val="minor"/>
      </rPr>
      <t>Spinacia oleracea</t>
    </r>
    <r>
      <rPr>
        <sz val="11"/>
        <color theme="1"/>
        <rFont val="Calibri"/>
        <family val="2"/>
        <scheme val="minor"/>
      </rPr>
      <t xml:space="preserve"> (Spinach)</t>
    </r>
  </si>
  <si>
    <t>Figure 3A in Pruzinska_2005_PMID_16113212</t>
  </si>
  <si>
    <t>Leaf numbers 5–7 of 27–50-day-old plants</t>
  </si>
  <si>
    <t>Walker_2000_PMID_10952891</t>
  </si>
  <si>
    <t>Poulet_2015_PMID_25416749</t>
  </si>
  <si>
    <t>See Fig 2C in Poulet_2015_PMID_25416749, (see also Walker_2000_PMID_10952891, 24 fL)</t>
  </si>
  <si>
    <t>Nucleus disintegrate in sieve elements (see Cayla_2014_PMID_25714357)</t>
  </si>
  <si>
    <t>Assumption</t>
  </si>
  <si>
    <t>We assumed the nucleus has the same volume as in spongy mesophyll cells</t>
  </si>
  <si>
    <t xml:space="preserve"> Rosette leaves of nodes 3 to 5 were harvested on plants at the 5.10 developmental growth stage</t>
  </si>
  <si>
    <t>Olsen_1998_PMID_9738966</t>
  </si>
  <si>
    <t>see Ivanova_2002_Russian_J_of_Plant_physiol_49_419_431</t>
  </si>
  <si>
    <t>6 weeks, young leaf of the second rosette 9</t>
  </si>
  <si>
    <t>Chloroplasts</t>
  </si>
  <si>
    <t>Borniego_2020_PMID_ 31969890</t>
  </si>
  <si>
    <t>Fig 4B in Nguyen_2018_30228123 and Fig 3A (stem) in Persson_2007_PMID_17237350</t>
  </si>
  <si>
    <t>Leaf n°6 area</t>
  </si>
  <si>
    <t>Binocular microscope and dedicated image analysis software</t>
  </si>
  <si>
    <t>Counting</t>
  </si>
  <si>
    <t>Leaf n°6, 21 days after initiation</t>
  </si>
  <si>
    <t>Multiphoton microscopy</t>
  </si>
  <si>
    <t>Confocal and multiphoton microscopy</t>
  </si>
  <si>
    <t>by group of leaf cells functions</t>
  </si>
  <si>
    <r>
      <t xml:space="preserve">fractional volume occupied by chloroplasts in a single </t>
    </r>
    <r>
      <rPr>
        <b/>
        <sz val="11"/>
        <color theme="1"/>
        <rFont val="Calibri"/>
        <family val="2"/>
        <scheme val="minor"/>
      </rPr>
      <t xml:space="preserve">phloem companion </t>
    </r>
    <r>
      <rPr>
        <sz val="11"/>
        <color theme="1"/>
        <rFont val="Calibri"/>
        <family val="2"/>
        <scheme val="minor"/>
      </rPr>
      <t>cell</t>
    </r>
  </si>
  <si>
    <r>
      <t xml:space="preserve">fractional volume occupied by chloroplasts in a single </t>
    </r>
    <r>
      <rPr>
        <b/>
        <sz val="11"/>
        <color theme="1"/>
        <rFont val="Calibri"/>
        <family val="2"/>
        <scheme val="minor"/>
      </rPr>
      <t>phloem parenchyma</t>
    </r>
    <r>
      <rPr>
        <sz val="11"/>
        <color theme="1"/>
        <rFont val="Calibri"/>
        <family val="2"/>
        <scheme val="minor"/>
      </rPr>
      <t xml:space="preserve"> cell</t>
    </r>
  </si>
  <si>
    <r>
      <t xml:space="preserve">fractional volume occupied by chloroplasts in a single </t>
    </r>
    <r>
      <rPr>
        <b/>
        <sz val="11"/>
        <color theme="1"/>
        <rFont val="Calibri"/>
        <family val="2"/>
        <scheme val="minor"/>
      </rPr>
      <t>Xylem parenchyma</t>
    </r>
    <r>
      <rPr>
        <sz val="11"/>
        <color theme="1"/>
        <rFont val="Calibri"/>
        <family val="2"/>
        <scheme val="minor"/>
      </rPr>
      <t xml:space="preserve"> cell</t>
    </r>
  </si>
  <si>
    <t>Zellnig_2004 Protoplasma (2004) 223: 221–227, DOI 10.1007/s00709-003-0034-2</t>
  </si>
  <si>
    <t>TEM, 3D reconstruction</t>
  </si>
  <si>
    <r>
      <rPr>
        <sz val="11"/>
        <color theme="1"/>
        <rFont val="Calibri"/>
        <family val="2"/>
        <scheme val="minor"/>
      </rPr>
      <t xml:space="preserve">Value is for </t>
    </r>
    <r>
      <rPr>
        <i/>
        <sz val="11"/>
        <color theme="1"/>
        <rFont val="Calibri"/>
        <family val="2"/>
        <scheme val="minor"/>
      </rPr>
      <t>Spinacia oleracea</t>
    </r>
    <r>
      <rPr>
        <sz val="11"/>
        <color theme="1"/>
        <rFont val="Calibri"/>
        <family val="2"/>
        <scheme val="minor"/>
      </rPr>
      <t>; we provisionally assumed the same value for Arabidopsis.</t>
    </r>
  </si>
  <si>
    <t xml:space="preserve">Abaxial (lower) epidermal pavement cell cytosol volume (in one cell) </t>
  </si>
  <si>
    <t xml:space="preserve">Adaxial (upper) epidermal pavement cell cytosol volume (in one cell) </t>
  </si>
  <si>
    <t>Basal trichome cell cytosol volume (in one cell)</t>
  </si>
  <si>
    <t>Bundle sheath cell cytosol volume (in one cell)</t>
  </si>
  <si>
    <t xml:space="preserve">Palisade mesophyll cell cytosol volume (in one cell) </t>
  </si>
  <si>
    <t>Phloem companion cell cytosol volume (in one cell)</t>
  </si>
  <si>
    <t>Phloem parenchyma cell cytosol volume (in one cell)</t>
  </si>
  <si>
    <t>Phloem sieve element cytosol volume (in one cell)</t>
  </si>
  <si>
    <t xml:space="preserve">Spongy mesophyll cell cytosol volume (in one cell) </t>
  </si>
  <si>
    <t>Stomata cell cytosol volume (in one cell)</t>
  </si>
  <si>
    <t>Trichome cell cytosol volume (in one cell)</t>
  </si>
  <si>
    <t>Xylem parenchyma cell cytosol volume (in one cell)</t>
  </si>
  <si>
    <t>Supplementary Table 1.3: cytosol, ER and Golgi fractional volume occupancy calculations</t>
  </si>
  <si>
    <r>
      <t xml:space="preserve">In </t>
    </r>
    <r>
      <rPr>
        <i/>
        <sz val="11"/>
        <color theme="1"/>
        <rFont val="Calibri"/>
        <family val="2"/>
        <scheme val="minor"/>
      </rPr>
      <t>Nicotiana tabacum</t>
    </r>
    <r>
      <rPr>
        <sz val="11"/>
        <color theme="1"/>
        <rFont val="Calibri"/>
        <family val="2"/>
        <scheme val="minor"/>
      </rPr>
      <t xml:space="preserve"> epidermal cells, ER occupies 1405 µm^3 of a 41898 µm^3 cytosolic volume (i.e. 3.23% of the volume of cytosol analyzed). We provisionally assumed the same value for Arabidopsis. </t>
    </r>
  </si>
  <si>
    <t>Mathur_2002_PMID_11891258  indicates 75- to 150 peroxisomes per trichome cells; with a volume of 0,917 fL on average per peroxisome this represents 69 fL to 138 fL per trichome cells  i.e. 0,0018%</t>
  </si>
  <si>
    <t>The vacuole volume is the variable of adjustment and correspond to the fraction remaining when chloroplasts, nucleus, mitochondria, ER, Golgi and cytosol fractional occupancy is added and substracted from 100.</t>
  </si>
  <si>
    <t>Absorption spectroscopy</t>
  </si>
  <si>
    <t>Keech_2007_PMID_17986154</t>
  </si>
  <si>
    <t>See Fig 3 in Keech_2007_PMID_17986154</t>
  </si>
  <si>
    <t>GFP labeled mitochondria</t>
  </si>
  <si>
    <t>7-8 week old plants</t>
  </si>
  <si>
    <t xml:space="preserve">Armstrong_2006_PMID_17087477 </t>
  </si>
  <si>
    <r>
      <t>Short-day light regime (8H Light); 25/20°C day/night temperature regime, 150 µmol photons/m^</t>
    </r>
    <r>
      <rPr>
        <vertAlign val="superscript"/>
        <sz val="9"/>
        <color theme="1"/>
        <rFont val="Times New Roman"/>
        <family val="1"/>
      </rPr>
      <t>2</t>
    </r>
    <r>
      <rPr>
        <sz val="9"/>
        <color theme="1"/>
        <rFont val="Times New Roman"/>
        <family val="1"/>
      </rPr>
      <t>/s.</t>
    </r>
  </si>
  <si>
    <t>8 week-old plants</t>
  </si>
  <si>
    <t>Bundle sheath cells</t>
  </si>
  <si>
    <t>Mesophyll (palisade and spongy) cells</t>
  </si>
  <si>
    <t>Cell color code</t>
  </si>
  <si>
    <t>Subcellular color code</t>
  </si>
  <si>
    <t>Vacuole</t>
  </si>
  <si>
    <t>Assuming 12 basal cells per trichome cell (see Fig 1 in Ebert_2010_PMID_20150518)</t>
  </si>
  <si>
    <t>See Table S1.2 (veins data)</t>
  </si>
  <si>
    <t>Lipid droplets</t>
  </si>
  <si>
    <t>Chloroplast Stroma</t>
  </si>
  <si>
    <t>Mitochondria matrix (fraction of total mitochondrial volume)</t>
  </si>
  <si>
    <t>Mitochondria matrix</t>
  </si>
  <si>
    <t>Mitochondrial inter membrane space (IMS)</t>
  </si>
  <si>
    <t>Chloroplast thylakoid lumen</t>
  </si>
  <si>
    <t>Chloroplast envelope</t>
  </si>
  <si>
    <t>Peroxisome</t>
  </si>
  <si>
    <t>Starch</t>
  </si>
  <si>
    <t>Value</t>
  </si>
  <si>
    <t>unit</t>
  </si>
  <si>
    <t>Reference</t>
  </si>
  <si>
    <t xml:space="preserve"> 80 days cultures</t>
  </si>
  <si>
    <t>22 days after sowing</t>
  </si>
  <si>
    <t>WS ecotype</t>
  </si>
  <si>
    <t>2.1 mg/cm^2 at 22.8°C (7.1 mg/cm^2 at 5°C)</t>
  </si>
  <si>
    <t>2-week-old plants</t>
  </si>
  <si>
    <t>SPAD 502 chlorophyll meter</t>
  </si>
  <si>
    <t xml:space="preserve">24 day old plant </t>
  </si>
  <si>
    <t xml:space="preserve">See FigS22 D in </t>
  </si>
  <si>
    <t>mmol/m^2</t>
  </si>
  <si>
    <t>Lawlor Photosynthesis book, pp 56-58</t>
  </si>
  <si>
    <t>9 weeks after germination</t>
  </si>
  <si>
    <t>Stage 5.01 (Boyes_2001_PMID_11449047)</t>
  </si>
  <si>
    <t>Based on report that C content per unit of dry mass is around 45%</t>
  </si>
  <si>
    <t>See Fig 3C in Pruzinska_2005_PMID_16113212</t>
  </si>
  <si>
    <t>Calculation using data from Pruzinska_2005_PMID_16113212 from 1 cm leaf discs correcponds to 0,785 cm^2</t>
  </si>
  <si>
    <t>On average 7 starch granules er chloroplast, see Fig. 4 in Crumpton_Taylor_2012_PMID_22135430</t>
  </si>
  <si>
    <t>Mesophyll cell volume in two-cotyledon stage Arabidopsis (96 h de-etiolation)</t>
  </si>
  <si>
    <t>Methods described by Pyke and Leech (1991), PMID:16668319</t>
  </si>
  <si>
    <t>Assuming a cell wall density of 1,5 kg/L</t>
  </si>
  <si>
    <t>mm^2/g LFW</t>
  </si>
  <si>
    <t>number of leaves 6 per g LFW</t>
  </si>
  <si>
    <t>Apoplastic volume per g LFW</t>
  </si>
  <si>
    <t>µL/g LFW</t>
  </si>
  <si>
    <t>Abaxial epidermal pavement cells volume per g LFW</t>
  </si>
  <si>
    <t>Adaxial epidermal pavement cells volume per g LFW</t>
  </si>
  <si>
    <t>Basal trichome cells volume per g LFW</t>
  </si>
  <si>
    <t>Bundle sheath cells volume per g LFW</t>
  </si>
  <si>
    <t>Hydathode cells per g LFW</t>
  </si>
  <si>
    <t>Palisade mesophyll cells volume per g LFW</t>
  </si>
  <si>
    <t>Phloem companion cells volume per g LFW</t>
  </si>
  <si>
    <t>Phloem parenchyma cells volume per g LFW</t>
  </si>
  <si>
    <t>Phloem sieve element per g LFW</t>
  </si>
  <si>
    <t>Spongy mesophyll cells volume per g LFW</t>
  </si>
  <si>
    <t>Stomatal cells volume per g LFW</t>
  </si>
  <si>
    <t>Trichome cell volume per g LFW</t>
  </si>
  <si>
    <t>Xylem parenchyma cells volume per g LFW</t>
  </si>
  <si>
    <t>Xylem tracheide volume per g LFW</t>
  </si>
  <si>
    <t>Total aqueous leaf n°6 volume  per g LFW</t>
  </si>
  <si>
    <t>Total epidermal cell volume per g LFW</t>
  </si>
  <si>
    <t>µl/g LFW</t>
  </si>
  <si>
    <t>Total mesophyll cells volume per g LFW</t>
  </si>
  <si>
    <t>Total photosynthetic cells volume per g LFW (i.e. including bundle sheath cells)</t>
  </si>
  <si>
    <t>Total vessel cells volume per g LFW</t>
  </si>
  <si>
    <t>Total air space per g LFW</t>
  </si>
  <si>
    <t>mg LFW/mm^2</t>
  </si>
  <si>
    <t>g LFW/m2</t>
  </si>
  <si>
    <t>Division by 1000 to convert in g LFW and multiplication by 1,000,000 to convert into per m^2</t>
  </si>
  <si>
    <t>µg/g LFW</t>
  </si>
  <si>
    <t>nmol/g LFW</t>
  </si>
  <si>
    <t>Number of chloroplasts from abaxial epidermal pavement cells per g LFW</t>
  </si>
  <si>
    <t>number (per g LFW)</t>
  </si>
  <si>
    <t>Number of chloroplasts from adaxial epidermal pavement cells per g LFW</t>
  </si>
  <si>
    <t>Number of chloroplasts from basal trichome cells per g LFW</t>
  </si>
  <si>
    <t>Number of chloroplasts from bundle sheath cells per g LFW</t>
  </si>
  <si>
    <t>Number of chloroplasts from palisade mesophyll cells per g LFW</t>
  </si>
  <si>
    <t>Number of chloroplasts from phloem companion cells per g LFW</t>
  </si>
  <si>
    <t>Number of chloroplasts from phloem parenchyma cells per g LFW</t>
  </si>
  <si>
    <t>Number of plasids from phloem sieve elements per g LFW</t>
  </si>
  <si>
    <t>Number of chloroplasts from spongy mesophyll cells per g LFW</t>
  </si>
  <si>
    <t>Number of chloroplasts from stomata cells per g LFW</t>
  </si>
  <si>
    <t>Number of plastids from trichome cells per g LFW</t>
  </si>
  <si>
    <t>total number of chloroplasts in leaf n°6 per g LFW</t>
  </si>
  <si>
    <t>Abaxial epidermal pavement cells chloroplasts volume per g LFW</t>
  </si>
  <si>
    <t>Adaxial epidermal pavement cells chloroplasts volume per g LFW</t>
  </si>
  <si>
    <t>Basal trichome cells plastid volumes per g LFW</t>
  </si>
  <si>
    <t>Bundle sheath cells chloroplasts volume per g LFW</t>
  </si>
  <si>
    <t>Palisade mesophyll cells chloroplasts volume per g LFW</t>
  </si>
  <si>
    <t>Phloem companion cells chloroplasts volume per g LFW</t>
  </si>
  <si>
    <t>Phloem parenchyma cells chloroplasts volume per g LFW</t>
  </si>
  <si>
    <t>Phloem sieve elements plastids volume per g LFW</t>
  </si>
  <si>
    <t>Spongy mesophyll cells chloroplasts volume per g LFW</t>
  </si>
  <si>
    <t>Stomata cells chloroplasts volume per g LFW</t>
  </si>
  <si>
    <t>Trichome cells leucoplasts volume per g LFW</t>
  </si>
  <si>
    <t>Xylem parenchyma plastid volume per g LFW</t>
  </si>
  <si>
    <t>total chloroplast volume per g LFW of leaf n°6</t>
  </si>
  <si>
    <t>mesophyll cell (S+P) chloroplasts volume per leaf n°6 g LFW</t>
  </si>
  <si>
    <t>compared to 109,076 µl/g LFW in Supplem_Koffler_2013_PMID_23265941 (short day growth conditions).</t>
  </si>
  <si>
    <t>bona fide photosynthetic cells (B+S+P) chloroplasts volume per leaf n°6 g LFW</t>
  </si>
  <si>
    <t>veins cell photosynthetic chloroplast volume per leaf n°6 g LFW</t>
  </si>
  <si>
    <t>Total volume occupied by the cytosol (photosynthetic cells and epidermal cells) per g LFW</t>
  </si>
  <si>
    <t>Total Golgi volume per g LFW (Epidermal pavement cells and mesophyll cells)</t>
  </si>
  <si>
    <t>Number of mitochondria from abaxial epidermal pavement cells per g LFW</t>
  </si>
  <si>
    <t>Number of mitochondria from adaxial epidermal pavement cells per g LFW</t>
  </si>
  <si>
    <t>Number of mitochondria from basal trichome cells per g LFW</t>
  </si>
  <si>
    <t>Number of mitochondria from bundle sheath cells per g LFW</t>
  </si>
  <si>
    <t>Number of mitochondria from palisade mesophyll cells per g LFW</t>
  </si>
  <si>
    <t>Number of mitochondria from phloem companion cells per g LFW</t>
  </si>
  <si>
    <t>Number of mitochondria from phloem parenchyma cells per g LFW</t>
  </si>
  <si>
    <t>Number of mitochondria from phloem sieve elements per g LFW</t>
  </si>
  <si>
    <t>Number of mitochondria from spongy mesophyll cells per g LFW</t>
  </si>
  <si>
    <t>Number of mitochondria from stomata cells per g LFW</t>
  </si>
  <si>
    <t>Number of mitochondria from trichome cells per g LFW</t>
  </si>
  <si>
    <t>Number of mitochondria from xylem parenchyma cells per g LFW</t>
  </si>
  <si>
    <t>Mass of chlorophyll a+b in leaf (mg/g LFW)</t>
  </si>
  <si>
    <t xml:space="preserve"> mg/g LFW</t>
  </si>
  <si>
    <t>Chlorophyll a (µg/ g LFW)</t>
  </si>
  <si>
    <t>Chlorophyll b (µg/ g LFW)</t>
  </si>
  <si>
    <t>Chlorophyll a (nmol/ g LFW)</t>
  </si>
  <si>
    <t>Chlorophyll b (nmol/ g LFW)</t>
  </si>
  <si>
    <t>Chlorophyll a plus Chlorophyll b (nmol/ g LFW)</t>
  </si>
  <si>
    <t>The aqueous cell volume per g LFW was used: conversion factor calculated from microscopic parameters (i.e. cells volumes and cells numbers); the 10^3 factor converts nanomol per µL into nanomol/ml i.e µM</t>
  </si>
  <si>
    <t>The volume of apoplast per g LFW is from Borniego_2020_PMID_31969890; the 10^3 factor converts nanomol per µL into nanomol/ml i.e µM</t>
  </si>
  <si>
    <t>For metabolite present in entire chloroplasts (and only in chloroplasts); the total chloroplast volume per g LFW of leaf n°6 was used for the calculation;  the 10^3 factor converts nanomol per µL into nanomol/ml i.e µM</t>
  </si>
  <si>
    <t>For metabolites present exclusively in the chloroplast envelope ;  the volume of envelope per g LFW was used for the calculation; the 10^3 factor converts nanomol per µL into nanomol/ml i.e µM</t>
  </si>
  <si>
    <t>For metabolites present exclusively in the chloroplast membranes (envelope and thylakoids). The volume of envelope per g LFW was added to the Volume of thylakoid per g LFW; the 10^3 factor converts nanomol per µL into nanomol/ml i.e µM.</t>
  </si>
  <si>
    <t>For metabolite present in all the cells in the cytosol and the organelles but not in the vacuole; The volume of the vacuole per g LFW was deduced from the Leaf volume per g LFW (calculated from individual cells volume and number); the 10^3 factor converts nanomol per µL into nanomol/ml i.e µM</t>
  </si>
  <si>
    <t>For metabolite present in mesophyll photosynthetic cells in the cytosol and the organelles but not in the vacuole; The volume  of vacuole from photosynthetic cells (S+ P) per g LFW was deduced from the Total mesophyll cells volume per g LFW (calculated from cells volumes and number); the 10^3 factor converts nanomol per µL into nanomol/ml i.e µM</t>
  </si>
  <si>
    <t>For metabolites present in all leaf cells in the cytosol exclusively; The Total volume occupied by the cytosol per g LFW was used for the calculation the 10^3 factor converts nanomol per µL into nanomol/ml i.e µM</t>
  </si>
  <si>
    <t>For metabolites present in the cytosol of mesophyll cells only; The volume of cytosol from photosynthetic cells (S+ P) per g LFW was used for the calculation; the 10^3 factor converts nanomol per µL into nanomol/ml i.e µM</t>
  </si>
  <si>
    <t>For metabolites present in the three compartments listed, in all leaf cells; the same concentration in the three compartments in all the cells was assumed and the amount in nanomol/g LFW divided by the sum of the volume of the three compartments per g LFW; the 10^3 factor converts nanomol per µL into nanomol/ml i.e µM</t>
  </si>
  <si>
    <t>For metabolites present in the three compartments listed, in mesophyll photosynthetic cells; the same concentration in the three compartments in mesophyll cells was assumed and the amount in nanomol/g LFW divided by the sum of the volume of the three compartments in mesophyll cells per g LFW; the 10^3 factor converts nanomol per µL into nanomol/ml i.e µM</t>
  </si>
  <si>
    <t>mg LDW</t>
  </si>
  <si>
    <t>mg LDW/mm^2</t>
  </si>
  <si>
    <t>Calculation using LFW/LDW ratio</t>
  </si>
  <si>
    <t>mg LDW/cm2</t>
  </si>
  <si>
    <t>µmol/g LDW</t>
  </si>
  <si>
    <t>mg LFW/mg chl</t>
  </si>
  <si>
    <t>mg/g LFW</t>
  </si>
  <si>
    <t>1.7 mg/g LFW at 5°C</t>
  </si>
  <si>
    <t>nmol/mg LFW</t>
  </si>
  <si>
    <t>LFW</t>
  </si>
  <si>
    <t>% leaf LFW</t>
  </si>
  <si>
    <t>Apoplastic air volume µL/g LFW</t>
  </si>
  <si>
    <t>Cell wall mass per leaf area</t>
  </si>
  <si>
    <t>Primary cell wall density</t>
  </si>
  <si>
    <t>Hypocotyls of 6-day-old dark grown A. thaliana</t>
  </si>
  <si>
    <t>Cell wall volume per gram LFW</t>
  </si>
  <si>
    <t>g LFW/m^2</t>
  </si>
  <si>
    <t>mg LFW/cm^2</t>
  </si>
  <si>
    <t>LDW</t>
  </si>
  <si>
    <t>Leaf dry weight</t>
  </si>
  <si>
    <t>Leaf fresh weight</t>
  </si>
  <si>
    <r>
      <t xml:space="preserve">Specific leaf volume excluding air space </t>
    </r>
    <r>
      <rPr>
        <sz val="11"/>
        <rFont val="Calibri"/>
        <family val="2"/>
        <scheme val="minor"/>
      </rPr>
      <t>(volume per mg LDW</t>
    </r>
    <r>
      <rPr>
        <sz val="11"/>
        <color theme="1"/>
        <rFont val="Calibri"/>
        <family val="2"/>
        <scheme val="minor"/>
      </rPr>
      <t>)</t>
    </r>
  </si>
  <si>
    <t>LFW/LDW</t>
  </si>
  <si>
    <t>Leaf n°6 fresh weight (LFW)</t>
  </si>
  <si>
    <t>Leaf n°6 dry weight (LDW)</t>
  </si>
  <si>
    <t>mm^2/mg LDW</t>
  </si>
  <si>
    <t>mm^3/mg LDW</t>
  </si>
  <si>
    <t>number/µg LDW</t>
  </si>
  <si>
    <t>g/L</t>
  </si>
  <si>
    <t>Leaf N content (mass per surface area)</t>
  </si>
  <si>
    <t>Leaf N concentration (mass per liter leaf aqueous volume)</t>
  </si>
  <si>
    <t>Carbon concentration mol per liter leaf aqueous volume)</t>
  </si>
  <si>
    <t>mol/L</t>
  </si>
  <si>
    <t>Carbon concentration mol per leaf dry mass</t>
  </si>
  <si>
    <t>Carbon concentration per gram(C) was taken to be 37,500 μmol/g  dry mass of plant tissue based on reports that C content per unit of dry mass is around 45% (Schlesinger,W.H.(1991). Biogeochemistry an Analysis of Global Change. San Diego,CA:AcademicPress).</t>
  </si>
  <si>
    <t>result in µmol/µL equivalent to mol/L</t>
  </si>
  <si>
    <t>Leaf N concentration (mol per liter leaf aqueous volume)</t>
  </si>
  <si>
    <t>Nitrogen MW = 14 g /mol</t>
  </si>
  <si>
    <t>12 day after sowing</t>
  </si>
  <si>
    <t>See Fig 6E in Lee_2006_PMID_16905654</t>
  </si>
  <si>
    <t>Optical Projection Tomography, 3D reconstruction</t>
  </si>
  <si>
    <t>413 (Cpx I) 523 (CpxII) 542 (Cpx III), 318 (Cpx IV)</t>
  </si>
  <si>
    <t>Vacuole fractional volume occupancy</t>
  </si>
  <si>
    <t>Mitochondria fractional volume occupancy</t>
  </si>
  <si>
    <t>Chloroplasts fractional volume occupancy</t>
  </si>
  <si>
    <t>peroxisomes fractional volume occupancy</t>
  </si>
  <si>
    <t>cytosol fractional volume occupancy</t>
  </si>
  <si>
    <t>Nucleus fractional volume occupancy</t>
  </si>
  <si>
    <t>Apoplasm volume (% of leaf fresh weight volume)</t>
  </si>
  <si>
    <t>µL/g leaf LFW</t>
  </si>
  <si>
    <t>per µm^2</t>
  </si>
  <si>
    <t>Seedling plant at the root hair stage</t>
  </si>
  <si>
    <t>IMM</t>
  </si>
  <si>
    <t>ATP synthase area of IMM</t>
  </si>
  <si>
    <t>% of IMM area</t>
  </si>
  <si>
    <t>Inner mitochondrial membrane</t>
  </si>
  <si>
    <t>OMM</t>
  </si>
  <si>
    <t>Outer mitochondrial membrane</t>
  </si>
  <si>
    <t>Complexes I, II,III, IV area of IMM</t>
  </si>
  <si>
    <t>Number of complexes per mitochondrion: 2491 CI; 3156 CII;6537 CIII; 1916 CIV</t>
  </si>
  <si>
    <t>femtowatt</t>
  </si>
  <si>
    <t>Mitochondrion</t>
  </si>
  <si>
    <t>Specific LFW</t>
  </si>
  <si>
    <t>Specific LDW</t>
  </si>
  <si>
    <t>LFW/mg Chlorophyll</t>
  </si>
  <si>
    <t>Protein (mass extracted) per g LFW</t>
  </si>
  <si>
    <t>% of mesophyll tissue volume occupied by air spaces</t>
  </si>
  <si>
    <t>Organelles fractional volume occupancy</t>
  </si>
  <si>
    <t xml:space="preserve">Vacuole </t>
  </si>
  <si>
    <t>Starch granule content per chloroplast</t>
  </si>
  <si>
    <t>Number of glucose units in starch per chloroplast</t>
  </si>
  <si>
    <t>Starch content per leaf mass (14h growth period)</t>
  </si>
  <si>
    <t>Chloroplasts number per cell (Palisade ? Spongy  ? mesophyll cells)</t>
  </si>
  <si>
    <t>Volume occupied by TCA cycle enzymes</t>
  </si>
  <si>
    <t>initial reference is Srere 1980 (Srere PA, 1980 Trends Biochem Sci 5: 120–121)</t>
  </si>
  <si>
    <t>0,0225 µm^3 out of 0,134 µm^3</t>
  </si>
  <si>
    <t>45-day old plants</t>
  </si>
  <si>
    <t>Chloroplasts Plastoglobuli</t>
  </si>
  <si>
    <t>Biochemical data</t>
  </si>
  <si>
    <t>Proteins</t>
  </si>
  <si>
    <t>Carbon (C)</t>
  </si>
  <si>
    <t>Nitrogen (N)</t>
  </si>
  <si>
    <t>Mesophyll cells</t>
  </si>
  <si>
    <t>Additional quantitative data for comparison or other use</t>
  </si>
  <si>
    <t>Fig 1 in Smith_2013_PMID_24096341 indicates an average length of 50 µm for TE elements in roots. We assumed the same value for leaf xylem tracheary elements.</t>
  </si>
  <si>
    <t>Number of Cells per vein cross section</t>
  </si>
  <si>
    <t>Vessel cells numbers in the reference leaf 6</t>
  </si>
  <si>
    <t>(using microscopic parameters)</t>
  </si>
  <si>
    <t>Calculated cell densities (cells per mm^2)</t>
  </si>
  <si>
    <t>based on microscopic data</t>
  </si>
  <si>
    <t>Calculated cell volumes for all vein orders</t>
  </si>
  <si>
    <t>Calculated cell volumes for all vein orders per square meter</t>
  </si>
  <si>
    <t>Supplementary Table 1.2: Macroscopic and microscopic quantitative parameters of Arabidopsis  leaf veins and leaf vein cells in the reference leaf n°6</t>
  </si>
  <si>
    <t>Vessel and bundle sheath Cells total volume in leaf n°6</t>
  </si>
  <si>
    <t xml:space="preserve">Total vessel cell types volumes in all veins of leaf n°6 </t>
  </si>
  <si>
    <t>Sap volume in leaf n°6 per g FW</t>
  </si>
  <si>
    <t>MICROSCOPIC METRICS</t>
  </si>
  <si>
    <t>Reference leaf n°6 area, veins length etc.</t>
  </si>
  <si>
    <t xml:space="preserve">Cells length, cells volume, cells number per vein cross section, per veins etc... </t>
  </si>
  <si>
    <t>Cambial vein cells density</t>
  </si>
  <si>
    <t>Cambial vein cells number in one leaf n°6</t>
  </si>
  <si>
    <t>Cambial vein cell volume</t>
  </si>
  <si>
    <t>Cambial vein cells volume in leaf n°6</t>
  </si>
  <si>
    <t>Cambial vein cells volume per m^2</t>
  </si>
  <si>
    <t>fraction of Cambial vein cells volume/total leaf cellular volume</t>
  </si>
  <si>
    <t>Averaged single plastid volume in vessel Cambial cell</t>
  </si>
  <si>
    <t>Number of  plastid in vessel Cambial cell</t>
  </si>
  <si>
    <t>Number of  plastid in vessel Cambial cell in leaf n°6</t>
  </si>
  <si>
    <t>Number of  plastid in vessel Cambial cell per g LFW</t>
  </si>
  <si>
    <t xml:space="preserve">Volume occupied by plastids in vessel Cambial cell </t>
  </si>
  <si>
    <t xml:space="preserve">fractional volume occupied by plastids in vessel Cambial cell </t>
  </si>
  <si>
    <t>fraction of vacuole volume in leaf vessel Cambial cells</t>
  </si>
  <si>
    <t>Leaf n°6 volume (with surface of 121 mm^2) excluding air space</t>
  </si>
  <si>
    <t>Leaf area (mm^2) per g LFW [mm^2_leaf_area_per_g_LFW]</t>
  </si>
  <si>
    <t>Abaxial (lower side) epidermal pavement cells number in one leaf n°6 (121 mm^2)</t>
  </si>
  <si>
    <t>Adaxial (upper side) epidermal pavement cells number in one leaf n°6 (121 mm^2)</t>
  </si>
  <si>
    <t>Basal trichome cells number in one leaf n°6 (121 mm^2)</t>
  </si>
  <si>
    <t>Bundle sheath cells number in one leaf n°6 (121 mm^2)</t>
  </si>
  <si>
    <t>Palisade mesophyll cells number in one leaf n°6 (121 mm^2)</t>
  </si>
  <si>
    <t>Phloem companion cells (PCC) number in one leaf n°6 (121 mm^2)</t>
  </si>
  <si>
    <t>Phloem parenchyma cells (PPC) number in one leaf n°6 (121 mm^2)</t>
  </si>
  <si>
    <t>Phloem sieve element (specialized) cells (PSE) number in one leaf n°6 (121 mm^2)</t>
  </si>
  <si>
    <t>Trichome number in one leaf n°6 (121 mm^2)</t>
  </si>
  <si>
    <t>xylem parenchyma cell (XPC) number in one leaf n°6 (121 mm^2)</t>
  </si>
  <si>
    <t>xylem tracheary elements (XTE) number in one leaf n°6 (121 mm^2)</t>
  </si>
  <si>
    <t>Total cells numbers in the reference leaf n°6 (grouped per kind of cells) using cell densities</t>
  </si>
  <si>
    <t>1 to 50</t>
  </si>
  <si>
    <t>6 to 115</t>
  </si>
  <si>
    <t>Mean cell volume : Figure 7a in Wuyts_2012_PMID_2247173, high cumulative light</t>
  </si>
  <si>
    <t>25 to 140</t>
  </si>
  <si>
    <t>14 to 125</t>
  </si>
  <si>
    <t>Chen_2012_PMID_22559714</t>
  </si>
  <si>
    <t>Phloem sap in the reference leaf n°6</t>
  </si>
  <si>
    <t>Xylem sap in the reference leaf n°6</t>
  </si>
  <si>
    <t>Apoplast volume</t>
  </si>
  <si>
    <t>i.e. extracellular aqueous volume</t>
  </si>
  <si>
    <t>Sap volume</t>
  </si>
  <si>
    <t>Air space in the reference leaf n°6</t>
  </si>
  <si>
    <t>Air space is proportional to leaf surface (see Fig 10A  in Wuyts_2010_PMID_20598116). Air space between palisade mesophyll cells is 4 +/-1 µL per leaf n°6 under low cumulative light growth condition with a leaf surface of 88 mm^2 (Fig. 10A at 22 days after leaf 6 initiation, Wuyts_2010_PMID_20598116). This value was corrected for a leaf surface of 121 mm^2.</t>
  </si>
  <si>
    <t>Air space is proportional to leaf surface (see Fig 10A  in Wuyts_2010_PMID_20598116). Air space between spongy mesophyll cells is 8 +/-1.5 µL per leaf n°6 under low cumulative light growth condition with a leaf surface of 88 mm^2 (Fig. 10A at 22 days after leaf 6 initiation, Wuyts_2010_PMID_20598116). This value was corrected for a leaf surface of 121 mm^2.</t>
  </si>
  <si>
    <t>Total leaf 6 volume : Cellular volume (including vein cells) + apoplast + air space in a leaf n°6 (121 mm^2))</t>
  </si>
  <si>
    <t>Cell name alphabetical order</t>
  </si>
  <si>
    <t>Cells names alphabetical order</t>
  </si>
  <si>
    <t>Cells names by alphabetical order</t>
  </si>
  <si>
    <t>Bundle sheath cells are not vein cells but their numbers depends on vein geometry, hence the calculation associated with Table S1.2 (veins)</t>
  </si>
  <si>
    <t>Table S1.5 (summary)</t>
  </si>
  <si>
    <t>Cell name (alphabetical order)</t>
  </si>
  <si>
    <t>% (volume)</t>
  </si>
  <si>
    <t>Abaxial (lower side) epidermal pavement cells</t>
  </si>
  <si>
    <t>Adaxial (upper side) epidermal pavement cells</t>
  </si>
  <si>
    <t>Basal trichome cells</t>
  </si>
  <si>
    <t>Bundle sheath cells (2nd and higher order veins)</t>
  </si>
  <si>
    <t>Cambial vein cells</t>
  </si>
  <si>
    <t>Hydathode cells</t>
  </si>
  <si>
    <t xml:space="preserve">Spongy mesophyll cells  </t>
  </si>
  <si>
    <t xml:space="preserve">Stomatal  cells  </t>
  </si>
  <si>
    <t xml:space="preserve">Trichome cells </t>
  </si>
  <si>
    <t>Total epidermal cells</t>
  </si>
  <si>
    <t>Total bona fide photosynthetic cells</t>
  </si>
  <si>
    <t>Total vein cells</t>
  </si>
  <si>
    <t>Total</t>
  </si>
  <si>
    <t>70 to 100</t>
  </si>
  <si>
    <t>10 to 55</t>
  </si>
  <si>
    <t>Additional file  5 fig S2 in Nguyen_2015_PMID_25899055; See also Supplementary Fig S1 in Gao_2020_PMID_32275878, average of 62+/-7 µm for 5 cells.</t>
  </si>
  <si>
    <t>Nguyen_2015_PMID_25899055;Gao_2020_PMID_32275878</t>
  </si>
  <si>
    <t>170 to 250</t>
  </si>
  <si>
    <t>Supplementary Fig S1 in Gao_2020_PMID_32275878 (live imaging);we assumed BSC cells are cylinders; Supplementary Fig S2 in Supplem to Nguyen_2015_PMID_25899055 (live imaging)</t>
  </si>
  <si>
    <t>See Fig 3B page 65 in Stewart et al (2019) Quantification of Leaf Phloem Anatomical Features with Microscopy in Phloem methods Liesche J. Ed. Only one minor vein section is shown.</t>
  </si>
  <si>
    <t>Close to the value of 2,61 +/-0,38 mm/mm^2 in Bühler_2015_PMID_26468519</t>
  </si>
  <si>
    <t>Secondary veins length per leaf area</t>
  </si>
  <si>
    <t>Tertiary veins length per leaf area</t>
  </si>
  <si>
    <t>Cohu_2013_PMID_23898338</t>
  </si>
  <si>
    <t>Döring_2020_PMID_30447112</t>
  </si>
  <si>
    <t>Wei_2021_PMID_34315604</t>
  </si>
  <si>
    <t>Chen_2018_PMID_29483267</t>
  </si>
  <si>
    <t>Cohu_2013_PMID_23847643</t>
  </si>
  <si>
    <t>Figure or table in the reference used</t>
  </si>
  <si>
    <t>Figure 3</t>
  </si>
  <si>
    <t>Table 1</t>
  </si>
  <si>
    <t>Standard error</t>
  </si>
  <si>
    <t>Figure 4</t>
  </si>
  <si>
    <t>standard error</t>
  </si>
  <si>
    <t>Figure 2C</t>
  </si>
  <si>
    <t>Figure 2A</t>
  </si>
  <si>
    <t>Bundle sheath cells per minor vein cross section</t>
  </si>
  <si>
    <t>6 to 9</t>
  </si>
  <si>
    <t>Cambial cells per minor vein cross section</t>
  </si>
  <si>
    <t>Phloem companion cells per minor vein cross section</t>
  </si>
  <si>
    <t>1 to 10</t>
  </si>
  <si>
    <t>Phloem parenchyma cells per minor vein cross section</t>
  </si>
  <si>
    <t>1 to 6</t>
  </si>
  <si>
    <t>Phloem sieve elements per minor vein cross section</t>
  </si>
  <si>
    <t>1 to 8</t>
  </si>
  <si>
    <t>Xylem parenchyma cells per minor vein cross section</t>
  </si>
  <si>
    <t>3 to 6</t>
  </si>
  <si>
    <t>Xylem treachary elements per minor vein cross section</t>
  </si>
  <si>
    <t>1 to 3</t>
  </si>
  <si>
    <t>Total cell content per minor vein cross section</t>
  </si>
  <si>
    <t>Average</t>
  </si>
  <si>
    <t>Average Bundle sheath cells per minor vein cross section</t>
  </si>
  <si>
    <t>Average Cambial cells per minor vein cross section</t>
  </si>
  <si>
    <t>Average Phloem companion cells per minor vein cross section</t>
  </si>
  <si>
    <t>Average Phloem parenchyma cells per minor vein cross section</t>
  </si>
  <si>
    <t>Average Phloem sieve elements per minor vein cross section</t>
  </si>
  <si>
    <t>Average Xylem parenchyma cells per minor vein cross section</t>
  </si>
  <si>
    <t>Average Xylem treachary elements per minor vein cross section</t>
  </si>
  <si>
    <t>Figure 1C</t>
  </si>
  <si>
    <t>Figure 3 p 65</t>
  </si>
  <si>
    <t>Total cell number per minor vein cross-section</t>
  </si>
  <si>
    <t>See Table  S.3 (minor veins)</t>
  </si>
  <si>
    <t>For the reference leaf n°6  area of 121 mm^2</t>
  </si>
  <si>
    <t>Vessels cells cross sections</t>
  </si>
  <si>
    <t>Vessels cells lengths</t>
  </si>
  <si>
    <t xml:space="preserve">Cells volumes </t>
  </si>
  <si>
    <t>Cells number in all veins  (1st+2nd+3rd+4th+5th)  in leaf n°6 (121 mm2)</t>
  </si>
  <si>
    <t>Calculation based on dividing total vein length by the length of a single cell and multiplying by the number of cells per cross section; the  correcting factor 1/3 is applied, assuming the main vein is a cone and not a cylinder</t>
  </si>
  <si>
    <t>Veins length in leaf n°6 (121 mm^2)</t>
  </si>
  <si>
    <t>Primary vein</t>
  </si>
  <si>
    <t>Secondary veins</t>
  </si>
  <si>
    <t>Minor veins</t>
  </si>
  <si>
    <t>Figure 4A (third order vein)</t>
  </si>
  <si>
    <t>Minor veins (3rd, 4th and 5th order veins) : cells numbers per minor vein cross section</t>
  </si>
  <si>
    <t>Secondary veins: cells numbers per secondary vein cross section (only one observation available in the litterature)</t>
  </si>
  <si>
    <t>Primary vein (mid-vein): cells number per primary vein cross section at the leaf-petiole junction (one observation available)</t>
  </si>
  <si>
    <t>see comment</t>
  </si>
  <si>
    <t>Primary vein vessels individual cells cross sections</t>
  </si>
  <si>
    <t>Phloem and Xylem Cross sectional area per minor vein</t>
  </si>
  <si>
    <t>Individual cells cross section x number of cells per minor vein cross section (secondary and higher order veins)</t>
  </si>
  <si>
    <t>Cambium area represents 400 µm^2 with 61 Cells; estimation from Fig 3B in Nguyen_2018_PMID_30228123 (cross-section of the mid-rib at lamina-petiole junction)</t>
  </si>
  <si>
    <t>per type of cells (alphabetical order)</t>
  </si>
  <si>
    <t>Rates</t>
  </si>
  <si>
    <t>mm^2/day</t>
  </si>
  <si>
    <t>maximal expansion rate (15 days after leaf initiation)</t>
  </si>
  <si>
    <t>4-5 week-old seedlings</t>
  </si>
  <si>
    <t>Short-days (9H light)</t>
  </si>
  <si>
    <t>Phloem sieve element cell section (minor veins, excluding cell wall)</t>
  </si>
  <si>
    <t>Phloem sieve element cell volume in leaf n°6 minor veins (excluding cell wall)</t>
  </si>
  <si>
    <t>Phloem sieve element single cell volume (primary vein, excluding cell wall)</t>
  </si>
  <si>
    <t>Phloem sieve element cell volume in leaf n°6 secondary veins (excluding cell walls)</t>
  </si>
  <si>
    <t>Xylem tracheary element lumen cross-section (secondary vein, excluding cell wall)</t>
  </si>
  <si>
    <t>Secondary vein vessels individual cells cross sections</t>
  </si>
  <si>
    <t>Kang_2002_PMID_12447535</t>
  </si>
  <si>
    <t>Kang_2002_PMID_12447536</t>
  </si>
  <si>
    <t>Kang_2002_PMID_12447537</t>
  </si>
  <si>
    <t>Kang_2002_PMID_12447538</t>
  </si>
  <si>
    <t>Phloem sieve element cell cross-section (secondary vein, excluding cell wall)</t>
  </si>
  <si>
    <t>Cell length is assumed to be the same for a given cell type in the primary, secondary and higher order veins</t>
  </si>
  <si>
    <t>Minor veins (i.e. 3rd and higher order veins) vessels individual cells cross sections</t>
  </si>
  <si>
    <t>P/X (cell number ratio per cross-section in primary vein)</t>
  </si>
  <si>
    <t>Calculated sum (from individual cells averaged number)</t>
  </si>
  <si>
    <t>Fig 3I,3J, 6J  in Kang_2002_PMID_12447534</t>
  </si>
  <si>
    <t>P/X cell number per cross-section ratio in secondary vein</t>
  </si>
  <si>
    <t>We assumed the same proportion of cambial cells as in minor veins (although larger veins have more cells, the proportionate numbers of cells of different types is similar, Haritatos_2000_PMID_10923710)</t>
  </si>
  <si>
    <t>Phloem sieve element cell volume in leaf n°6 (excluding cell wall)</t>
  </si>
  <si>
    <t>Xylem tracheary element lumen volume in leaf n°6 (excluding cell wall)</t>
  </si>
  <si>
    <t>Total SE cross-sectional area per minor vein (excluding cell wall)</t>
  </si>
  <si>
    <t>We assumed the same volume as in higher order veins (see below)-See also comment in the lines corresponding to Mid-vein cells cross-sections.</t>
  </si>
  <si>
    <t>Phloem sieve element cell cross-section (primary vein, excluding cell wall)</t>
  </si>
  <si>
    <t>Xylem tracheary element lumen cross-section (primary vein, excluding cell wall)</t>
  </si>
  <si>
    <t>Xylem tracheary element lumen section (minor veins, excluding cell wall)</t>
  </si>
  <si>
    <t>Total TE cross-sectional area per minor vein (excluding cell wall)</t>
  </si>
  <si>
    <t>Xylem tracheary element lumen section (primary veins, excluding cell wall)</t>
  </si>
  <si>
    <t>Phloem sieve element cell volume in leaf n°6 primary vein (excluding cell wall)</t>
  </si>
  <si>
    <t>Xylem tracheary element LUMEN volume in leaf n°6 secondary vein (excluding cell wall)</t>
  </si>
  <si>
    <t>Xylem tracheary element lumen volume in leaf n°6 minor vein (excluding cell wall)</t>
  </si>
  <si>
    <t>(PCC+PPC)/SE (cell number ratio)</t>
  </si>
  <si>
    <t>Phloem companion cells</t>
  </si>
  <si>
    <t>Phloem sieve elements</t>
  </si>
  <si>
    <t>Xylem tracheary elements</t>
  </si>
  <si>
    <t>Xylem parenchyma cells</t>
  </si>
  <si>
    <r>
      <t xml:space="preserve">fraction of vacuole volume in </t>
    </r>
    <r>
      <rPr>
        <b/>
        <sz val="11"/>
        <rFont val="Calibri"/>
        <family val="2"/>
        <scheme val="minor"/>
      </rPr>
      <t>phloem sieve elements</t>
    </r>
  </si>
  <si>
    <t>We assumed the same proportion of phloem companion cells as in minor veins. Although larger veins have more cells, the proportionate numbers of cells of different types is similar, Haritatos_2000_PMID_10923710)</t>
  </si>
  <si>
    <t>We assumed the same proportion ofphloem parenchyma cells as in minor veins. Although larger veins have more cells, the proportionate numbers of cells of different types is similar, Haritatos_2000_PMID_10923710)</t>
  </si>
  <si>
    <t>We assumed the same proportion of phloem sieve elements as in minor veins. Although larger veins have more cells, the proportionate numbers of cells of different types is similar, Haritatos_2000_PMID_10923710.</t>
  </si>
  <si>
    <t>We assumed the same proportion of xylem parenchyma cells as in minor veins. Although larger veins have more cells, the proportionate numbers of cells of different types is similar, Haritatos_2000_PMID_10923710.</t>
  </si>
  <si>
    <t>We assumed the same proportion of xylem tracheary elements as in minor veins. Although larger veins have more cells, the proportionate numbers of cells of different types is similar, Haritatos_2000_PMID_10923710.</t>
  </si>
  <si>
    <t>CELLULAR COMPARTMENTS</t>
  </si>
  <si>
    <t>CONVERSION FACTORS</t>
  </si>
  <si>
    <t>Nucleoid (mesophyll cells)</t>
  </si>
  <si>
    <t>Chloroplast nucleoid</t>
  </si>
  <si>
    <t>Volume occupied by nucleoids in leaf n°6</t>
  </si>
  <si>
    <t>Fractional volume of nucleoids in the chloroplast</t>
  </si>
  <si>
    <t>Greiner _2020_PMID_31856320</t>
  </si>
  <si>
    <t>DNA</t>
  </si>
  <si>
    <t>Rauwolf_2010_PMID_19911199</t>
  </si>
  <si>
    <t>Beta vulgaris</t>
  </si>
  <si>
    <t>DNA amount per plastid</t>
  </si>
  <si>
    <t>kbp</t>
  </si>
  <si>
    <t>Fujie_1994_Planta_194_395_405</t>
  </si>
  <si>
    <t>Mitochondrial DNA per mitochondrion</t>
  </si>
  <si>
    <t>Arabidopsis, Day 10</t>
  </si>
  <si>
    <t>Sato_1999_PMID_10574454</t>
  </si>
  <si>
    <t>base pair</t>
  </si>
  <si>
    <t xml:space="preserve">Kowallik_1972_PMID_4561802 </t>
  </si>
  <si>
    <t>Length of plastid genome (one copy)</t>
  </si>
  <si>
    <t>Arabidopsis, mature leaf</t>
  </si>
  <si>
    <t>25,5 nucleoids per plast on average for a total of 70 130 genome copies per chloroplasts</t>
  </si>
  <si>
    <t>Number of nucleoid per plastid</t>
  </si>
  <si>
    <t>Plastid genome copies per chloroplast (mature)</t>
  </si>
  <si>
    <r>
      <t xml:space="preserve">In </t>
    </r>
    <r>
      <rPr>
        <i/>
        <sz val="11"/>
        <color theme="1"/>
        <rFont val="Calibri"/>
        <family val="2"/>
        <scheme val="minor"/>
      </rPr>
      <t>Beta vulgaris</t>
    </r>
    <r>
      <rPr>
        <sz val="11"/>
        <color theme="1"/>
        <rFont val="Calibri"/>
        <family val="2"/>
        <scheme val="minor"/>
      </rPr>
      <t xml:space="preserve"> mature chloroplasts, 16 nucleoids could be counted with a total volume of 1.3 µm^3 (fL); we assumed a fractional volume occupancy of nucleoid of 1%.</t>
    </r>
  </si>
  <si>
    <t>Golgi volume in a single adaxial epidermal pavement cell</t>
  </si>
  <si>
    <t>REFERENCE LEAF n°6 METRICS</t>
  </si>
  <si>
    <t>DAPI staining</t>
  </si>
  <si>
    <t>Sequencing</t>
  </si>
  <si>
    <t>See Fig. 2 in Rauwolf_2010_PMID_19911199; plastid DNA represents 20% of nuclear DNA in fully developped leaf.</t>
  </si>
  <si>
    <t>Greiner _2020_PMID_31856320; Rowan_2009_PMID_19128504</t>
  </si>
  <si>
    <t>See also Rowan_2007_PMID_17381841 (from 10 to 40 plastid genome copies per chloroplast in 43-day old Arabidopsis leaves).</t>
  </si>
  <si>
    <t>µg/1 cm leaf disc (diameter)</t>
  </si>
  <si>
    <t>MACROSCOPIC DATA (Other studies, different growth conditions compared to Wuyts_2012_PMID_22471732)</t>
  </si>
  <si>
    <t>Photosynthesis (An)</t>
  </si>
  <si>
    <t>µmol/m^2/s</t>
  </si>
  <si>
    <t>Stomatal conductance (gs)</t>
  </si>
  <si>
    <t>mmol/m^2/s</t>
  </si>
  <si>
    <t>Physiological measurements (Reference leaf 6 from Wuyts et al 2012)</t>
  </si>
  <si>
    <t>Calculated cell volumes per square meter for 2nd and minor veins</t>
  </si>
  <si>
    <t>Calculated cell volumes for 2nd and minor veins</t>
  </si>
  <si>
    <t>4 week-old plants</t>
  </si>
  <si>
    <t>Theoretical generic dicotyledonous mesophyll cell</t>
  </si>
  <si>
    <t>SBF-SEM</t>
  </si>
  <si>
    <t>Short-day light regime, 8H light, 250 µmol photons/m^2/s, 22°C, 60% RH</t>
  </si>
  <si>
    <t>Short-day light regime, 12h light, 180 µmol photons/m2/s, 20°C, 75% RH</t>
  </si>
  <si>
    <t>Long day light regime, 14h light, 110 µmol photons/m^2/s, 22°C, 18°C, 60% RH</t>
  </si>
  <si>
    <t>The matrix volume of 1 mg mitochondrial protein is around 1 μl (Douce R (1985) Mitochondria in Higher Plants. Structure,
Function, and Biogenesis. Academic Press, Orlando, FL)</t>
  </si>
  <si>
    <t>Short-day light regime, 8H light, 340 µmol photons/m^2/s, 23°C, 19°C, 75% RH</t>
  </si>
  <si>
    <t>Long-day light regime, 16H light, 400 µmol photons/m^2/s, 23°C, 19°C, 75% RH</t>
  </si>
  <si>
    <t>Plant grown in vitro on MS media supplemented with 2% sucrose</t>
  </si>
  <si>
    <t>Short-day light regime, 8H light,340 µmol photons/m^2/s, 23°C, 19°C, 75% RH</t>
  </si>
  <si>
    <r>
      <rPr>
        <i/>
        <sz val="11"/>
        <color theme="1"/>
        <rFont val="Calibri"/>
        <family val="2"/>
        <scheme val="minor"/>
      </rPr>
      <t>A. thaliana</t>
    </r>
    <r>
      <rPr>
        <sz val="11"/>
        <color theme="1"/>
        <rFont val="Calibri"/>
        <family val="2"/>
        <scheme val="minor"/>
      </rPr>
      <t xml:space="preserve"> ecotype Wassilewskija; Plants were grown hydroponically on horticultural rockwool </t>
    </r>
  </si>
  <si>
    <t>See Figure 2 in Wada_2009_PMID_19074627; Plants were grown hydroponically</t>
  </si>
  <si>
    <t>Supplementary Table S1; plant grown in soil, 40% soil RH</t>
  </si>
  <si>
    <t>Short-day light regime, 8H light, 150 µmol photons/m^2/s, 22.8°C, ND RH</t>
  </si>
  <si>
    <t>Short-day light regime, 10H light, 120 µmol photons/m^2/s, 24°C, ND RH</t>
  </si>
  <si>
    <t>Short-day light regime, 9H light, 150 µmol photons/m^2/s, 22°C, 18°C, ND RH</t>
  </si>
  <si>
    <t>Continuous light, 40 µmol /m^2/s, 21°C, ND RH</t>
  </si>
  <si>
    <t>Short-day light regime, 12h light, 150 µmol photons/m^2/s, ND °C, ND RH</t>
  </si>
  <si>
    <t>Long-day light regime, 16H light, 400 µmol photons/m2/s, ND °C, ND RH</t>
  </si>
  <si>
    <t>Continuous light, 24H light, ND µmol photons/m^2/s, 25°C, ND RH</t>
  </si>
  <si>
    <t>Short-day light regime, 12H light, 200 µmol photons/m^2/s, 15°C, ND RH</t>
  </si>
  <si>
    <t>Long-day light regime, 16H light, ND µmol photons/m^2/s, 23°C, ND RH</t>
  </si>
  <si>
    <t>Short-day light regime, 12H light, 150 µmol photons/m^2/s, 21°C, ND RH</t>
  </si>
  <si>
    <t>Long day light regime, 14H light, 220 µmol quanta/m^2/s, 22°C, 20 °C, ND RH</t>
  </si>
  <si>
    <t>Long-day light regime, 16H light, 150 µmol photons/m^2/s, 21°C, ND RH</t>
  </si>
  <si>
    <t>Long-day light regime, 16H light, 125 µmol photons/m^2/s, ND °C, ND RH</t>
  </si>
  <si>
    <t>Long-day light regime, 14H light, 220 µmol quanta/m^2/s, 22°C, 20 °C, ND RH</t>
  </si>
  <si>
    <t>Supplementary Figure S3 in Wuyts_2012_PMID_22471732 , high cumulative light, 9.6 mol photons/m^2/day, well-watered-40% soil RH</t>
  </si>
  <si>
    <t>Figure 1a  right panel in Wuyts_2012_PMID_22471732, high cumulative light, 9.6 mol photons/m^2/day, well-watered-40% soil RH</t>
  </si>
  <si>
    <t>Supplementary Figure S3 in Wuyts_2012_PMID_22471732;  high cumulative light, 9.6 mol photons/m^2/day, well-watered-40% soil RH</t>
  </si>
  <si>
    <t>Supplementary Figure S3 in Wuyts_2012_PMID_22471732, high cumulative light, 9.6 mol photons/m^2/day, well-watered-40% soil RH</t>
  </si>
  <si>
    <t>Figure 6e in Wuyts_2012_PMID_22471732, high cumulative light, 9.6 mol photons/m^2/day, well-watered-40% soil RH</t>
  </si>
  <si>
    <t>Figure 6f in Wuyts_2012_PMID_2247173, high cumulative light, 9.6 mol photons/m^2/day, well-watered-40% soil RH</t>
  </si>
  <si>
    <t>Figure 6 in Wuyts_2012_PMID_2247173, high cumulative light, 9.6 mol photons/m^2/day, well-watered-40% soil RH</t>
  </si>
  <si>
    <t>Figure 6 in Wuyts_2012_PMID_22471732, high cumulative light, 9.6 mol photons/m^2/day, well-watered-40% soil RH</t>
  </si>
  <si>
    <t>Long-day light regime, 16H light, 200 µmol photons/m^2/s, 21°C, 60% RH</t>
  </si>
  <si>
    <t>Long-day light regime, 16H light, ND µmol photons/m^2/s, 22 °C, ND RH</t>
  </si>
  <si>
    <t>Long-day light regime; 100 µmol photons/m^2/s, 21°C, 18°C, ND RH</t>
  </si>
  <si>
    <t>Short-day light regime, 8H light, 230 µmol photons/m^2/s, 21°C, 70% RH</t>
  </si>
  <si>
    <t>Long-day light regime, 16H light, 20°C,18°C, ND RH</t>
  </si>
  <si>
    <t>Long-day light regime, 16H light, ND µmol photons/m^2/s, 20°C, 18°C, ND RH</t>
  </si>
  <si>
    <t>Long-day light regime, 16H light, 100 µmol photons/m^2/s, 22°C, 18°C, 55% RH, 70% RH</t>
  </si>
  <si>
    <t>Long-day light regime, 16 H light, ND µmol photons/m^2/s, ND °C, ND RH</t>
  </si>
  <si>
    <t>Long-day light regime, 16H light, ND µmol photons/m^2/s; 20°C, ND RH</t>
  </si>
  <si>
    <t>Long-day light regime, 16h light, 100 µmol photons/m^2/s, 23°C, ND RH</t>
  </si>
  <si>
    <t>Short-day light regime, 12h light, 180 µmol photons/m^2/s, 20°C, 75% RH</t>
  </si>
  <si>
    <t>Short-day light regime, 8H Light, 150 µmol photons/m^2/s, 25°C, 20°C, ND RH</t>
  </si>
  <si>
    <t>Short-day light regime, 8H light, 250 µmol photons/m^2/s, 22°C, 17°C, RH 75%</t>
  </si>
  <si>
    <t>Short-day light regime, 9H light, 200 µmol photons/m^2/s, 22°C, 70% RH</t>
  </si>
  <si>
    <t>Long day light regime, 16H light, 120 µmol photons/m^2/s, 22°C, 15°C, ND RH</t>
  </si>
  <si>
    <t>Continuous light, 24H light, ND µmol photons/m^2/s, ND °C, ND RH</t>
  </si>
  <si>
    <t>Short day light regime, 10H light, 150 µmol photons/m^2/s, 21°C, RH 70%</t>
  </si>
  <si>
    <t>Short-day light regime, 10H light, ND µmol photons/m^2/s, 21°C, ND RH</t>
  </si>
  <si>
    <t>Short-day light regime, 10H light, 150 µmol photons/m^2/s, 21°C, RH 70%</t>
  </si>
  <si>
    <t>Long-day light regime, 16H, 120 µmol/m^2/s, 22°C, 18°C, ND RH</t>
  </si>
  <si>
    <t>TEM of central part of Leaf n°10 (380 mm^2), collected 2h after the ligh period</t>
  </si>
  <si>
    <t>Short-day light regime, 9H light, 150 µmol photons/m^2/s, ND °C, ND RH</t>
  </si>
  <si>
    <t>6 week-old plants</t>
  </si>
  <si>
    <t>Epidermal cells (abaxial and adaxial pavement cells, stomata cells, trichomes)</t>
  </si>
  <si>
    <t>PCC +PPC = 23.7+/-0,8. Same amount of PCC and PPC assumed</t>
  </si>
  <si>
    <t>Table S1.7. Subcellular volumes per leaf</t>
  </si>
  <si>
    <t>volume occupied by abaxial epidermal pavement cells chloroplasts in leaf n°6</t>
  </si>
  <si>
    <t>volume occupied by adaxial epidermal pavement cells chloroplasts in leaf n°6</t>
  </si>
  <si>
    <t>volume occupied by basal trichome cells chloroplasts in leaf n°6</t>
  </si>
  <si>
    <t>volume occupied by bundle sheath cells chloroplasts in leaf n°6</t>
  </si>
  <si>
    <t>volume occupied by palisade mesophyll cells chloroplasts in leaf n°6</t>
  </si>
  <si>
    <t>volume occupied by phloem companion cell vacuole volume (in one cell)</t>
  </si>
  <si>
    <t>volume occupied by phloem parenchyma vacuole volume (in one cell)</t>
  </si>
  <si>
    <t>volume occupied by phloem sieve element vacuole volume (in one cell)</t>
  </si>
  <si>
    <t>volume occupied by spongy mesophyll cells chloroplasts in leaf n°6</t>
  </si>
  <si>
    <t>volume occupied by stomata cell chloroplasts in leaf n°6</t>
  </si>
  <si>
    <t>volume occupied by abaxial epidermal pavement cells cytosol in leaf n°6</t>
  </si>
  <si>
    <t>volume occupied by adaxial epidermal pavement cells cytosol in leaf n°6</t>
  </si>
  <si>
    <t>volume occupied by basal trichome cells cytosol in leaf n°6</t>
  </si>
  <si>
    <t>volume occupied by bundle sheath cells cytosol in leaf n°6</t>
  </si>
  <si>
    <t>volume occupied by palisade mesophyll cells cytosol in leaf n°6</t>
  </si>
  <si>
    <t>volume occupied by phloem companion cells cytosol in leaf n°6</t>
  </si>
  <si>
    <t>volume occupied by phloem parenchyma cytosol  in leaf n°6</t>
  </si>
  <si>
    <t>volume occupied by phloem sieve element cytosol  in leaf n°6</t>
  </si>
  <si>
    <t>volume occupied by spongy mesophyll cells cytosol in leaf n°6</t>
  </si>
  <si>
    <t>volume occupied by trichome cell cytosol in leaf n°6</t>
  </si>
  <si>
    <t>volume occupied by stomata cell cytosol in leaf n°6</t>
  </si>
  <si>
    <t>volume occupied by xylem parenchyma cell cytosol in leaf n°6</t>
  </si>
  <si>
    <t>volume occupied by abaxial epidermal pavement cells ER in leaf n°6</t>
  </si>
  <si>
    <t>volume occupied by adaxial epidermal pavement cells ER in leaf n°6</t>
  </si>
  <si>
    <t>volume occupied by basal trichome cells ER in leaf n°6</t>
  </si>
  <si>
    <t>volume occupied by bundle sheath cells ER in leaf n°6</t>
  </si>
  <si>
    <t>volume occupied by palisade mesophyll cells ER in leaf n°6</t>
  </si>
  <si>
    <t>volume occupied by phloem companion cell ER in leaf n°6</t>
  </si>
  <si>
    <t>volume occupied by phloem parenchyma ER in leaf n°6</t>
  </si>
  <si>
    <t>volume occupied by phloem sieve element ER in leaf n°6</t>
  </si>
  <si>
    <t>volume occupied by spongy mesophyll cells ER in leaf n°6</t>
  </si>
  <si>
    <t>volume occupied by trichome cell ER in leaf n°6</t>
  </si>
  <si>
    <t>volume occupied by stomata cell ER in leaf n°6</t>
  </si>
  <si>
    <t>volume occupied by xylem parenchyma cell ER in leaf n°6</t>
  </si>
  <si>
    <t>Total ER volume in leaf n°6</t>
  </si>
  <si>
    <t>volume occupied by abaxial epidermal pavement cells Golgi in leaf n°6</t>
  </si>
  <si>
    <t>volume occupied by adaxial epidermal pavement cells Golgi in leaf n°6</t>
  </si>
  <si>
    <t>volume occupied by basal trichome cells Golgi in leaf n°6</t>
  </si>
  <si>
    <t>volume occupied by bundle sheath cells Golgi in leaf n°6</t>
  </si>
  <si>
    <t>volume occupied by palisade mesophyll cells Golgi in leaf n°6</t>
  </si>
  <si>
    <t>volume occupied by phloem companion cell Golgi  in leaf n°6</t>
  </si>
  <si>
    <t>volume occupied by phloem parenchyma Golgi  in leaf n°6</t>
  </si>
  <si>
    <t>volume occupied by phloem sieve element Golgi in leaf n°6</t>
  </si>
  <si>
    <t>volume occupied by spongy mesophyll cells Golgi in leaf n°6</t>
  </si>
  <si>
    <t>volume occupied by trichome cell Golgi in leaf n°6</t>
  </si>
  <si>
    <t>volume occupied by stomata cell Golgi in leaf n°6</t>
  </si>
  <si>
    <t>volume occupied by xylem parenchyma cell Golgi in leaf n°6</t>
  </si>
  <si>
    <t>Total Golgi volume in leaf n°6</t>
  </si>
  <si>
    <t>volume occupied by abaxial epidermal pavement cells mitochondrion in leaf n°6</t>
  </si>
  <si>
    <t>volume occupied by adaxial epidermal pavement cells mitochondrion in leaf n°6</t>
  </si>
  <si>
    <t>volume occupied by basal trichome cells mitochondrion in leaf n°6</t>
  </si>
  <si>
    <t>volume occupied by bundle sheath cells mitochondrion in leaf n°6</t>
  </si>
  <si>
    <t>volume occupied by palisade mesophyll cells mitochondrion in leaf n°6</t>
  </si>
  <si>
    <t>volume occupied by phloem companion cell mitochondrion  in leaf n°6</t>
  </si>
  <si>
    <t>volume occupied by phloem sieve element mitochondrion in leaf n°6</t>
  </si>
  <si>
    <t>volume occupied by spongy mesophyll cells mitochondrion in leaf n°6</t>
  </si>
  <si>
    <t>volume occupied by trichome cell mitochondrion in leaf n°6</t>
  </si>
  <si>
    <t>volume occupied by stomata cell mitochondrion in leaf n°6</t>
  </si>
  <si>
    <t>volume occupied by xylem parenchyma cell mitochondrion in leaf n°6</t>
  </si>
  <si>
    <t>volume occupied by abaxial epidermal pavement cells nucleus in leaf n°6</t>
  </si>
  <si>
    <t>volume occupied by adaxial epidermal pavement cells nucleus in leaf n°6</t>
  </si>
  <si>
    <t>volume occupied by basal trichome cells nucleus in leaf n°6</t>
  </si>
  <si>
    <t>volume occupied by bundle sheath cells nucleus in leaf n°6</t>
  </si>
  <si>
    <t>volume occupied by palisade mesophyll cells nucleus in leaf n°6</t>
  </si>
  <si>
    <t>volume occupied by phloem sieve element nucleus in leaf n°6</t>
  </si>
  <si>
    <t>volume occupied by spongy mesophyll cells nucleus in leaf n°6</t>
  </si>
  <si>
    <t>volume occupied by trichome cell nucleus in leaf n°6</t>
  </si>
  <si>
    <t>volume occupied by stomata cell nucleus in leaf n°6</t>
  </si>
  <si>
    <t>volume occupied by xylem parenchyma cell nucleus in leaf n°6</t>
  </si>
  <si>
    <t>Volume of vacuole in xylem parenchyma cell vacuole volume (in one cell)</t>
  </si>
  <si>
    <r>
      <t xml:space="preserve">fractional volume  occupied by chloroplasts in a single </t>
    </r>
    <r>
      <rPr>
        <b/>
        <sz val="11"/>
        <color theme="1"/>
        <rFont val="Calibri"/>
        <family val="2"/>
        <scheme val="minor"/>
      </rPr>
      <t>basal trichome</t>
    </r>
    <r>
      <rPr>
        <sz val="11"/>
        <color theme="1"/>
        <rFont val="Calibri"/>
        <family val="2"/>
        <scheme val="minor"/>
      </rPr>
      <t xml:space="preserve"> cell</t>
    </r>
  </si>
  <si>
    <r>
      <t xml:space="preserve">volume occupied by all the chloroplasts in </t>
    </r>
    <r>
      <rPr>
        <b/>
        <sz val="11"/>
        <color theme="1"/>
        <rFont val="Calibri"/>
        <family val="2"/>
        <scheme val="minor"/>
      </rPr>
      <t>basal trichome</t>
    </r>
    <r>
      <rPr>
        <sz val="11"/>
        <color theme="1"/>
        <rFont val="Calibri"/>
        <family val="2"/>
        <scheme val="minor"/>
      </rPr>
      <t xml:space="preserve"> cell</t>
    </r>
  </si>
  <si>
    <t>Volume occupied by the cytosol of Adaxial (upper) epidermal pavement in leaf n°6</t>
  </si>
  <si>
    <t>Volume occupied by the cytosol of Abaxial (lower) epidermal pavement in leaf n°6</t>
  </si>
  <si>
    <t>Volume occupied by the cytosol of Basal trichome cell in leaf n°6</t>
  </si>
  <si>
    <t>Volume occupied by the cytosol of Bundle sheath cells in leaf n°6</t>
  </si>
  <si>
    <t>Volume occupied by the cytosol of Phloem companion cell in leaf n°6</t>
  </si>
  <si>
    <t>Volume occupied by the cytosol of Phloem parenchyma cell in leaf n°6</t>
  </si>
  <si>
    <t>Volume occupied by the cytosol of Phloem sieve element in leaf n°6</t>
  </si>
  <si>
    <t>Volume occupied by the cytosol of Stomata cell in leaf n°6</t>
  </si>
  <si>
    <t>Volume occupied by the cytosol of Parenchyma xylem cells in leaf n°6</t>
  </si>
  <si>
    <t>Volume occupied by the cytosol of Trichome cell in leaf n°6</t>
  </si>
  <si>
    <t>Volume occupied by the cytosol of photosynthetic cells (P+S) in leaf n°6</t>
  </si>
  <si>
    <t>Golgi volume in a single basal trichome cell</t>
  </si>
  <si>
    <t>Golgi volume in a single bundle sheath cell</t>
  </si>
  <si>
    <t>Golgi volume in a single phloem sieve element</t>
  </si>
  <si>
    <t>Golgi volume in a single phloem companion cell</t>
  </si>
  <si>
    <t>Golgi volume in a single phloem parenchyma cell</t>
  </si>
  <si>
    <t>Golgi volume in a single stomata cell</t>
  </si>
  <si>
    <t>Golgi volume in a single trichome cell</t>
  </si>
  <si>
    <t>Golgi volume in a single xylem parenchyma cell</t>
  </si>
  <si>
    <t>pl</t>
  </si>
  <si>
    <t>Total Golgi volume in adaxial epidermal pavement cells in leaf n°6</t>
  </si>
  <si>
    <t>Total Golgi volume in basal trichome cells in leaf n°6</t>
  </si>
  <si>
    <t>Total Golgi volume in bundle sheath cells in leaf n°6</t>
  </si>
  <si>
    <t>Total Golgi volume in phloem parenchyma cells in leaf n°6</t>
  </si>
  <si>
    <t>Total Golgi volume in phloem companion cells in leaf n°6</t>
  </si>
  <si>
    <t>Total Golgi volume in phloem sieve elements in leaf n°6</t>
  </si>
  <si>
    <t>Total Golgi volume in stomata cells in leaf n°6</t>
  </si>
  <si>
    <t>Total Golgi volume in Trichome cells in leaf n°6</t>
  </si>
  <si>
    <t>Total Golgi volume in xylem parenchyma cells in leaf n°6</t>
  </si>
  <si>
    <t>volume occupied by phloem parenchyma cell mitochondrion  in leaf n°6</t>
  </si>
  <si>
    <t>volume occupied by phloem companion cells nucleus  in leaf n°6</t>
  </si>
  <si>
    <t>volume occupied by phloem parenchyma cells nucleus  in leaf n°6</t>
  </si>
  <si>
    <t>Total peroxisomal volume in abaxial epidermal pavement cells in leaf n°6</t>
  </si>
  <si>
    <t>Total peroxisomal volume in adaxial epidermal pavement cells in leaf n°6</t>
  </si>
  <si>
    <t>Total peroxisomal volume in basal trichome cells in leaf n°6</t>
  </si>
  <si>
    <t>Total perxosisomal volume in bundle sheath cells in leaf n°6</t>
  </si>
  <si>
    <t>fraction of peroxisome volume in phloem sieve elements</t>
  </si>
  <si>
    <t>Total peroxisomal volume in phloem companion cells</t>
  </si>
  <si>
    <t>Total peroxisomal volume in phloem parenchyma cells</t>
  </si>
  <si>
    <t>Total peroxisomal volume in phloem sieve elements</t>
  </si>
  <si>
    <t>Total peroxisomal volume in stomata  cells in leaf n°6</t>
  </si>
  <si>
    <t>Total peroxisomal volume in trichome  cells in leaf n°6</t>
  </si>
  <si>
    <t>Total peroxisome volume in xylem parenchyma cells in leaf n°6</t>
  </si>
  <si>
    <t>Total volume of cytosol in leaf n°6 (Ab+Ad+P+S)</t>
  </si>
  <si>
    <t>Total chloroplasts volume in leaf n°6</t>
  </si>
  <si>
    <t>volume occupied by phloem parenchymachloroplasts volume in leaf n°6</t>
  </si>
  <si>
    <t>volume occupied by phloem sieve element plastids volume in leaf n°6</t>
  </si>
  <si>
    <t>volume occupied by xylem parenchyma cell plastids in leaf n°6</t>
  </si>
  <si>
    <t>volume occupied by trichome cell plastids in leaf n°6</t>
  </si>
  <si>
    <r>
      <t xml:space="preserve"> volume occupied by</t>
    </r>
    <r>
      <rPr>
        <b/>
        <sz val="11"/>
        <color theme="1"/>
        <rFont val="Calibri"/>
        <family val="2"/>
        <scheme val="minor"/>
      </rPr>
      <t xml:space="preserve"> xylem parenchyma</t>
    </r>
    <r>
      <rPr>
        <sz val="11"/>
        <color theme="1"/>
        <rFont val="Calibri"/>
        <family val="2"/>
        <scheme val="minor"/>
      </rPr>
      <t xml:space="preserve"> cell's chloroplastsin leaf n°6</t>
    </r>
  </si>
  <si>
    <t>Mesophyll cells chloroplast subcompartments</t>
  </si>
  <si>
    <t>Total ER volume in leaf n°6 (ab+ad+P+S)</t>
  </si>
  <si>
    <t>µL in one leaf n°6</t>
  </si>
  <si>
    <t>µL/mg Chlorophyll</t>
  </si>
  <si>
    <t>7 plastids observed in one cell</t>
  </si>
  <si>
    <t>µL per leaf n°6</t>
  </si>
  <si>
    <t>CELLS</t>
  </si>
  <si>
    <t xml:space="preserve">             Chloroplasts</t>
  </si>
  <si>
    <t xml:space="preserve">              Cytosol</t>
  </si>
  <si>
    <t xml:space="preserve">              Golgi</t>
  </si>
  <si>
    <t xml:space="preserve">       Mitochondrion</t>
  </si>
  <si>
    <t xml:space="preserve">           Nucleus</t>
  </si>
  <si>
    <t xml:space="preserve">        Peroxisome</t>
  </si>
  <si>
    <t xml:space="preserve">           Vacuole</t>
  </si>
  <si>
    <t xml:space="preserve">          Total cells volumes per leaf</t>
  </si>
  <si>
    <t>Cells volumes per square meter of leaf</t>
  </si>
  <si>
    <t>Apoplast volume per g LFW</t>
  </si>
  <si>
    <t>(i.e. extracellular aqueous volume)</t>
  </si>
  <si>
    <t>(i.e cellular plus apoplastic liquid volume)</t>
  </si>
  <si>
    <t>Phloem and Xylem Sap vol per g LFW</t>
  </si>
  <si>
    <t>1,25 10^10</t>
  </si>
  <si>
    <t>1,2 10^6</t>
  </si>
  <si>
    <t xml:space="preserve">                  Cells volumes per g Leaf Fresh Weight</t>
  </si>
  <si>
    <t xml:space="preserve">      Fractional cell types volume in leaf n°6</t>
  </si>
  <si>
    <t xml:space="preserve">    Single plastids averaged volume</t>
  </si>
  <si>
    <t xml:space="preserve">        Volume occupied by plastid in leaf n°6</t>
  </si>
  <si>
    <t>"true" cytosol+ ER+Golgi + nucleus</t>
  </si>
  <si>
    <t xml:space="preserve">             Plastid volume per g LFW</t>
  </si>
  <si>
    <t xml:space="preserve">     Thylakoids</t>
  </si>
  <si>
    <t xml:space="preserve">  Stroma</t>
  </si>
  <si>
    <t xml:space="preserve">  Lumen</t>
  </si>
  <si>
    <t>Plastoglob.</t>
  </si>
  <si>
    <t>Envelope</t>
  </si>
  <si>
    <t>Nucleoid</t>
  </si>
  <si>
    <t xml:space="preserve">   Starch</t>
  </si>
  <si>
    <t>Sum</t>
  </si>
  <si>
    <t xml:space="preserve">                Cytosol volume in leaf n°6</t>
  </si>
  <si>
    <t xml:space="preserve">      ER volume per cell</t>
  </si>
  <si>
    <t xml:space="preserve">              ER volume per leaf n°6</t>
  </si>
  <si>
    <t>Lip. droplets</t>
  </si>
  <si>
    <t xml:space="preserve">         Golgi volume per leaf n°6</t>
  </si>
  <si>
    <t xml:space="preserve">Matrix </t>
  </si>
  <si>
    <t>IMS</t>
  </si>
  <si>
    <t xml:space="preserve">          Macroscopic data</t>
  </si>
  <si>
    <t xml:space="preserve">  Number of plastids per g LFW</t>
  </si>
  <si>
    <t xml:space="preserve">    Number of plastids in leaf n°6</t>
  </si>
  <si>
    <t xml:space="preserve">   Number of plastids per cell</t>
  </si>
  <si>
    <t xml:space="preserve">    Vol. occupied by plastids in cells</t>
  </si>
  <si>
    <t xml:space="preserve">  Plastids fractional vol. occupancy</t>
  </si>
  <si>
    <t xml:space="preserve">       Golgi volume per cell</t>
  </si>
  <si>
    <t xml:space="preserve">   Mitochondrion volume </t>
  </si>
  <si>
    <t>Averaged mitochondria number in abaxial epidermal pavement cells</t>
  </si>
  <si>
    <t>Averaged mitochondria number in adaxial epidermal pavement cells</t>
  </si>
  <si>
    <t>Averaged mitochondria number in basal trichome cell</t>
  </si>
  <si>
    <t>Averaged  mitochondria number in bundle sheath cells</t>
  </si>
  <si>
    <t>Averaged mitochondria number in palisade mesophyll cells</t>
  </si>
  <si>
    <t>Averaged  mitochondria number in phloem companion cells</t>
  </si>
  <si>
    <t>Averaged mitochondria number in phloem parenchyma cells</t>
  </si>
  <si>
    <t>Averaged  mitochondria number in phloem sieve element</t>
  </si>
  <si>
    <t>Averaged  mitochondria number in spongy mesophyll cells</t>
  </si>
  <si>
    <t>Averaged  mitochondria number in stomata cells</t>
  </si>
  <si>
    <t>Averaged  mitochondria number in trichome cells</t>
  </si>
  <si>
    <t>Averaged  mitochondria number in Xylem parenchyma cells</t>
  </si>
  <si>
    <t>Mitochondria number per cell</t>
  </si>
  <si>
    <t xml:space="preserve">   Mitochondria number per leaf</t>
  </si>
  <si>
    <t>Mitochondria number per g LFW</t>
  </si>
  <si>
    <t>Mtc. Fractional vol. per cell</t>
  </si>
  <si>
    <t xml:space="preserve">       Mtc. volume per cell</t>
  </si>
  <si>
    <t>Nucleus fractional occupancy</t>
  </si>
  <si>
    <t xml:space="preserve">     Nucleus volume in cells</t>
  </si>
  <si>
    <t xml:space="preserve">          Nuclear volume per leaf n°6</t>
  </si>
  <si>
    <t>Perox. fractional vol. occupancy</t>
  </si>
  <si>
    <t xml:space="preserve">     Perox. Volume per leaf n°6</t>
  </si>
  <si>
    <t>Peroxisome vol. per cell</t>
  </si>
  <si>
    <t xml:space="preserve">    Number of perox. per cell</t>
  </si>
  <si>
    <t xml:space="preserve">  Vacuole fractional occupancy</t>
  </si>
  <si>
    <t xml:space="preserve">    Vacuole volume per cell</t>
  </si>
  <si>
    <t xml:space="preserve">    Total vacuole vol. per leaf n°6</t>
  </si>
  <si>
    <t>Chlorophylls' parameters</t>
  </si>
  <si>
    <t>% in leaf</t>
  </si>
  <si>
    <t>volume occupied by abaxial epidermal pavement cells vacuoles per g LFW</t>
  </si>
  <si>
    <t>volume occupied by adaxial epidermal pavement cells vacuoles per g LFW</t>
  </si>
  <si>
    <t>volume occupied by basal trichome cells vacuoles per g LFW</t>
  </si>
  <si>
    <t>volume occupied by bundle sheath cells vacuoles per g LFW</t>
  </si>
  <si>
    <t>volume occupied by palisade mesophyll cells vacuoles per g LFW</t>
  </si>
  <si>
    <t>volume occupied by spongy mesophyll cells vacuoles per g LFW</t>
  </si>
  <si>
    <t>volume occupied by trichome cell vacuoles per g LFW</t>
  </si>
  <si>
    <t>Volume of vacuole from stomata cell per g LFW</t>
  </si>
  <si>
    <t xml:space="preserve">   Total vacuole volume per g LFW</t>
  </si>
  <si>
    <t>Number of chloroplast corresponding to 1 mg Chlorophyll</t>
  </si>
  <si>
    <t>Total peroxisome volume in abaxial epidermal pavement cells in leaf n°6</t>
  </si>
  <si>
    <t>Total peroxisome volume in adaxial epidermal pavement cells in leaf n°6</t>
  </si>
  <si>
    <t>Total peroxisome volume in basal trichome cells in leaf n°6</t>
  </si>
  <si>
    <t>Total peroxisome volume in palisade cells in leaf n°6</t>
  </si>
  <si>
    <t>Total peroxisome volume in phloem companion cells</t>
  </si>
  <si>
    <t>Total peroxisome volume in phloem parenchyma cells</t>
  </si>
  <si>
    <t>Total peroxisome volume in phloem sieve elements</t>
  </si>
  <si>
    <t>Total peroxisome volume in spongy cells in leaf n°6</t>
  </si>
  <si>
    <t>Total peroxisome volume in stomata  cells in leaf n°6</t>
  </si>
  <si>
    <t>Total peroxisome volume in trichome  cells in leaf n°6</t>
  </si>
  <si>
    <t>Total peroxisome volume in bundle sheath cells in leaf n°6</t>
  </si>
  <si>
    <t>Total peroxisome volume in abaxial epidermal pavement cells per g LFW</t>
  </si>
  <si>
    <t>Total peroxisome volume in adaxial epidermal pavement cells per g LFW</t>
  </si>
  <si>
    <t>Total peroxisome volume in basal trichome cells per g LFW</t>
  </si>
  <si>
    <t>Total peroxisome volume in bundle sheath cells per g LFW</t>
  </si>
  <si>
    <t>Total peroxisome volume in palisade cells per g LFW</t>
  </si>
  <si>
    <t>Total peroxisome volume in spongy cells per g LFW</t>
  </si>
  <si>
    <t>Total peroxisome volume in stomata  cells per g LFW</t>
  </si>
  <si>
    <t>Total peroxisome volume in trichome  cells per g LFW</t>
  </si>
  <si>
    <t>Total peroxisome volume in xylem parenchyma cells per g LFW</t>
  </si>
  <si>
    <t xml:space="preserve">     Peroxisome volume per g LFW</t>
  </si>
  <si>
    <t>peroxisome volume in a single abaxial epidermal pavement cell</t>
  </si>
  <si>
    <t>peroxisome volume in a single adaxial epidermal pavement cell</t>
  </si>
  <si>
    <t>peroxisome volume in a single basal trichome cell</t>
  </si>
  <si>
    <t>peroxisome volume in a single bundle sheath cell</t>
  </si>
  <si>
    <t>peroxisome volume in a single palisade mesophyll cell</t>
  </si>
  <si>
    <t>peroxisome volume in a single phloem companion cell</t>
  </si>
  <si>
    <t>peroxisome volume in a single phloem parenchyma cell</t>
  </si>
  <si>
    <t>peroxisome volume in a single spongy mesophyl cell</t>
  </si>
  <si>
    <t>peroxisome volume in a stomata cell</t>
  </si>
  <si>
    <t>peroxisome volume in a single trichome cell</t>
  </si>
  <si>
    <t>peroxisome volume in a single xylem parenchyma cell</t>
  </si>
  <si>
    <t>Total nuclear volume in abaxial epidermal pavement cells per g Leaf Fresh Weight</t>
  </si>
  <si>
    <t>Total nuclear volume in adaxial epidermal pavement cells per g Leaf Fresh Weight</t>
  </si>
  <si>
    <t>Total nuclear volume in basal trichome cells per g Leaf Fresh Weight</t>
  </si>
  <si>
    <t>Total nuclear volume in bundle sheath cells per g Leaf Fresh Weight</t>
  </si>
  <si>
    <t>Total nuclear volume in palisade cells per g Leaf Fresh Weight</t>
  </si>
  <si>
    <t>Total nuclear volume in phloem companion cells per g Leaf Fresh Weight</t>
  </si>
  <si>
    <t>Total nuclear volume in phloem parenchyma cells per g Leaf Fresh Weight</t>
  </si>
  <si>
    <t>Total nuclear volume in phloem sieve element per g Leaf Fresh Weight</t>
  </si>
  <si>
    <t>Total nuclear volume in spongy mesophyll  cells per g Leaf Fresh Weight</t>
  </si>
  <si>
    <t>Total nuclear volume in stomata  cells per g Leaf Fresh Weight</t>
  </si>
  <si>
    <t>Total nuclear volume in trichome cells per g Leaf Fresh Weight</t>
  </si>
  <si>
    <t>Total nuclear volume in xylem parenchyma cells per g Leaf Fresh Weight</t>
  </si>
  <si>
    <t xml:space="preserve">     Nuclear volume per g LFW</t>
  </si>
  <si>
    <t xml:space="preserve">   Perox. number per cell</t>
  </si>
  <si>
    <t>Total mitochondrial volume in abaxial epidermal pavement cells per g Leaf Fresh Weight</t>
  </si>
  <si>
    <t>Total mitochondrial volume in adaxial epidermal pavement cells per g Leaf Fresh Weight</t>
  </si>
  <si>
    <t>Total mitochondrial volume in basal trichome cells per g Leaf Fresh Weight</t>
  </si>
  <si>
    <t>Total mitochondrial volume in bundle sheath cells per g Leaf Fresh Weight</t>
  </si>
  <si>
    <t>Total mitochondrial volume in palisade cells per g Leaf Fresh Weight</t>
  </si>
  <si>
    <t>Total mitochondrial volume in phloem companion cells per g Leaf Fresh Weight</t>
  </si>
  <si>
    <t>Total mitochondrial volume in phloem parenchyma cells per g Leaf Fresh Weight</t>
  </si>
  <si>
    <t>Total mitochondrial volume in phloem sieve element per g Leaf Fresh Weight</t>
  </si>
  <si>
    <t>Total mitochondrial volume in spongy cells per g Leaf Fresh Weight</t>
  </si>
  <si>
    <t>Total mitochondrial volume in stomata cells per g Leaf Fresh Weight</t>
  </si>
  <si>
    <t>Total mitochondrial volume in trichome cells per g Leaf Fresh Weight</t>
  </si>
  <si>
    <t>Mtc volume per g Leaf Fresh Weight</t>
  </si>
  <si>
    <t xml:space="preserve">   Mtc. volume per leaf n°6</t>
  </si>
  <si>
    <t>Total mitochondrial matrix volume in abaxial epidermal pavement cells per g Leaf Fresh Weight</t>
  </si>
  <si>
    <t>Total mitochondrial matrix volume in adaxial epidermal pavement cells per g Leaf Fresh Weight</t>
  </si>
  <si>
    <t>Total mitochondrial matrix volume in basal trichome cells per g Leaf Fresh Weight</t>
  </si>
  <si>
    <t>Total mitochondrial matrix volume in bundle sheath cells per g Leaf Fresh Weight</t>
  </si>
  <si>
    <t>Total mitochondrial matrix volume in palisade cells per g Leaf Fresh Weight</t>
  </si>
  <si>
    <t>Total mitochondrial matrix volume in phloem companion cells per g Leaf Fresh Weight</t>
  </si>
  <si>
    <t>Total mitochondrial matrix volume in phloem parenchyma cells per g Leaf Fresh Weight</t>
  </si>
  <si>
    <t xml:space="preserve">Total mitochondrial matrix volume in phloem sieve element per g Leaf Fresh Weightmatrix </t>
  </si>
  <si>
    <t>Total mitochondrial matrix volume in spongy cells per g Leaf Fresh Weight</t>
  </si>
  <si>
    <t>Total mitochondrial matrix volume in stomata cells per g Leaf Fresh Weight</t>
  </si>
  <si>
    <t>Total mitochondrial matrix volume in trichome cells per g Leaf Fresh Weight</t>
  </si>
  <si>
    <t>Total mitochondrial matrix volume in a xylem parenchyma cell</t>
  </si>
  <si>
    <t>Total mitochondrial IMS volume in abaxial epidermal pavement cells per g Leaf Fresh Weight</t>
  </si>
  <si>
    <t>Total mitochondrial IMS volume in adaxial epidermal pavement cells per g Leaf Fresh Weight</t>
  </si>
  <si>
    <t>Total mitochondrial IMS volume in basal trichome cells per g Leaf Fresh Weight</t>
  </si>
  <si>
    <t>Total mitochondrial IMS volume in bundle sheath cells per g Leaf Fresh Weight</t>
  </si>
  <si>
    <t>Total mitochondrial IMS volume in palisade cells per g Leaf Fresh Weight</t>
  </si>
  <si>
    <t>Total mitochondrial IMS volume in phloem companion cells per g Leaf Fresh Weight</t>
  </si>
  <si>
    <t>Total mitochondrial IMS volume in phloem parenchyma cells per g Leaf Fresh Weight</t>
  </si>
  <si>
    <t xml:space="preserve">Total mitochondrial IMS volume in phloem sieve element per g Leaf Fresh WeightIMS </t>
  </si>
  <si>
    <t>Total mitochondrial IMS volume in spongy cells per g Leaf Fresh Weight</t>
  </si>
  <si>
    <t>Total mitochondrial IMS volume in stomata cells per g Leaf Fresh Weight</t>
  </si>
  <si>
    <t>Total mitochondrial IMS volume in trichome cells per g Leaf Fresh Weight</t>
  </si>
  <si>
    <t>Total mitochondrial IMS volume in a xylem parenchyma cell</t>
  </si>
  <si>
    <t>Mtc matrix vol. per g LFW</t>
  </si>
  <si>
    <t>Mtc. Vol.
per mm^2</t>
  </si>
  <si>
    <t xml:space="preserve">       IMS volume per g LFW</t>
  </si>
  <si>
    <t xml:space="preserve">peroxisome organelle volume </t>
  </si>
  <si>
    <t>number of peroxisomes per abaxial epidermal pavement cell</t>
  </si>
  <si>
    <t>number of peroxisomes per adaxial epidermal pavement cell</t>
  </si>
  <si>
    <t>number of peroxisomes per basal trichome cell</t>
  </si>
  <si>
    <t xml:space="preserve">number of peroxisomes per bundle sheath cell </t>
  </si>
  <si>
    <t xml:space="preserve">number of peroxisomes per palisade mesophyll cell </t>
  </si>
  <si>
    <t xml:space="preserve">number of peroxisomes per phloem companion cell </t>
  </si>
  <si>
    <t xml:space="preserve">number of peroxisomes per phloem parenchyma cell </t>
  </si>
  <si>
    <t>number of peroxisomes per spongy mesophyll cell</t>
  </si>
  <si>
    <t>number of peroxisomes per stomata cell</t>
  </si>
  <si>
    <t>number of peroxisomes per xylem parenchyma cells</t>
  </si>
  <si>
    <t>Total IMS volume in Ab+ Ad+P+S  cells per g Fresh Weight</t>
  </si>
  <si>
    <t>Volume occupied by the cytosol of Abaxial (lower) epidermal pavement per g Leaf Fresh Weight</t>
  </si>
  <si>
    <t>Volume occupied by the cytosol of Adaxial (upper) epidermal pavement per g Leaf Fresh Weight</t>
  </si>
  <si>
    <t>Volume occupied by the cytosol of Basal trichome cell per g Leaf Fresh Weight</t>
  </si>
  <si>
    <t>Volume occupied by the cytosol of Bundle sheath cells per g Leaf Fresh Weight</t>
  </si>
  <si>
    <t>Volume occupied by the cytosol of palisade mesophyll cells per g Leaf Fresh Weight</t>
  </si>
  <si>
    <t>Volume occupied by the cytosol of Phloem companion cell per g Leaf Fresh Weight</t>
  </si>
  <si>
    <t>Volume occupied by the cytosol of Phloem parenchyma cell per g Leaf Fresh Weight</t>
  </si>
  <si>
    <t>Volume occupied by the cytosol of Phloem sieve element per g Leaf Fresh Weight</t>
  </si>
  <si>
    <t>Volume occupied by the cytosol of spongy mesophyll cells per g Leaf Fresh Weight</t>
  </si>
  <si>
    <t>Volume occupied by the cytosol of Stomata cell per g Leaf Fresh Weight</t>
  </si>
  <si>
    <t>Volume occupied by the cytosol of Trichome cell per g Leaf Fresh Weight</t>
  </si>
  <si>
    <t>Volume occupied by the cytosol of Parenchyma xylem cells per g Leaf Fresh Weight</t>
  </si>
  <si>
    <t xml:space="preserve">       Cytosol volume per g LFW</t>
  </si>
  <si>
    <t>ER fractional Vol. occupancy</t>
  </si>
  <si>
    <t>Total Golgi volume in abaxial epidermal pavement cells per g Leaf Fresh Weight</t>
  </si>
  <si>
    <t>Total Golgi volume in adaxial epidermal pavement cells per g Leaf Fresh Weight</t>
  </si>
  <si>
    <t>Total Golgi volume in basal trichome cells per g Leaf Fresh Weight</t>
  </si>
  <si>
    <t>Total Golgi volume in bundle sheath cells per g Leaf Fresh Weight</t>
  </si>
  <si>
    <t>Total Golgi volume in palisade cells per g Leaf Fresh Weight</t>
  </si>
  <si>
    <t>Total Golgi volume in phloem companion cells per g Leaf Fresh Weight</t>
  </si>
  <si>
    <t>Total Golgi volume in phloem parenchyma cells per g Leaf Fresh Weight</t>
  </si>
  <si>
    <t>Total Golgi volume in phloem sieve elements per g Leaf Fresh Weight</t>
  </si>
  <si>
    <t>Total Golgi volume in spongy cells per g Leaf Fresh Weight</t>
  </si>
  <si>
    <t>Total Golgi volume in stomata cells per g Leaf Fresh Weight</t>
  </si>
  <si>
    <t>Total Golgi volume in Trichome cells per g Leaf Fresh Weight</t>
  </si>
  <si>
    <t>Total Golgi volume in xylem parenchyma cells per g Leaf Fresh Weight</t>
  </si>
  <si>
    <t xml:space="preserve">      Golgi volume per g LFW</t>
  </si>
  <si>
    <t>Total ER volume in abaxial epidermal pavement cells per g Leaf Fresh Weight</t>
  </si>
  <si>
    <t>Total ER volume in adaxial epidermal pavement cells per g Leaf Fresh Weight</t>
  </si>
  <si>
    <t>Total ER volume in  basal trichome cells per g Leaf Fresh Weight</t>
  </si>
  <si>
    <t>Total ER volume in bundle sheath cells per g Leaf Fresh Weight</t>
  </si>
  <si>
    <t>Total ER volume in palisade cells per g Leaf Fresh Weight</t>
  </si>
  <si>
    <t>Total ER volume in phloem companion cells per g Leaf Fresh Weight</t>
  </si>
  <si>
    <t>Total ER volume in phloem parenchyma cells per g Leaf Fresh Weight</t>
  </si>
  <si>
    <t>Total ER volume in phloem sieve element per g Leaf Fresh Weight</t>
  </si>
  <si>
    <t>Total ER volume in spongy cells per g Leaf Fresh Weight</t>
  </si>
  <si>
    <t>Total ER volume in stomata cells per g Leaf Fresh Weight</t>
  </si>
  <si>
    <t>Total ER volume in trichome cells per g Leaf Fresh Weight</t>
  </si>
  <si>
    <t>Total ER volume in xylem parenchyma cells per g Leaf Fresh Weight</t>
  </si>
  <si>
    <r>
      <t>volume occupied by</t>
    </r>
    <r>
      <rPr>
        <b/>
        <sz val="11"/>
        <color theme="1"/>
        <rFont val="Calibri"/>
        <family val="2"/>
        <scheme val="minor"/>
      </rPr>
      <t xml:space="preserve"> phloem companion</t>
    </r>
    <r>
      <rPr>
        <sz val="11"/>
        <color theme="1"/>
        <rFont val="Calibri"/>
        <family val="2"/>
        <scheme val="minor"/>
      </rPr>
      <t xml:space="preserve"> cell vacuole volume per g LFW</t>
    </r>
  </si>
  <si>
    <r>
      <t xml:space="preserve">volume occupied by </t>
    </r>
    <r>
      <rPr>
        <b/>
        <sz val="11"/>
        <color theme="1"/>
        <rFont val="Calibri"/>
        <family val="2"/>
        <scheme val="minor"/>
      </rPr>
      <t>phloem parenchyma</t>
    </r>
    <r>
      <rPr>
        <sz val="11"/>
        <color theme="1"/>
        <rFont val="Calibri"/>
        <family val="2"/>
        <scheme val="minor"/>
      </rPr>
      <t xml:space="preserve"> vacuole volume per g LFW</t>
    </r>
  </si>
  <si>
    <r>
      <t>volume occupied by</t>
    </r>
    <r>
      <rPr>
        <b/>
        <sz val="11"/>
        <color theme="1"/>
        <rFont val="Calibri"/>
        <family val="2"/>
        <scheme val="minor"/>
      </rPr>
      <t xml:space="preserve"> phloem sieve element</t>
    </r>
    <r>
      <rPr>
        <sz val="11"/>
        <color theme="1"/>
        <rFont val="Calibri"/>
        <family val="2"/>
        <scheme val="minor"/>
      </rPr>
      <t xml:space="preserve"> vacuole volume per g LFW</t>
    </r>
  </si>
  <si>
    <r>
      <t xml:space="preserve">Volume of vacuole in </t>
    </r>
    <r>
      <rPr>
        <b/>
        <sz val="11"/>
        <color theme="1"/>
        <rFont val="Calibri"/>
        <family val="2"/>
        <scheme val="minor"/>
      </rPr>
      <t>xylem parenchyma</t>
    </r>
    <r>
      <rPr>
        <sz val="11"/>
        <color theme="1"/>
        <rFont val="Calibri"/>
        <family val="2"/>
        <scheme val="minor"/>
      </rPr>
      <t xml:space="preserve"> cell vacuole volume per g LFW</t>
    </r>
  </si>
  <si>
    <t>Volume of stroma per g leaf fresh weight</t>
  </si>
  <si>
    <t>Volume of thylakoid per g leaf fresh weight</t>
  </si>
  <si>
    <t>Volume of thylakoid lumen per g leaf fresh weight</t>
  </si>
  <si>
    <t>Volume of plastoglobuli per g leaf fresh weight</t>
  </si>
  <si>
    <t>Volume of envelope per g leaf fresh weight</t>
  </si>
  <si>
    <t>Volume of nucleoids per g leaf fresh weight</t>
  </si>
  <si>
    <t>Volume of starch per g  leaf fresh weight (middle of the day)</t>
  </si>
  <si>
    <t>Conversions into µM for units given in nanomol per g LFW (whole leaf)</t>
  </si>
  <si>
    <t>Conversion factor into µM for isolated organelles</t>
  </si>
  <si>
    <t xml:space="preserve">                                    Conversion factors for whole leaf analyses</t>
  </si>
  <si>
    <t>matrix of isolated mitochondria (nanomol per mg total mitochondrial protein unit)</t>
  </si>
  <si>
    <t>stroma of isolated chloroplasts (unit = per mg chlorophyll)</t>
  </si>
  <si>
    <t>isolated chloroplasts (entire chloroplasts, unit = per mg chlorophyll)</t>
  </si>
  <si>
    <t>thylakoid membranes plus lumen of isolated chloroplasts (unit = per mg chlorophyll)</t>
  </si>
  <si>
    <t>thylakoid membranes of isolated chloroplasts (unit= per mg chlorophyll unit)</t>
  </si>
  <si>
    <r>
      <t xml:space="preserve">volume occupied by </t>
    </r>
    <r>
      <rPr>
        <b/>
        <sz val="11"/>
        <color theme="1"/>
        <rFont val="Calibri"/>
        <family val="2"/>
        <scheme val="minor"/>
      </rPr>
      <t>abaxial</t>
    </r>
    <r>
      <rPr>
        <sz val="11"/>
        <color theme="1"/>
        <rFont val="Calibri"/>
        <family val="2"/>
        <scheme val="minor"/>
      </rPr>
      <t xml:space="preserve"> epidermal pavement cells' chloroplasts in leaf n°6</t>
    </r>
  </si>
  <si>
    <r>
      <t xml:space="preserve">volume occupied by </t>
    </r>
    <r>
      <rPr>
        <b/>
        <sz val="11"/>
        <color theme="1"/>
        <rFont val="Calibri"/>
        <family val="2"/>
        <scheme val="minor"/>
      </rPr>
      <t>adaxial</t>
    </r>
    <r>
      <rPr>
        <sz val="11"/>
        <color theme="1"/>
        <rFont val="Calibri"/>
        <family val="2"/>
        <scheme val="minor"/>
      </rPr>
      <t xml:space="preserve"> epidermal pavement cells' chloroplasts in leaf n°6</t>
    </r>
  </si>
  <si>
    <r>
      <t xml:space="preserve">volume occupied by </t>
    </r>
    <r>
      <rPr>
        <b/>
        <sz val="11"/>
        <color theme="1"/>
        <rFont val="Calibri"/>
        <family val="2"/>
        <scheme val="minor"/>
      </rPr>
      <t>basal trichome</t>
    </r>
    <r>
      <rPr>
        <sz val="11"/>
        <color theme="1"/>
        <rFont val="Calibri"/>
        <family val="2"/>
        <scheme val="minor"/>
      </rPr>
      <t xml:space="preserve"> cells' chloroplasts in leaf n°6</t>
    </r>
  </si>
  <si>
    <r>
      <t xml:space="preserve">volume occupied by </t>
    </r>
    <r>
      <rPr>
        <b/>
        <sz val="11"/>
        <color theme="1"/>
        <rFont val="Calibri"/>
        <family val="2"/>
        <scheme val="minor"/>
      </rPr>
      <t>bundle</t>
    </r>
    <r>
      <rPr>
        <sz val="11"/>
        <color theme="1"/>
        <rFont val="Calibri"/>
        <family val="2"/>
        <scheme val="minor"/>
      </rPr>
      <t xml:space="preserve"> sheath cells' chloroplasts in leaf n°6</t>
    </r>
  </si>
  <si>
    <r>
      <t xml:space="preserve"> volume occupied by vessel </t>
    </r>
    <r>
      <rPr>
        <b/>
        <sz val="11"/>
        <color theme="1"/>
        <rFont val="Calibri"/>
        <family val="2"/>
        <scheme val="minor"/>
      </rPr>
      <t>Cambial</t>
    </r>
    <r>
      <rPr>
        <sz val="11"/>
        <color theme="1"/>
        <rFont val="Calibri"/>
        <family val="2"/>
        <scheme val="minor"/>
      </rPr>
      <t xml:space="preserve"> cell plastids in  leaf n°6</t>
    </r>
  </si>
  <si>
    <r>
      <t xml:space="preserve">volume occupied by </t>
    </r>
    <r>
      <rPr>
        <b/>
        <sz val="11"/>
        <color theme="1"/>
        <rFont val="Calibri"/>
        <family val="2"/>
        <scheme val="minor"/>
      </rPr>
      <t>palisade</t>
    </r>
    <r>
      <rPr>
        <sz val="11"/>
        <color theme="1"/>
        <rFont val="Calibri"/>
        <family val="2"/>
        <scheme val="minor"/>
      </rPr>
      <t xml:space="preserve"> mesophyll cells' chloroplasts in leaf n°6</t>
    </r>
  </si>
  <si>
    <r>
      <t xml:space="preserve">volume occupied by </t>
    </r>
    <r>
      <rPr>
        <b/>
        <sz val="11"/>
        <color theme="1"/>
        <rFont val="Calibri"/>
        <family val="2"/>
        <scheme val="minor"/>
      </rPr>
      <t>phloem companion</t>
    </r>
    <r>
      <rPr>
        <sz val="11"/>
        <color theme="1"/>
        <rFont val="Calibri"/>
        <family val="2"/>
        <scheme val="minor"/>
      </rPr>
      <t xml:space="preserve"> cells' chloroplasts in leaf n°6</t>
    </r>
  </si>
  <si>
    <r>
      <t xml:space="preserve">volume occupied by </t>
    </r>
    <r>
      <rPr>
        <b/>
        <sz val="11"/>
        <color theme="1"/>
        <rFont val="Calibri"/>
        <family val="2"/>
        <scheme val="minor"/>
      </rPr>
      <t>phloem parenchyma</t>
    </r>
    <r>
      <rPr>
        <sz val="11"/>
        <color theme="1"/>
        <rFont val="Calibri"/>
        <family val="2"/>
        <scheme val="minor"/>
      </rPr>
      <t xml:space="preserve"> cells' chloroplasts in leaf n°6</t>
    </r>
  </si>
  <si>
    <r>
      <t xml:space="preserve">volume occupied by  </t>
    </r>
    <r>
      <rPr>
        <b/>
        <sz val="11"/>
        <color theme="1"/>
        <rFont val="Calibri"/>
        <family val="2"/>
        <scheme val="minor"/>
      </rPr>
      <t>phloem sieve element</t>
    </r>
    <r>
      <rPr>
        <sz val="11"/>
        <color theme="1"/>
        <rFont val="Calibri"/>
        <family val="2"/>
        <scheme val="minor"/>
      </rPr>
      <t>s' plastid in leaf n°6</t>
    </r>
  </si>
  <si>
    <r>
      <t xml:space="preserve">volume occupied by </t>
    </r>
    <r>
      <rPr>
        <b/>
        <sz val="11"/>
        <color theme="1"/>
        <rFont val="Calibri"/>
        <family val="2"/>
        <scheme val="minor"/>
      </rPr>
      <t xml:space="preserve">spongy mesophyll </t>
    </r>
    <r>
      <rPr>
        <sz val="11"/>
        <color theme="1"/>
        <rFont val="Calibri"/>
        <family val="2"/>
        <scheme val="minor"/>
      </rPr>
      <t>cell chloroplasts in leaf n°6</t>
    </r>
  </si>
  <si>
    <r>
      <t>volume occupied by</t>
    </r>
    <r>
      <rPr>
        <b/>
        <sz val="11"/>
        <color theme="1"/>
        <rFont val="Calibri"/>
        <family val="2"/>
        <scheme val="minor"/>
      </rPr>
      <t xml:space="preserve"> stomata </t>
    </r>
    <r>
      <rPr>
        <sz val="11"/>
        <color theme="1"/>
        <rFont val="Calibri"/>
        <family val="2"/>
        <scheme val="minor"/>
      </rPr>
      <t>cells' chloroplasts in leaf n°6</t>
    </r>
  </si>
  <si>
    <r>
      <t xml:space="preserve">volume occupied by </t>
    </r>
    <r>
      <rPr>
        <b/>
        <sz val="11"/>
        <color theme="1"/>
        <rFont val="Calibri"/>
        <family val="2"/>
        <scheme val="minor"/>
      </rPr>
      <t>trichome</t>
    </r>
    <r>
      <rPr>
        <sz val="11"/>
        <color theme="1"/>
        <rFont val="Calibri"/>
        <family val="2"/>
        <scheme val="minor"/>
      </rPr>
      <t xml:space="preserve"> cell's plastids in leaf n°6</t>
    </r>
  </si>
  <si>
    <r>
      <rPr>
        <i/>
        <sz val="11"/>
        <color theme="1"/>
        <rFont val="Calibri"/>
        <family val="2"/>
        <scheme val="minor"/>
      </rPr>
      <t>Spinacia oleracea</t>
    </r>
    <r>
      <rPr>
        <sz val="11"/>
        <color theme="1"/>
        <rFont val="Calibri"/>
        <family val="2"/>
        <scheme val="minor"/>
      </rPr>
      <t xml:space="preserve"> thylakoid membrane represents 66 % of thylakoid volume and lumen 34%. The values are provisionally assumed identifcal for Arabidopsis thalykoids.</t>
    </r>
  </si>
  <si>
    <r>
      <rPr>
        <i/>
        <sz val="11"/>
        <color theme="1"/>
        <rFont val="Calibri"/>
        <family val="2"/>
        <scheme val="minor"/>
      </rPr>
      <t xml:space="preserve">Spinacia oleracea </t>
    </r>
    <r>
      <rPr>
        <sz val="11"/>
        <color theme="1"/>
        <rFont val="Calibri"/>
        <family val="2"/>
        <scheme val="minor"/>
      </rPr>
      <t>thylakoid membranes represents 66 % of thylakoid volume and lumen 34%; stroma lamelae represent 20,5% of thylakoid membranes (see Albertsson_2001_PMID_11495787) . The same value was provisionally assumed for Arabidopsis.</t>
    </r>
  </si>
  <si>
    <t>The average surface of Arabidopsis chloroplast is 124 µm^2 (Tolleter_2017_PMID_28637277); assuming an envelope thickness of 29 nm (7 nm for the outer membrane +15 nm for the inter membrane space and 7 nm for the inner membrane, Heber (1981) Annual review of plant physiology, vol 32, 139-168), a volume of 3,6 fL for the envelope can be computed (3.9% of chloroplast volume -93 fL)</t>
  </si>
  <si>
    <t>Starch fractional volume occupancy (10,9 %)  was used as a variable of adjustment so that the total  volume of the different chloroplast compartments is 100%. Starch occupies 15% of chloroplast volume at the end of the day (Crumpton_Taylor_2012_PMID_22135430); A value of 16% is reported in Zellnig_2004 Protoplasma (2004) 223: 221–227.</t>
  </si>
  <si>
    <t xml:space="preserve">  Cytosol volume (in one cell)</t>
  </si>
  <si>
    <t>Total volume occupied by the cytosol in leaf n°6 (Ab + Ad+ P+S cells)</t>
  </si>
  <si>
    <t>Cytosol Vol. per leaf area</t>
  </si>
  <si>
    <t>Endoplasmic reticulum (ER)</t>
  </si>
  <si>
    <t xml:space="preserve">Cyt. fractional vol. occupancy </t>
  </si>
  <si>
    <t xml:space="preserve">       Total ER volume per g LFW</t>
  </si>
  <si>
    <t xml:space="preserve"> Fractional vol. occupancy Golgi</t>
  </si>
  <si>
    <t>number (per leaf n°6)</t>
  </si>
  <si>
    <t xml:space="preserve">       Cells densities, reference leaf n°6</t>
  </si>
  <si>
    <t xml:space="preserve">            Cells numbers (reference leaf n°6)</t>
  </si>
  <si>
    <t xml:space="preserve">  Single cells volumes (reference leaf n°6)</t>
  </si>
  <si>
    <t>Number of leaf n°6 per g Leaf Fresh Weight</t>
  </si>
  <si>
    <t>Mid-vein (primary vein) length per leaf area</t>
  </si>
  <si>
    <t>Minor (4th + 5th orders) veins length per leaf area</t>
  </si>
  <si>
    <t>Total veins length per leaf area</t>
  </si>
  <si>
    <t>number per cross-section</t>
  </si>
  <si>
    <t>µm^2 (per cell)</t>
  </si>
  <si>
    <t xml:space="preserve">              Veins length</t>
  </si>
  <si>
    <t>Vein cells length</t>
  </si>
  <si>
    <t>Vessels cells vol. per g LFW</t>
  </si>
  <si>
    <t xml:space="preserve">     Vessel cells densities 
           (per leaf area)</t>
  </si>
  <si>
    <t>number of leaves</t>
  </si>
  <si>
    <t>See Table S1.1</t>
  </si>
  <si>
    <t>Supplementary Table S.3: Compilation of published cells numbers per minor veins cross section (3rd, 4th and 5th vein orders) in Arabidopsis Col-0</t>
  </si>
  <si>
    <t>Total volume of chloroplasts in leaf n°6</t>
  </si>
  <si>
    <t>Total vacuole volume in leaf n°6 (Epidermal pavement cells and mesophyll cells)</t>
  </si>
  <si>
    <t>Total peroxisome volume in leaf n°6 (Epidermal pavement cells and mesophyll cells)</t>
  </si>
  <si>
    <t>Total nucleus volume in leaf n°6 (Epidermal pavement cells and mesophyll cells)</t>
  </si>
  <si>
    <t>Total mitochondrion volume in leaf n°6 (Epidermal pavement cells and mesophyll cells)</t>
  </si>
  <si>
    <t>Total ER volume in leaf n°6 (Epidermal pavement cells and mesophyll cells)</t>
  </si>
  <si>
    <t>Total volume of cytosol in leaf n°6 (Epidermal pavement cells and mesophyll cells)</t>
  </si>
  <si>
    <t>Total volume of chloroplasts in leaf n°6 (Epidermal pavement cells and mesophyll cells)</t>
  </si>
  <si>
    <t>Total cellular volume (Epidermal pavement cells and mesophyll cells)</t>
  </si>
  <si>
    <t>Experimental error</t>
  </si>
  <si>
    <t>n.a.</t>
  </si>
  <si>
    <t>Data n.a. for leaf. Fig1a in Smith_2013_PMID_24096341 shows several root xylem parenchyma cells with an average length of 25 µm; We assumed the same value for leaf xylem parenchyma cell. in vitro culture.</t>
  </si>
  <si>
    <t>Cell length n.a.</t>
  </si>
  <si>
    <t>Data not available</t>
  </si>
  <si>
    <t xml:space="preserve">LFW  (mg) per cm^2 </t>
  </si>
  <si>
    <t>µL per mg Chl</t>
  </si>
  <si>
    <t>Cell vol. (pL)</t>
  </si>
  <si>
    <t>Cells number</t>
  </si>
  <si>
    <t>Vol. in leaf 6 (µL)</t>
  </si>
  <si>
    <t>% (cells number)</t>
  </si>
  <si>
    <t>µL per g LFW</t>
  </si>
  <si>
    <t>LMA (leaf mass area), LFW  (g) per m^2 [g_LFW_per_m2_leaf_area]</t>
  </si>
  <si>
    <t>Calculation based on estimated peroxisome fractional volume occupancy and cell volume</t>
  </si>
  <si>
    <t>We assumed the same volume per cell as in spongy mesophyll cells</t>
  </si>
  <si>
    <t>Calculation based on mitochondrial density (0,01 per µm^3) and cell volume (100 pL); This value is consistent with Preuten_2010_PMID_21143676 where a value of 1184 mitochondria for a 100 pL cell could be extrapolated for similar growth conditions and plant stage.</t>
  </si>
  <si>
    <t>Calculation based on mitochondrial density (0,006 per µm^3) and cell volume (60 pL). This number might be underestimated as the tissue volume taken into account included cell wall and air space. This value is consistent with Preuten_2010_PMID_21143676 where a value of 398 mitochondria for a 60 pL cell could be extrapolated for similar growth conditions and plant stage.</t>
  </si>
  <si>
    <t>Granum diameter</t>
  </si>
  <si>
    <t>Pribil_2014_PMID_26994478</t>
  </si>
  <si>
    <t>Granum height (2 membranes + lumen)</t>
  </si>
  <si>
    <t>Membrane area of one granum including end membranes</t>
  </si>
  <si>
    <t>Membrane area of the end membranes</t>
  </si>
  <si>
    <t>Number of granum per grana  stack</t>
  </si>
  <si>
    <t>Number of grana per chloroplast</t>
  </si>
  <si>
    <t>Cotyledons, T96; Supplemental data elife-62709-fig4-data1 line#14</t>
  </si>
  <si>
    <t>Isolated chloroplasts</t>
  </si>
  <si>
    <t>Average Arabidopsis isolated chloroplast surface</t>
  </si>
  <si>
    <t>Average Arabidopsis chloroplast surface in two-cotyledon stage Arabidopsis (96 h de-etiolation)</t>
  </si>
  <si>
    <t>Cotyledons, T96; Supplemental data elife-62709-fig4-data1 line#C39</t>
  </si>
  <si>
    <t>Cotyledons, T96; Supplemental data elife-62709-fig4-data1 #B44</t>
  </si>
  <si>
    <t>Thylakoid surface exposed to stroma per chloroplast in two-cotyledon stage Arabidopsis (96 h de-etiolation)</t>
  </si>
  <si>
    <t>Cotyledons, T96; Supplemental data elife-62709-fig4-data1 line#B51</t>
  </si>
  <si>
    <t>Cotyledons, T96; Supplemental data elife-62709-fig4-data1 #G35</t>
  </si>
  <si>
    <t>Total thylakoid volume per chloroplast in two-cotyledon stage Arabidopsis (96 h de-etiolation)</t>
  </si>
  <si>
    <t>Cotyledons, T96; Supplemental data elife-62709-fig4-data1 #D27</t>
  </si>
  <si>
    <t>Thylakoid stroma lamellae volume</t>
  </si>
  <si>
    <t>thylakoid grana</t>
  </si>
  <si>
    <t>Volume of one granum (assimilated to a disk)</t>
  </si>
  <si>
    <t>Volume of one grana stack</t>
  </si>
  <si>
    <t>Volume of grana stack per chloroplast</t>
  </si>
  <si>
    <t>The Calculation is based on the fractional occupancy in a spongy mesophyll cell (0,14%, Koffler et al) and the volume of a single peroxisome 0,917 fL. The 1000 factor converts the volume of the cell from pL to fL</t>
  </si>
  <si>
    <t>number of peroxisomes per per trichome cell</t>
  </si>
  <si>
    <t>Cell volume depends on vein order</t>
  </si>
  <si>
    <t>See comment</t>
  </si>
  <si>
    <t>Chloroplasts number/mg chl</t>
  </si>
  <si>
    <t>Abaxial epidermis; same volume assumed for the adaxial stomata</t>
  </si>
  <si>
    <t>Total granal membrane area per chloroplast</t>
  </si>
  <si>
    <t>Total disks peripheries (distance)</t>
  </si>
  <si>
    <t>Total granal end membrane area (exposed to the stroma in grana) per grana</t>
  </si>
  <si>
    <t>Total granal end membrane area (exposed to the stroma in grana) per chloroplast</t>
  </si>
  <si>
    <t>See Table S1.4 (ER,Golgi)</t>
  </si>
  <si>
    <t>Plant</t>
  </si>
  <si>
    <t>Spinacia oleracea</t>
  </si>
  <si>
    <t>Nicotiana tabacum</t>
  </si>
  <si>
    <t>Nicotiana clevelandii</t>
  </si>
  <si>
    <t>Arabidopsis thaliana</t>
  </si>
  <si>
    <t>Long-days, mature leaf</t>
  </si>
  <si>
    <t>Short-days (10H light)</t>
  </si>
  <si>
    <t>Short days (12H light)</t>
  </si>
  <si>
    <t>Short days (10H light)</t>
  </si>
  <si>
    <t>Long days (14H light)</t>
  </si>
  <si>
    <r>
      <t>In</t>
    </r>
    <r>
      <rPr>
        <i/>
        <sz val="11"/>
        <color theme="1"/>
        <rFont val="Calibri"/>
        <family val="2"/>
        <scheme val="minor"/>
      </rPr>
      <t xml:space="preserve"> Spinacia oleracea</t>
    </r>
    <r>
      <rPr>
        <sz val="11"/>
        <color theme="1"/>
        <rFont val="Calibri"/>
        <family val="2"/>
        <scheme val="minor"/>
      </rPr>
      <t xml:space="preserve"> epidermal cells  cytosol plus ER + Golgi + nucleus occupy 4.96% of the epidermal cell volume. We provisionally assumed the same value for Arabidopsis.</t>
    </r>
  </si>
  <si>
    <t>Long days (16H light)</t>
  </si>
  <si>
    <t>Short days (9H light)</t>
  </si>
  <si>
    <t>Phloem parenchyma cell number was obtained by subtracting companion cells and sieve element cells number from the total phloem cell number counted in Fig 3B (214 cells) in Nguyen_2018_PMID_30228123</t>
  </si>
  <si>
    <t xml:space="preserve"> </t>
  </si>
  <si>
    <t xml:space="preserve"> We assumed the same value as in minor veins (see below)</t>
  </si>
  <si>
    <t>Cells boxed in blue indicate assumptions/hypotheses (refer to comment)</t>
  </si>
  <si>
    <r>
      <t>Cells boxed in violet indicate low quality data (</t>
    </r>
    <r>
      <rPr>
        <i/>
        <sz val="11"/>
        <rFont val="Calibri"/>
        <family val="2"/>
        <scheme val="minor"/>
      </rPr>
      <t>e.g.</t>
    </r>
    <r>
      <rPr>
        <sz val="11"/>
        <rFont val="Calibri"/>
        <family val="2"/>
        <scheme val="minor"/>
      </rPr>
      <t xml:space="preserve"> single measure)</t>
    </r>
  </si>
  <si>
    <t>Code used only
 for original 
data
 (not for calculations)</t>
  </si>
  <si>
    <t>Cells boxed in orange indicate Exp. conditions different from Wuyts et al. 2012</t>
  </si>
  <si>
    <t>Plastids in sieve elements are not photosynthetic (diameter: 1 µm; volume calculated assuming the volume of a sphere; see also Froelich_2011_PMID_22198148 and Behnke H.-D. (1991a) Distribution and evolution of forms and types of sieve-element plastids in the dicotyledons. ALISO 3, 167–182</t>
  </si>
  <si>
    <t>Short-day light regime, 12h light, 180 µmol photons/m^2/s, 20°C, RH 75%</t>
  </si>
  <si>
    <t>Crumpton_Taylor_2012_PMID_22135430.</t>
  </si>
  <si>
    <t>MS medium containing 2±3% (w/v) sucrose</t>
  </si>
  <si>
    <t>Fujiwara_2018_PMID_29466386</t>
  </si>
  <si>
    <t>Assuming a sphere of 2 µm radius.</t>
  </si>
  <si>
    <t>Confocal images indicate that trichome cell plastids are leucoplasts, and their size is similar to epidermal pavement cells chloroplasts</t>
  </si>
  <si>
    <t>See Fig 4 in Nguyen_2018_PMID_30228123, assuming a sphere of 1 µm radius;  chlorophyll could be detected in these plastids.</t>
  </si>
  <si>
    <t>Pyke_1994_PMID_12232072</t>
  </si>
  <si>
    <t>Short day light regime, 8H light, 250 µmol photons/m^2/s, 22°C, RH 60%</t>
  </si>
  <si>
    <t>45 day-old plants</t>
  </si>
  <si>
    <t>See Table S1.4 (ER, Golgi)</t>
  </si>
  <si>
    <t>Cultured Arabidopsis cells</t>
  </si>
  <si>
    <t>Long-day light regime, 16H light, 36 µmol photons/m^2/s, 20°C, 70% RH, in vitro</t>
  </si>
  <si>
    <r>
      <t xml:space="preserve">Continuous light regime, 100 </t>
    </r>
    <r>
      <rPr>
        <sz val="11"/>
        <color theme="1"/>
        <rFont val="Calibri"/>
        <family val="2"/>
        <scheme val="minor"/>
      </rPr>
      <t>µ</t>
    </r>
    <r>
      <rPr>
        <sz val="11"/>
        <color theme="1"/>
        <rFont val="Times New Roman"/>
        <family val="1"/>
      </rPr>
      <t>mol photons/m^2/s, 21</t>
    </r>
    <r>
      <rPr>
        <sz val="11"/>
        <color theme="1"/>
        <rFont val="Calibri"/>
        <family val="2"/>
        <scheme val="minor"/>
      </rPr>
      <t>°</t>
    </r>
    <r>
      <rPr>
        <sz val="11"/>
        <color theme="1"/>
        <rFont val="Times New Roman"/>
        <family val="1"/>
      </rPr>
      <t>C, ND RH</t>
    </r>
  </si>
  <si>
    <t>First true leaves</t>
  </si>
  <si>
    <t>counting in Fig. 1B in Jedd_2002_PMID_11978866</t>
  </si>
  <si>
    <r>
      <rPr>
        <i/>
        <sz val="11"/>
        <color theme="1"/>
        <rFont val="Calibri"/>
        <family val="2"/>
        <scheme val="minor"/>
      </rPr>
      <t>In vitro</t>
    </r>
    <r>
      <rPr>
        <sz val="11"/>
        <color theme="1"/>
        <rFont val="Calibri"/>
        <family val="2"/>
        <scheme val="minor"/>
      </rPr>
      <t xml:space="preserve"> culture in the absence of sucrose; Continuous light; ND µmol photons/m^2/s</t>
    </r>
  </si>
  <si>
    <t>10-14 day-old plants</t>
  </si>
  <si>
    <t>The vacuole volume is the variable of adjustment and corresponds to the fraction remaining when chloroplasts, cytosol, ER, Golgi, Lipid droplet, mitochondria, nucleus and peroxisome fractional occupancy are added and subtracted from 100. The vacuole fractional occupancy in mesophyll spongy cells is very close to the value given by Koffler_2013_PMID_23265941 (77.8% for spongy mesophyll cells) versus 79 % here. The difference is due to chloroplast fractional occupancy (15.5 % according to our Calculations, see above) and 17.7% according to Koffler_2013_PMID_23265941</t>
  </si>
  <si>
    <t>The vacuole volume is the variable of adjustment and correspond to the fraction remaining when chloroplasts, cytosol, ER, Golgi, Lipid droplet, mitochondria, nucleus and peroxisome fractional occupancies are added and subtracted from 100.</t>
  </si>
  <si>
    <t>4-5 week-old plants</t>
  </si>
  <si>
    <t>First pair of true leaves</t>
  </si>
  <si>
    <r>
      <t xml:space="preserve">Long day light regime, 16H light, 36 µmol photons/m^2/s^1 , 20°C, 70 % humidity,  </t>
    </r>
    <r>
      <rPr>
        <i/>
        <sz val="11"/>
        <color theme="1"/>
        <rFont val="Calibri"/>
        <family val="2"/>
        <scheme val="minor"/>
      </rPr>
      <t>in vitro</t>
    </r>
    <r>
      <rPr>
        <sz val="11"/>
        <color theme="1"/>
        <rFont val="Calibri"/>
        <family val="2"/>
        <scheme val="minor"/>
      </rPr>
      <t>.</t>
    </r>
  </si>
  <si>
    <r>
      <t xml:space="preserve">Long-day light regime, 16H light, ND </t>
    </r>
    <r>
      <rPr>
        <sz val="9"/>
        <color theme="1"/>
        <rFont val="Calibri"/>
        <family val="2"/>
        <scheme val="minor"/>
      </rPr>
      <t>µ</t>
    </r>
    <r>
      <rPr>
        <sz val="9"/>
        <color theme="1"/>
        <rFont val="Times New Roman"/>
        <family val="1"/>
      </rPr>
      <t>mol photons/m^2/s, 20</t>
    </r>
    <r>
      <rPr>
        <sz val="9"/>
        <color theme="1"/>
        <rFont val="Calibri"/>
        <family val="2"/>
        <scheme val="minor"/>
      </rPr>
      <t>°</t>
    </r>
    <r>
      <rPr>
        <sz val="9"/>
        <color theme="1"/>
        <rFont val="Times New Roman"/>
        <family val="1"/>
      </rPr>
      <t>C, ND RH</t>
    </r>
  </si>
  <si>
    <t>Long-day light regime, 16H light, 100 µmol photons/m^2/s, 23°C, 60% RH</t>
  </si>
  <si>
    <t>Long-day light regime, 16H light, 100 µmol photons/m^2/s, 22°C, ND RH</t>
  </si>
  <si>
    <t>Long-day light regime, 16H light, high cumulative light (9,6 mol photons/m^2/s), 22°C, soil, well-watered</t>
  </si>
  <si>
    <t xml:space="preserve"> Rosette</t>
  </si>
  <si>
    <t>Figure 6d in Wuyts_2012_PMID_22471732, high cumulative light, 9.6 mol photons/m^2/day, well-watered-40% soil RH</t>
  </si>
  <si>
    <t>Figure 6c in Wuyts_2012_PMID_22471732, high cumulative light, 9.6 mol photons/m^2/day, well-watered-40% soil RH</t>
  </si>
  <si>
    <t>See Fig3J and 6J in Kang_2002_PMID_12447534. Average number of cells in two single cross-section of secondary veins at day 25 was 61.5.</t>
  </si>
  <si>
    <t>Number of plastid from xylem parenchyma per g LFW</t>
  </si>
  <si>
    <t>Spongy mesophyll cells number in one leaf n°6 (121 mm^2)</t>
  </si>
  <si>
    <t>Total average nb of cells per cross section from different studies</t>
  </si>
  <si>
    <r>
      <t xml:space="preserve">Number of mitochondria from abaxial epidermal pavement cells </t>
    </r>
    <r>
      <rPr>
        <b/>
        <sz val="11"/>
        <color theme="1"/>
        <rFont val="Calibri"/>
        <family val="2"/>
        <scheme val="minor"/>
      </rPr>
      <t>in leaf n°6</t>
    </r>
  </si>
  <si>
    <r>
      <t xml:space="preserve">Number of mitochondria from adaxial epidermal pavement cells </t>
    </r>
    <r>
      <rPr>
        <b/>
        <sz val="11"/>
        <color theme="1"/>
        <rFont val="Calibri"/>
        <family val="2"/>
        <scheme val="minor"/>
      </rPr>
      <t>in leaf n°6</t>
    </r>
  </si>
  <si>
    <r>
      <t xml:space="preserve">Number of mitochondria from basal trichome cells </t>
    </r>
    <r>
      <rPr>
        <b/>
        <sz val="11"/>
        <color theme="1"/>
        <rFont val="Calibri"/>
        <family val="2"/>
        <scheme val="minor"/>
      </rPr>
      <t>in leaf n°6</t>
    </r>
  </si>
  <si>
    <r>
      <t>Number of mitochondria from bundle sheath cells i</t>
    </r>
    <r>
      <rPr>
        <b/>
        <sz val="11"/>
        <color theme="1"/>
        <rFont val="Calibri"/>
        <family val="2"/>
        <scheme val="minor"/>
      </rPr>
      <t>n leaf n°6</t>
    </r>
  </si>
  <si>
    <r>
      <t xml:space="preserve">Number of mitochondria from palisade mesophyll cells </t>
    </r>
    <r>
      <rPr>
        <b/>
        <sz val="11"/>
        <color theme="1"/>
        <rFont val="Calibri"/>
        <family val="2"/>
        <scheme val="minor"/>
      </rPr>
      <t>in leaf n°6</t>
    </r>
  </si>
  <si>
    <r>
      <t xml:space="preserve">Number of mitochondria from phloem companion cells </t>
    </r>
    <r>
      <rPr>
        <b/>
        <sz val="11"/>
        <color theme="1"/>
        <rFont val="Calibri"/>
        <family val="2"/>
        <scheme val="minor"/>
      </rPr>
      <t>in leaf n°6</t>
    </r>
  </si>
  <si>
    <r>
      <t xml:space="preserve">Number of mitochondria from phloem parenchyma cells </t>
    </r>
    <r>
      <rPr>
        <b/>
        <sz val="11"/>
        <color theme="1"/>
        <rFont val="Calibri"/>
        <family val="2"/>
        <scheme val="minor"/>
      </rPr>
      <t>in leaf n°6</t>
    </r>
  </si>
  <si>
    <r>
      <t xml:space="preserve">Number of mitochondria from phloem sieve elements </t>
    </r>
    <r>
      <rPr>
        <b/>
        <sz val="11"/>
        <color theme="1"/>
        <rFont val="Calibri"/>
        <family val="2"/>
        <scheme val="minor"/>
      </rPr>
      <t>in leaf n°6</t>
    </r>
  </si>
  <si>
    <r>
      <t xml:space="preserve">Number of mitochondria from spongy mesophyll cells </t>
    </r>
    <r>
      <rPr>
        <b/>
        <sz val="11"/>
        <color theme="1"/>
        <rFont val="Calibri"/>
        <family val="2"/>
        <scheme val="minor"/>
      </rPr>
      <t>in leaf n°6</t>
    </r>
  </si>
  <si>
    <r>
      <t xml:space="preserve">Number of mitochondria from stomata cells </t>
    </r>
    <r>
      <rPr>
        <b/>
        <sz val="11"/>
        <color theme="1"/>
        <rFont val="Calibri"/>
        <family val="2"/>
        <scheme val="minor"/>
      </rPr>
      <t>in leaf n°6</t>
    </r>
  </si>
  <si>
    <r>
      <t xml:space="preserve">Number of mitochondria from trichome cells </t>
    </r>
    <r>
      <rPr>
        <b/>
        <sz val="11"/>
        <color theme="1"/>
        <rFont val="Calibri"/>
        <family val="2"/>
        <scheme val="minor"/>
      </rPr>
      <t>in leaf n°6</t>
    </r>
  </si>
  <si>
    <r>
      <t>Number of mitochondria from xylem parenchyma cells</t>
    </r>
    <r>
      <rPr>
        <b/>
        <sz val="11"/>
        <color theme="1"/>
        <rFont val="Calibri"/>
        <family val="2"/>
        <scheme val="minor"/>
      </rPr>
      <t xml:space="preserve"> in leaf n°6</t>
    </r>
  </si>
  <si>
    <r>
      <t>Number of mitochondria</t>
    </r>
    <r>
      <rPr>
        <b/>
        <sz val="11"/>
        <color theme="1"/>
        <rFont val="Calibri"/>
        <family val="2"/>
        <scheme val="minor"/>
      </rPr>
      <t xml:space="preserve"> in leaf n°6</t>
    </r>
    <r>
      <rPr>
        <sz val="11"/>
        <color theme="1"/>
        <rFont val="Calibri"/>
        <family val="2"/>
        <scheme val="minor"/>
      </rPr>
      <t xml:space="preserve"> (ab+ad+PM+SM+ stomata)</t>
    </r>
  </si>
  <si>
    <t>VPD</t>
  </si>
  <si>
    <t>Vapor pressure deficit</t>
  </si>
  <si>
    <t>RH</t>
  </si>
  <si>
    <t>Relative humidity</t>
  </si>
  <si>
    <r>
      <t>Total ER volume per g LFW (</t>
    </r>
    <r>
      <rPr>
        <b/>
        <sz val="11"/>
        <color theme="1"/>
        <rFont val="Calibri"/>
        <family val="2"/>
        <scheme val="minor"/>
      </rPr>
      <t>mesophyll and epidermal pavement cells</t>
    </r>
    <r>
      <rPr>
        <sz val="11"/>
        <color theme="1"/>
        <rFont val="Calibri"/>
        <family val="2"/>
        <scheme val="minor"/>
      </rPr>
      <t>)</t>
    </r>
  </si>
  <si>
    <r>
      <t>Total Golgi volume per g LFW (</t>
    </r>
    <r>
      <rPr>
        <b/>
        <sz val="11"/>
        <color theme="1"/>
        <rFont val="Calibri"/>
        <family val="2"/>
        <scheme val="minor"/>
      </rPr>
      <t>Epidermal pavement cells and mesophyll cells</t>
    </r>
    <r>
      <rPr>
        <sz val="11"/>
        <color theme="1"/>
        <rFont val="Calibri"/>
        <family val="2"/>
        <scheme val="minor"/>
      </rPr>
      <t>)</t>
    </r>
  </si>
  <si>
    <r>
      <t xml:space="preserve">Total mitochondrial volume in leaf n°6 </t>
    </r>
    <r>
      <rPr>
        <b/>
        <sz val="11"/>
        <color theme="1"/>
        <rFont val="Calibri"/>
        <family val="2"/>
        <scheme val="minor"/>
      </rPr>
      <t>(epidermal pavement cells and mesophyll cells)</t>
    </r>
  </si>
  <si>
    <r>
      <t>Total mitochondria volume per g Leaf fresh weight</t>
    </r>
    <r>
      <rPr>
        <b/>
        <sz val="11"/>
        <color theme="1"/>
        <rFont val="Calibri"/>
        <family val="2"/>
        <scheme val="minor"/>
      </rPr>
      <t xml:space="preserve"> (Epidermal pavement cells and mesophyll cells)</t>
    </r>
  </si>
  <si>
    <r>
      <t>Total nuclear volume per g LFW (</t>
    </r>
    <r>
      <rPr>
        <b/>
        <sz val="11"/>
        <color theme="1"/>
        <rFont val="Calibri"/>
        <family val="2"/>
        <scheme val="minor"/>
      </rPr>
      <t>all cells, except phloem parenchyma cells</t>
    </r>
    <r>
      <rPr>
        <sz val="11"/>
        <color theme="1"/>
        <rFont val="Calibri"/>
        <family val="2"/>
        <scheme val="minor"/>
      </rPr>
      <t>)</t>
    </r>
  </si>
  <si>
    <r>
      <t xml:space="preserve">Total peroxisome volume in leaf n°6 </t>
    </r>
    <r>
      <rPr>
        <b/>
        <sz val="11"/>
        <color theme="1"/>
        <rFont val="Calibri"/>
        <family val="2"/>
        <scheme val="minor"/>
      </rPr>
      <t>(Epidermal pavement cells and mesophyll cells)</t>
    </r>
  </si>
  <si>
    <r>
      <t xml:space="preserve">Total peroxisome volume per g Leaf Fresh Weight </t>
    </r>
    <r>
      <rPr>
        <b/>
        <sz val="11"/>
        <color theme="1"/>
        <rFont val="Calibri"/>
        <family val="2"/>
        <scheme val="minor"/>
      </rPr>
      <t>(Epidermal pavement cells and mesophyll cells)</t>
    </r>
  </si>
  <si>
    <r>
      <t>total volume of vacuole in leaf n°6 (</t>
    </r>
    <r>
      <rPr>
        <b/>
        <sz val="11"/>
        <color theme="1"/>
        <rFont val="Calibri"/>
        <family val="2"/>
        <scheme val="minor"/>
      </rPr>
      <t>Epidermal pavement cells and mesophyll cells</t>
    </r>
    <r>
      <rPr>
        <sz val="11"/>
        <color theme="1"/>
        <rFont val="Calibri"/>
        <family val="2"/>
        <scheme val="minor"/>
      </rPr>
      <t>)</t>
    </r>
  </si>
  <si>
    <r>
      <t>Total volume of vacuole (</t>
    </r>
    <r>
      <rPr>
        <b/>
        <sz val="11"/>
        <color theme="1"/>
        <rFont val="Calibri"/>
        <family val="2"/>
        <scheme val="minor"/>
      </rPr>
      <t>Epidermal pavement cells and mesophyll cells</t>
    </r>
    <r>
      <rPr>
        <sz val="11"/>
        <color theme="1"/>
        <rFont val="Calibri"/>
        <family val="2"/>
        <scheme val="minor"/>
      </rPr>
      <t>) per g LFW</t>
    </r>
  </si>
  <si>
    <t>Long-day light regime, 16H light, 166 µmol photons/m^2/s, 22°C, 72% RH, 0.65 VPD</t>
  </si>
  <si>
    <t>Long-day light regime, 16H light, 166  µmol/m^2/s, 22°C, ND RH</t>
  </si>
  <si>
    <t>Long-day light regime, 16H light, 166 µmol photons/m^2/s, 22°C, 72% RH</t>
  </si>
  <si>
    <t>Long-day light regime, 14H light, 166 µmol quanta/m^2/s, 22°C, 20°C, 72% RH</t>
  </si>
  <si>
    <t>Palisade cell density</t>
  </si>
  <si>
    <t>Kawade_2017_PMID 28926847</t>
  </si>
  <si>
    <t>µm2</t>
  </si>
  <si>
    <t>Spongy mesophyll cell radius</t>
  </si>
  <si>
    <t>cm^2</t>
  </si>
  <si>
    <t>Long-day light regime, 16 H light, 80 µmol photons/m^2/s, 22/18 °C, 40/70 RH</t>
  </si>
  <si>
    <t>Stomata complex surface is assumed to be the same on both epidermis side</t>
  </si>
  <si>
    <t>Ahuja_2021_PMID_33503919</t>
  </si>
  <si>
    <t>17 day-old rosette leaf</t>
  </si>
  <si>
    <t>Pictures in Fig. 10C were used for measurements</t>
  </si>
  <si>
    <t xml:space="preserve">This value was obtained from Fig 1 in Kawade _2017 (average of  3 cells). This value is close to the value of 14.4  published for old cotyledons (Zhang_2011_PMID_21284861
</t>
  </si>
  <si>
    <t>leaves of 30-day-old plants</t>
  </si>
  <si>
    <t>ND</t>
  </si>
  <si>
    <t xml:space="preserve">The pavement cells were modelled as jigsaw puzzle pieces with vertical sides </t>
  </si>
  <si>
    <t>Assuming the spongy mesophyll cell is a sphere of radius 24 µm</t>
  </si>
  <si>
    <t>Assuming the spongy mesophyll cell is a sphere with a volume of 60 000 µm^3 r is then 24 µm</t>
  </si>
  <si>
    <t>Oblate spheroid surface</t>
  </si>
  <si>
    <t xml:space="preserve">Palisade cells are modelled as a cylinder with two half oblate spheroid ends; we assumed the height of the cylinder is 50 µm and the half vertical radius of the oblate sphreroid is 5 µm based on estimation from the data in Wuyts_2012_PMID_22471732. The radius of the cell was adjusted to 23.7 µm to obtain the average volume of 100 pL as measured in Wuyts_2012_PMID_22471732. </t>
  </si>
  <si>
    <t>The two ends of the palisade cell are modeled as two half spheroids; the surface area is calculated with the Knud Thomsen's formula :4.Pi ((r^1.6075*r^1.6075+2*r^1.6075*c^1.6075)/3)^(1/1.6075) with c the vertical radius of the oblate spheroid.</t>
  </si>
  <si>
    <t>The surface of the palisade cells  is the sum of the surface of a cylinder of height 50 µM and of radius 23.7 µm and the surface of two half oblate spheroids with radius 23.7 µm,  23.7 µm and 5 µm (vertical axis).</t>
  </si>
  <si>
    <t>Phloem companion cell section (minor veins, excluding cell wall)</t>
  </si>
  <si>
    <t>Phloem parenchyma cell section (minor veins, excluding cell wall)</t>
  </si>
  <si>
    <t>Phloem companion cell internal radius (excluding cell wall)</t>
  </si>
  <si>
    <t>Phloem parenchyma cell internal radius (excluding cell wall)</t>
  </si>
  <si>
    <t>Xylem parenchyma cell internal radius (excluding cell wall)</t>
  </si>
  <si>
    <t>Phloem sieve element cell internal radius (excluding cell wall)</t>
  </si>
  <si>
    <t>Xylem tracheary element internal radius (excluding cell wall)</t>
  </si>
  <si>
    <t>Fig3B shows highly variable phloem cells cross sections with values ranging from 1 µm^2 (close to cambial cells) to 35 µm^2 on the opposite side for a total of approximately 1630 µm^2 and 212 cells. Average cross section is  7,7 µm^2 close to the value reported for minor veins (10 µm^2). Due to the presence of young cells, precise identification of the cell types (sieve elements, phloem parenchyma and companion cells) was not possible.  To simplify calculations we assumed phloem parenchyma cells cross-section in primary vein is the same as in higher order veins.</t>
  </si>
  <si>
    <t>Supplementary Fig S2B in Nguyen_2018_PMID_30228123 shows a mid-rib sieve element cross section of 28.3 µm^2 (single observation); Cayla_2014_PMID_25714357 indicates a diameter of 3-4 µm in large veins (7-13 µm^2; Sieve elements could not be precisely identified in Fig3B in Nguyen_2018_PMID_30228123. To simplify calculations we assumed phloem parenchyma cells cross-section in primary vein is the same as in higher order veins.</t>
  </si>
  <si>
    <t>See Fig. 3B in Nguyen_2018_PMID_30228123;cells section are highly variable. Total  XPC cells section was 2330 µm^2 for 116 cells  i.e. 20 µm^2 per cell on average. This value is close to the value measured for higher order viens (21 µm).  To simplify calculations we assumed xylem parenchyma cells cross-section in primary vein is the same as in higher order veins.</t>
  </si>
  <si>
    <t>To simplify calculations we assumed xylem tracheary elements cross section, excluding cell walls in primary vein is the same as in higher order veins.</t>
  </si>
  <si>
    <t xml:space="preserve">               1st vein: 
      cells cross-section</t>
  </si>
  <si>
    <t>Phloem parenchyma single cell volume (primary vein, excluding cell wall)</t>
  </si>
  <si>
    <t>Phloem companion single cell volume (primary vein, excluding cell wall)</t>
  </si>
  <si>
    <t>Cambial single cell volume  (primary vein, excluding cell wall)</t>
  </si>
  <si>
    <t>Xylem parenchyma single cell volume (primary vein, excluding cell wall)</t>
  </si>
  <si>
    <t xml:space="preserve">         Primary vein: 
     Cells number per leaf</t>
  </si>
  <si>
    <t xml:space="preserve">          Secondary veins: 
     Cells number per leaf</t>
  </si>
  <si>
    <t xml:space="preserve">  
            Minor veins:
     Cells number per leaf</t>
  </si>
  <si>
    <t xml:space="preserve">                   Minor veins :
       cells number per cross-section</t>
  </si>
  <si>
    <t xml:space="preserve">              Secondary veins :
      cells number per cross-section</t>
  </si>
  <si>
    <t xml:space="preserve">               Primary vein: 
     cells number per cross-section</t>
  </si>
  <si>
    <t>Bundle sheath cell cross-section (primary vein, excluding cell wall)</t>
  </si>
  <si>
    <t>Cambial cell cross-section (primary vein, excluding cell wall)</t>
  </si>
  <si>
    <t>Phloem companion cell cross-section (primary vein, excluding cell wall)</t>
  </si>
  <si>
    <t>Phloem parenchyma cell cross-section (primary vein, excluding cell wal)</t>
  </si>
  <si>
    <t>Xylem parenchyma cell cross-section (primary vein, excluding cell wall)</t>
  </si>
  <si>
    <t>Bundle sheath cell cross-section (secondary vein, excluding cell wall)</t>
  </si>
  <si>
    <t>Cambial cell cross-section (secondary vein, excluding cell wall)</t>
  </si>
  <si>
    <t>Phloem companion cell cross-section (secondary vein, excluding cell wall)</t>
  </si>
  <si>
    <t>Phloem parenchyma cell cross-section (secondary vein, excluding cell wall)</t>
  </si>
  <si>
    <t>Xylem parenchyma cell cross-section (secondary vein, excluding cell wall)</t>
  </si>
  <si>
    <t>Bundle sheath cell section (minor veins, excluding cell wall)</t>
  </si>
  <si>
    <t>Cambial cell section (minor veins, excluding cell wall)</t>
  </si>
  <si>
    <t>Major vein cells and bundle sheath cells cellular volumes</t>
  </si>
  <si>
    <t>(cell cross section, excluding cell wall) x (cell length)</t>
  </si>
  <si>
    <t>Bundle sheath single cell volume (primary vein, excluding cell wall)</t>
  </si>
  <si>
    <t>Secondary veins cells and bundle sheath cells volumes</t>
  </si>
  <si>
    <t>Bundle sheath cell volume (secondary veins, excluding cell wall)</t>
  </si>
  <si>
    <t>Cambial cell volume (secondary veins, excluding cell wall)</t>
  </si>
  <si>
    <t>Phloem companion cell volume (secondary veins, excluding cell wall)</t>
  </si>
  <si>
    <t>Phloem parenchyma cell volume (secondary veins, excluding cell wall)</t>
  </si>
  <si>
    <t>Phloem sieve element cell volume  (secondary veins, excluding cell wall)</t>
  </si>
  <si>
    <t>Xylem parenchyma cell volume  (secondary veins, excluding cell wall)</t>
  </si>
  <si>
    <t>Xylem tracheary element lumen section (secondary veins, excluding cell wall)</t>
  </si>
  <si>
    <r>
      <t>Minor veins (</t>
    </r>
    <r>
      <rPr>
        <b/>
        <i/>
        <sz val="11"/>
        <color theme="1"/>
        <rFont val="Calibri"/>
        <family val="2"/>
        <scheme val="minor"/>
      </rPr>
      <t>i.e</t>
    </r>
    <r>
      <rPr>
        <b/>
        <sz val="11"/>
        <color theme="1"/>
        <rFont val="Calibri"/>
        <family val="2"/>
        <scheme val="minor"/>
      </rPr>
      <t>. 3rd and higher order veins)  cells and bundle sheath cells volumes</t>
    </r>
  </si>
  <si>
    <t>Bundle sheath cell volume (Minor veins, excluding cell wall)</t>
  </si>
  <si>
    <t>Cambial cell volume (Minor veins, excluding cell wall)</t>
  </si>
  <si>
    <t>Phloem companion cell volume (Minor veins, excluding cell wall)</t>
  </si>
  <si>
    <t>Phloem parenchyma cell volume (Minor veins, excluding cell wall)</t>
  </si>
  <si>
    <t>Phloem sieve element cell volume  (Minor veins, excluding cell wall)</t>
  </si>
  <si>
    <t>Xylem parenchyma cell volume  (Minor veins, excluding cell wall)</t>
  </si>
  <si>
    <t>Xylem tracheary element lumen section (Minor veins, excluding cell wall)</t>
  </si>
  <si>
    <t xml:space="preserve">            Total veins
    cells number per leaf</t>
  </si>
  <si>
    <t>Primary vein total cells cellular volumes in one leaf n°6</t>
  </si>
  <si>
    <t>Cambial cell volume in leaf n°6 primary vein (excluding cell wall)</t>
  </si>
  <si>
    <t>Phloem companion cell volume in leaf n°6 primary vein (excluding cell wall)</t>
  </si>
  <si>
    <t>Phloem parenchyma cell volume in leaf n°6 primary vein (excluding cell wall)</t>
  </si>
  <si>
    <t>Xylem parenchyma cell volume in leaf n°6 primary vein (excluding cell wall)</t>
  </si>
  <si>
    <t>Xylem tracheary element lumen volume in leaf n°6 primary vein (excluding cell wall)</t>
  </si>
  <si>
    <t>Bundle sheath cells volume in leaf n°6 secondary vein (excluding cell wall)</t>
  </si>
  <si>
    <t>Cambial cell volume in leaf n°6 secondary vein (excluding cell wall)</t>
  </si>
  <si>
    <t>Phloem companion cell volume in leaf n°6 secondary veins (excluding cell wall)</t>
  </si>
  <si>
    <t>Phloem parenchyma cell volume in leaf n°6 secondary veins (excluding cell wall)</t>
  </si>
  <si>
    <t>Xylem parenchyma cell volume in leaf n°6 secondary veins (excluding cell wall)</t>
  </si>
  <si>
    <t>Bundle sheath cells volume in leaf n°6 minor vein (excluding cell wall)</t>
  </si>
  <si>
    <t>Cambial cell volume in leaf n°6 minor veins (excluding cell wall)</t>
  </si>
  <si>
    <t>Phloem companion cell volume in leaf n°6 minor veins (excluding cell wall)</t>
  </si>
  <si>
    <t>Phloem parenchyma cell volume in leaf n°6 minor veins (excluding cell wall)</t>
  </si>
  <si>
    <t>Xylem parenchyma cell volume in leaf n°6 minor veins (excluding cell wall)</t>
  </si>
  <si>
    <t>Bundle sheath cells volume in leaf n°6 (excluding cell wall)</t>
  </si>
  <si>
    <t>Cambial cell volume in leaf n°6 (excluding cell wall)</t>
  </si>
  <si>
    <t>Phloem companion cell volume in leaf n°6 (excluding cell wall)</t>
  </si>
  <si>
    <t>Phloem parenchyma cell volume in leaf n°6 (excluding cell wall)</t>
  </si>
  <si>
    <t>Xylem parenchyma cell volume in leaf n°6 (excluding cell wall)</t>
  </si>
  <si>
    <t>Bundle sheath cells volume (excluding cell wall) per g FW leaf n°6</t>
  </si>
  <si>
    <t>Cambiale cell volume  (excluding cell wall) per g FW leaf n°6</t>
  </si>
  <si>
    <t>Phloem companion cell volume  (excluding cell wall) per g FW leaf n°6</t>
  </si>
  <si>
    <t>Phloem parenchyma cell volume  (excluding cell wall) per g FW leaf n°6</t>
  </si>
  <si>
    <t>Phloem sieve element cell volume (excluding cell wall) per g FW leaf n°6</t>
  </si>
  <si>
    <t>Xylem parenchyma cell volume  (excluding cell wall) per g FW leaf n°6</t>
  </si>
  <si>
    <t>Xylem treachary element volume (excluding cell wall) per g FW leaf n°6</t>
  </si>
  <si>
    <t>Phloem parenchyma cell volume (excluding cell wall) per m^2 (all vein orders)</t>
  </si>
  <si>
    <t>Phloem companion cell volume (excluding cell wall) per m^2 (all vein orders)</t>
  </si>
  <si>
    <t>Cambial cells volume (excluding cell wall) per m^2 (all vein orders)</t>
  </si>
  <si>
    <t>Bundle sheath cell volume (excluding cell wall) per m^2 (2nd to 5th order vein)</t>
  </si>
  <si>
    <t>Xylem parenchyma cell volume (excluding cell wall) per m^2 (all vein orders)</t>
  </si>
  <si>
    <t>Xylem tracheary element LUMEN volume  (excluding cell wall) per m^2 (all vein orders)</t>
  </si>
  <si>
    <t>Phloem sieve element cell volume (excluding cell wall) per m^2 (all vein orders)</t>
  </si>
  <si>
    <t>Cambial cells volume (excluding cell wall) per m^2 (2nd and higher order veins)</t>
  </si>
  <si>
    <t>Phloem companion cell volume (excluding cell wall) per m^2 (2nd and higher order veins)</t>
  </si>
  <si>
    <t>Phloem parenchyma cell volume (excluding cell wall) per m^2 (2nd and higher order veins)</t>
  </si>
  <si>
    <t>Phloem sieve element cell volume (excluding cell wall) per m^2 (2nd and higher order veins)</t>
  </si>
  <si>
    <t>Xylem parenchyma cell volume (excluding cell wall) per m^2 (2nd and higher order veins)</t>
  </si>
  <si>
    <t>Xylem tracheary element volume (excluding cell wall) per m^2 (2nd and higher order veins)</t>
  </si>
  <si>
    <t>Palisadic cell volume (one cylinder + 2 oblate spheroid caps)</t>
  </si>
  <si>
    <t>Spongy mesophyll cell modeled as a sphere with a total volume of 60 pL (excluding cell wall)</t>
  </si>
  <si>
    <t>Height of cylinder</t>
  </si>
  <si>
    <t>Total Spongy cell surface per leaf 6</t>
  </si>
  <si>
    <t>µm^2/mm^2</t>
  </si>
  <si>
    <t>Bundle sheath cells section, excluding cell wall</t>
  </si>
  <si>
    <t>Bundle sheath cell radius, excluding cell wall</t>
  </si>
  <si>
    <t>Bundle sheath cell is modeled as a cylinder</t>
  </si>
  <si>
    <t>Total Spongy cell surface per mm^2 of leaf 6</t>
  </si>
  <si>
    <t>Phloem parenchyma cell section (assumed identical for all vein orders, excluding cell wall)</t>
  </si>
  <si>
    <t>Phloem sieve element cell section (assumed identical for all vein orders, excluding cell wall)</t>
  </si>
  <si>
    <t>Xylem parenchyma cell section (assumed identical for all vein orders, excluding cell wall)</t>
  </si>
  <si>
    <t>Xylem tracheary element lumen section (assumed identical for all vein orders, excluding cell wall)</t>
  </si>
  <si>
    <t>Phloem companion cell section (assumed identical for all vein orders, excluding cell wall)</t>
  </si>
  <si>
    <t xml:space="preserve">       Bundle sheath cells 
      surface metrics</t>
  </si>
  <si>
    <t xml:space="preserve">      Palisade mesophyll cells
       surface metrics</t>
  </si>
  <si>
    <t xml:space="preserve">          Spongy  
      mesophyll cells
     surface metrics</t>
  </si>
  <si>
    <t>µm^2 per leaf 6</t>
  </si>
  <si>
    <t>Tracheary elements are devoid of plasma membrane</t>
  </si>
  <si>
    <t>Total granal membrane area (one grana)</t>
  </si>
  <si>
    <t>See Table S1.2</t>
  </si>
  <si>
    <t>% of leaf surface occupied by stomata complexes in the adaxial epidermis</t>
  </si>
  <si>
    <t xml:space="preserve">We assumed the same value as measured for abaxial epidermal pavement cells
</t>
  </si>
  <si>
    <t>Stomatal abaxial (bottom) cells  density</t>
  </si>
  <si>
    <t>Palisade cell modelled as a cylinder with two oblate spheroid caps with total volume of 100 pL (excluding cell wall)</t>
  </si>
  <si>
    <t>µl per leaf 6</t>
  </si>
  <si>
    <t>Total AQUEOUS volume in leaf n°6 (cell volume including vein cells and apoplast liquid fluid)</t>
  </si>
  <si>
    <t>Fig3B shows highly variable phloem cells cross sections with values ranging from 1 µm^2 (close to cambial cells) to 35 µm^2 on the opposite side for a total of approximately 1630 µm^2 and 212 cells. Average cross section is  7.7 µm^2 close to the value reported for minor veins (10 µm^2). Due to the presence of young cells, precise identification of the cell types (sieve elements, phloem parenchyma and companion cells) was not possible. To simplify calculations we assumed phloem companion cells cross-section in primary vein is the same as in higher order veins.</t>
  </si>
  <si>
    <t>total phloem cell volume in leaf n°6 minor veins (excluding cell wall)</t>
  </si>
  <si>
    <t>total xylem cell volume in leaf n°6 minor veins (excluding cell wall)</t>
  </si>
  <si>
    <t>Total vessel cells volume in leaf n°6 minor veins (3rd,4th,5th orders) excluding cell walls.</t>
  </si>
  <si>
    <t xml:space="preserve">        minor veins: 
                cells 
       cross-section</t>
  </si>
  <si>
    <t xml:space="preserve">             2nd veins: 
               cells
        cross-section</t>
  </si>
  <si>
    <t>Xylem parenchyma cell section (minor veins, excluding cell wall)</t>
  </si>
  <si>
    <t>Total PCC + PPC cross-sectional area per minor vein (excluding cell wall)</t>
  </si>
  <si>
    <t>Total Xylem parenchyma cross sectional area per minor vein (excluding cell wall)</t>
  </si>
  <si>
    <t xml:space="preserve">          Primary vein : 
            Individual  
         cells volume</t>
  </si>
  <si>
    <t xml:space="preserve">          Secondary
           veins : 
          individual 
        cells volume</t>
  </si>
  <si>
    <t xml:space="preserve">        Minor veins : 
       Individual cells 
           volume</t>
  </si>
  <si>
    <t xml:space="preserve">        Primary vein: 
         cells volume
       per leaf n°6</t>
  </si>
  <si>
    <t>Total vessel cell volume in primary vein</t>
  </si>
  <si>
    <t xml:space="preserve">       Secondary veins: 
  cells volume per leaf n°6</t>
  </si>
  <si>
    <t>total phloem cell volume in leaf n°6 secondary veins (excluding cell wall)</t>
  </si>
  <si>
    <t>total xylem cell volume in leaf n°6 secondary veins (excluding cell wall)</t>
  </si>
  <si>
    <t>Total vessel cell volume in secondary veins (excluding cell walls)</t>
  </si>
  <si>
    <t xml:space="preserve">              Minor veins: 
              cells volume 
               per leaf n°6</t>
  </si>
  <si>
    <t xml:space="preserve">                 Total vein
               cells volume
               per leaf</t>
  </si>
  <si>
    <t xml:space="preserve">    Vessels cells volume
        per square meter
         (all vein orders)</t>
  </si>
  <si>
    <t xml:space="preserve">  Minor veins 
   cells volume
per square meter
 (2nd and &gt; vein orders)</t>
  </si>
  <si>
    <t>Total vessel cells densities (per leaf surface area, bundle sheath cells excluded)</t>
  </si>
  <si>
    <t>Total vessel cells volume per leaf m^2 (all vein orders, bundle sheath cells excluded)</t>
  </si>
  <si>
    <t>We assumed the same value for secondary veins and minor veins. A similar value (170 µm^2) is indeed obtained from Fig. 3J in Kang_2002_PMID_12447534 (cross-section of a secondary vein at day 25 ).</t>
  </si>
  <si>
    <t xml:space="preserve">   Phloem &amp; 
   Xylem 
   cross-sectional 
    area
    (minor veins)</t>
  </si>
  <si>
    <t>Cells volumes in one reference leaf n°6 (121 mm^2)- alphabetical order-excluding cell wall</t>
  </si>
  <si>
    <t>Total cellular volume in leaf n°6</t>
  </si>
  <si>
    <t>Xylem tracheary element lumen volume in leaf n°6 (all vein orders)</t>
  </si>
  <si>
    <t>Phloem sieve elements volume in one leaf n°6 (all vein orders)</t>
  </si>
  <si>
    <t>Xylem tracheary element lumen volume in leaf n°6</t>
  </si>
  <si>
    <t>Cellular leaf volume per g LFW (calculated using Microscopic data, excluding cell walls)</t>
  </si>
  <si>
    <t>Total veins cells number in leaf n°6 (1st+2nd+3rd+4th+5th), TE (dead cells) excluded</t>
  </si>
  <si>
    <t>Xylem tracheides are dead cells without any cell wall between them in the longitudinal direction. This number is calculated using the length of root young (living) tracheides, the number of tracheides per vein cross section and veins length.</t>
  </si>
  <si>
    <t>Palisadic vacuole volume (one cylinder + 2 oblate spheroid caps)</t>
  </si>
  <si>
    <t xml:space="preserve">cuole </t>
  </si>
  <si>
    <t>Palisade cells vacuole is modelled as a cylinder with two half oblate spheroid ends; the parameters (height of the cylinder, half vertical radius of the oblate sphreroid, radius of the cylinder) were adjusted to fit inside a palisade cell (100 pL see Table S1.1) and to obtain the average volume of palisade cell (84.3 pL, see Table S1.1).</t>
  </si>
  <si>
    <t>Palisade cell vacuole radius</t>
  </si>
  <si>
    <t>Palisade cell vacuole oblate spheroid radius</t>
  </si>
  <si>
    <t>Spongy mesophyll cell vacuole volume</t>
  </si>
  <si>
    <t>Spongy cell vacuole is modeled as a sphere with a volume of 47.5 pL (47 500 fL or µm^3)</t>
  </si>
  <si>
    <t>Spongy mesophyll cell vacuole radius (modelled as a sphere)</t>
  </si>
  <si>
    <t>Spongy mesophyll cell density</t>
  </si>
  <si>
    <t>See Comment</t>
  </si>
  <si>
    <t>See Supplementary Dataset S2</t>
  </si>
  <si>
    <t>See Table S1.1 and Table S1.6</t>
  </si>
  <si>
    <t>Internet: the source of the experimental data is unclear</t>
  </si>
  <si>
    <t>Total peripheries (perimeter of one granum x number of granum per stack)</t>
  </si>
  <si>
    <t>The surface of one chloroplast was multiplied by the number of chloroplasts from mesophyll cell in leaf number 6</t>
  </si>
  <si>
    <t>Cotyledons, T96; Supplemental data elife-62709-fig4-data1 line#C39; In Pipitone_2021_PMID_33629953, the exposed thylakoid surface was measured and was supposed to be equal to the stacked thylakoid surface.</t>
  </si>
  <si>
    <t>The value derives from Fuchs_2020_PMID_31520498 study on heterotrophic mitochondrion. A typical value of IMM:OMM surface of 3:1 is from rat mitochondria (Schwerzmann_PMID: 2867101)</t>
  </si>
  <si>
    <t>Mitochondrion modelled as a sphere</t>
  </si>
  <si>
    <t>heterotrophic cultured cells</t>
  </si>
  <si>
    <t>cm^2 per leaf 6</t>
  </si>
  <si>
    <t>Mitochondrion radius (modelled as a sphere)</t>
  </si>
  <si>
    <t>The total thylakoid surface per chloroplast was multiplied by the total number of mesophyll chloroplasts in leaf 6</t>
  </si>
  <si>
    <t xml:space="preserve">           Adaxial (top) 
         pavement cells
        surface metrics</t>
  </si>
  <si>
    <t xml:space="preserve">         Abaxial (bottom) 
         pavement cells
         surface metrics</t>
  </si>
  <si>
    <t>Vessels cells number in leaf 6 (from Table S1.2)</t>
  </si>
  <si>
    <t>Vessel cells radius, excluding cell wall, with cells modeled as cylinders</t>
  </si>
  <si>
    <r>
      <t xml:space="preserve">Abaxial epidermal pavement cell </t>
    </r>
    <r>
      <rPr>
        <b/>
        <sz val="11"/>
        <color theme="1"/>
        <rFont val="Calibri"/>
        <family val="2"/>
        <scheme val="minor"/>
      </rPr>
      <t>cell wall volume</t>
    </r>
    <r>
      <rPr>
        <sz val="11"/>
        <color theme="1"/>
        <rFont val="Calibri"/>
        <family val="2"/>
        <scheme val="minor"/>
      </rPr>
      <t xml:space="preserve"> (one cell)</t>
    </r>
  </si>
  <si>
    <r>
      <t xml:space="preserve">Adaxial epidermal pavement cell </t>
    </r>
    <r>
      <rPr>
        <b/>
        <sz val="11"/>
        <color theme="1"/>
        <rFont val="Calibri"/>
        <family val="2"/>
        <scheme val="minor"/>
      </rPr>
      <t>cell wall volume</t>
    </r>
    <r>
      <rPr>
        <sz val="11"/>
        <color theme="1"/>
        <rFont val="Calibri"/>
        <family val="2"/>
        <scheme val="minor"/>
      </rPr>
      <t xml:space="preserve"> (one cell)</t>
    </r>
  </si>
  <si>
    <r>
      <t xml:space="preserve">Bundle sheath cell </t>
    </r>
    <r>
      <rPr>
        <b/>
        <sz val="11"/>
        <color theme="1"/>
        <rFont val="Calibri"/>
        <family val="2"/>
        <scheme val="minor"/>
      </rPr>
      <t>cell wall volume</t>
    </r>
    <r>
      <rPr>
        <sz val="11"/>
        <color theme="1"/>
        <rFont val="Calibri"/>
        <family val="2"/>
        <scheme val="minor"/>
      </rPr>
      <t xml:space="preserve"> (one cell)</t>
    </r>
  </si>
  <si>
    <r>
      <t xml:space="preserve">Palisade mesophyll cell </t>
    </r>
    <r>
      <rPr>
        <b/>
        <sz val="11"/>
        <color theme="1"/>
        <rFont val="Calibri"/>
        <family val="2"/>
        <scheme val="minor"/>
      </rPr>
      <t>cell wall volume</t>
    </r>
    <r>
      <rPr>
        <sz val="11"/>
        <color theme="1"/>
        <rFont val="Calibri"/>
        <family val="2"/>
        <scheme val="minor"/>
      </rPr>
      <t xml:space="preserve"> (one cell)</t>
    </r>
  </si>
  <si>
    <r>
      <t xml:space="preserve">Spongy mesophyll cell </t>
    </r>
    <r>
      <rPr>
        <b/>
        <sz val="11"/>
        <color theme="1"/>
        <rFont val="Calibri"/>
        <family val="2"/>
        <scheme val="minor"/>
      </rPr>
      <t>cell wall volume</t>
    </r>
    <r>
      <rPr>
        <sz val="11"/>
        <color theme="1"/>
        <rFont val="Calibri"/>
        <family val="2"/>
        <scheme val="minor"/>
      </rPr>
      <t xml:space="preserve"> (one cell)</t>
    </r>
  </si>
  <si>
    <t>Phloem companion cell surface (one cell)</t>
  </si>
  <si>
    <t>Phloem parenchyma cell surface (one cell)</t>
  </si>
  <si>
    <t>Phloem sieve element cell surface (one cell)</t>
  </si>
  <si>
    <t>Xylem parenchyma cell surface (one cell)</t>
  </si>
  <si>
    <t>Xylem tracheary element surface (one cell)</t>
  </si>
  <si>
    <t>Vessels cells surface per leaf 6</t>
  </si>
  <si>
    <t xml:space="preserve">                                                   Vessel cells surface metrics</t>
  </si>
  <si>
    <r>
      <rPr>
        <b/>
        <sz val="11"/>
        <color theme="1"/>
        <rFont val="Calibri"/>
        <family val="2"/>
        <scheme val="minor"/>
      </rPr>
      <t>Small radius</t>
    </r>
    <r>
      <rPr>
        <sz val="11"/>
        <color theme="1"/>
        <rFont val="Calibri"/>
        <family val="2"/>
        <scheme val="minor"/>
      </rPr>
      <t xml:space="preserve"> of two guard cells modeled as a tore (radius of the cell), cell wall excluded</t>
    </r>
  </si>
  <si>
    <r>
      <rPr>
        <b/>
        <sz val="11"/>
        <color theme="1"/>
        <rFont val="Calibri"/>
        <family val="2"/>
        <scheme val="minor"/>
      </rPr>
      <t>Large radius</t>
    </r>
    <r>
      <rPr>
        <sz val="11"/>
        <color theme="1"/>
        <rFont val="Calibri"/>
        <family val="2"/>
        <scheme val="minor"/>
      </rPr>
      <t xml:space="preserve"> of two guard cells modeled as a tore (from pore center to cell center)</t>
    </r>
  </si>
  <si>
    <t>Stomatal adaxial (top) cells density</t>
  </si>
  <si>
    <r>
      <t xml:space="preserve">Total bundle sheath </t>
    </r>
    <r>
      <rPr>
        <b/>
        <sz val="11"/>
        <color theme="1"/>
        <rFont val="Calibri"/>
        <family val="2"/>
        <scheme val="minor"/>
      </rPr>
      <t>cell surface</t>
    </r>
    <r>
      <rPr>
        <sz val="11"/>
        <color theme="1"/>
        <rFont val="Calibri"/>
        <family val="2"/>
        <scheme val="minor"/>
      </rPr>
      <t xml:space="preserve"> per mm^2 of leaf 6</t>
    </r>
  </si>
  <si>
    <r>
      <t>Total bundle sheath</t>
    </r>
    <r>
      <rPr>
        <b/>
        <sz val="11"/>
        <color theme="1"/>
        <rFont val="Calibri"/>
        <family val="2"/>
        <scheme val="minor"/>
      </rPr>
      <t xml:space="preserve"> cell surface</t>
    </r>
    <r>
      <rPr>
        <sz val="11"/>
        <color theme="1"/>
        <rFont val="Calibri"/>
        <family val="2"/>
        <scheme val="minor"/>
      </rPr>
      <t xml:space="preserve"> per leaf 6</t>
    </r>
  </si>
  <si>
    <r>
      <t xml:space="preserve">Total Palisade </t>
    </r>
    <r>
      <rPr>
        <b/>
        <sz val="11"/>
        <color theme="1"/>
        <rFont val="Calibri"/>
        <family val="2"/>
        <scheme val="minor"/>
      </rPr>
      <t>cell surface</t>
    </r>
    <r>
      <rPr>
        <sz val="11"/>
        <color theme="1"/>
        <rFont val="Calibri"/>
        <family val="2"/>
        <scheme val="minor"/>
      </rPr>
      <t xml:space="preserve"> per leaf 6</t>
    </r>
  </si>
  <si>
    <r>
      <t xml:space="preserve">Total Palisade </t>
    </r>
    <r>
      <rPr>
        <b/>
        <sz val="11"/>
        <color theme="1"/>
        <rFont val="Calibri"/>
        <family val="2"/>
        <scheme val="minor"/>
      </rPr>
      <t>cell surface</t>
    </r>
    <r>
      <rPr>
        <sz val="11"/>
        <color theme="1"/>
        <rFont val="Calibri"/>
        <family val="2"/>
        <scheme val="minor"/>
      </rPr>
      <t xml:space="preserve"> per mm^2 of leaf 6</t>
    </r>
  </si>
  <si>
    <r>
      <t>Palisadic</t>
    </r>
    <r>
      <rPr>
        <b/>
        <sz val="11"/>
        <color theme="1"/>
        <rFont val="Calibri"/>
        <family val="2"/>
        <scheme val="minor"/>
      </rPr>
      <t xml:space="preserve"> cell surface</t>
    </r>
    <r>
      <rPr>
        <sz val="11"/>
        <color theme="1"/>
        <rFont val="Calibri"/>
        <family val="2"/>
        <scheme val="minor"/>
      </rPr>
      <t xml:space="preserve"> (one cell)</t>
    </r>
  </si>
  <si>
    <t>Spongy mesophyll cell surface (one cell)</t>
  </si>
  <si>
    <t>Phloem companion cell surface per leaf 6</t>
  </si>
  <si>
    <t>Phloem parenchyma cell surface per leaf 6</t>
  </si>
  <si>
    <t>Phloem sieve element cell surface per leaf 6</t>
  </si>
  <si>
    <t>Xylem parenchyma cell surface per leaf 6</t>
  </si>
  <si>
    <t>Xylem tracheary element surface per leaf 6</t>
  </si>
  <si>
    <t>Phloem companion cell surface per mm^2 of leaf 6</t>
  </si>
  <si>
    <t>Phloem parenchyma cell surface per mm^2 of leaf 6</t>
  </si>
  <si>
    <t>Phloem sieve element cell surface per mm^2 of leaf 6</t>
  </si>
  <si>
    <t>Xylem parenchyma cell surface per mm^2 of leaf 6</t>
  </si>
  <si>
    <t>Xylem tracheary element surface per mm^2 of leaf 6</t>
  </si>
  <si>
    <r>
      <t>Phloem companion cell,</t>
    </r>
    <r>
      <rPr>
        <b/>
        <sz val="11"/>
        <color theme="1"/>
        <rFont val="Calibri"/>
        <family val="2"/>
        <scheme val="minor"/>
      </rPr>
      <t xml:space="preserve"> cell wall volume</t>
    </r>
    <r>
      <rPr>
        <sz val="11"/>
        <color theme="1"/>
        <rFont val="Calibri"/>
        <family val="2"/>
        <scheme val="minor"/>
      </rPr>
      <t xml:space="preserve"> (one cell)</t>
    </r>
  </si>
  <si>
    <r>
      <t xml:space="preserve">Phloem parenchyma cell, </t>
    </r>
    <r>
      <rPr>
        <b/>
        <sz val="11"/>
        <color theme="1"/>
        <rFont val="Calibri"/>
        <family val="2"/>
        <scheme val="minor"/>
      </rPr>
      <t>cell wall volume</t>
    </r>
    <r>
      <rPr>
        <sz val="11"/>
        <color theme="1"/>
        <rFont val="Calibri"/>
        <family val="2"/>
        <scheme val="minor"/>
      </rPr>
      <t xml:space="preserve"> (one cell)</t>
    </r>
  </si>
  <si>
    <r>
      <t xml:space="preserve">Phloem sieve element, </t>
    </r>
    <r>
      <rPr>
        <b/>
        <sz val="11"/>
        <color theme="1"/>
        <rFont val="Calibri"/>
        <family val="2"/>
        <scheme val="minor"/>
      </rPr>
      <t>cell wall volume</t>
    </r>
    <r>
      <rPr>
        <sz val="11"/>
        <color theme="1"/>
        <rFont val="Calibri"/>
        <family val="2"/>
        <scheme val="minor"/>
      </rPr>
      <t xml:space="preserve"> (one cell)</t>
    </r>
  </si>
  <si>
    <r>
      <t xml:space="preserve">Xylem parenchyma cell, </t>
    </r>
    <r>
      <rPr>
        <b/>
        <sz val="11"/>
        <color theme="1"/>
        <rFont val="Calibri"/>
        <family val="2"/>
        <scheme val="minor"/>
      </rPr>
      <t>cell wall volume</t>
    </r>
    <r>
      <rPr>
        <sz val="11"/>
        <color theme="1"/>
        <rFont val="Calibri"/>
        <family val="2"/>
        <scheme val="minor"/>
      </rPr>
      <t xml:space="preserve"> (one cell)</t>
    </r>
  </si>
  <si>
    <r>
      <t xml:space="preserve">Xylem tracheary element, </t>
    </r>
    <r>
      <rPr>
        <b/>
        <sz val="11"/>
        <color theme="1"/>
        <rFont val="Calibri"/>
        <family val="2"/>
        <scheme val="minor"/>
      </rPr>
      <t>cell wall volume</t>
    </r>
    <r>
      <rPr>
        <sz val="11"/>
        <color theme="1"/>
        <rFont val="Calibri"/>
        <family val="2"/>
        <scheme val="minor"/>
      </rPr>
      <t xml:space="preserve"> (one cell)</t>
    </r>
  </si>
  <si>
    <r>
      <t xml:space="preserve">Bundle sheath </t>
    </r>
    <r>
      <rPr>
        <b/>
        <sz val="11"/>
        <color theme="1"/>
        <rFont val="Calibri"/>
        <family val="2"/>
        <scheme val="minor"/>
      </rPr>
      <t>cell surface</t>
    </r>
    <r>
      <rPr>
        <sz val="11"/>
        <color theme="1"/>
        <rFont val="Calibri"/>
        <family val="2"/>
        <scheme val="minor"/>
      </rPr>
      <t xml:space="preserve"> (one cell)</t>
    </r>
  </si>
  <si>
    <t>Xylem tracheides are modeled as opened cylinders (absence of terminal cell wall)</t>
  </si>
  <si>
    <t>µL per leaf 6</t>
  </si>
  <si>
    <t xml:space="preserve">    Cell wall volume (per leaf 6)</t>
  </si>
  <si>
    <t xml:space="preserve">   Cell wall volume (per cell)</t>
  </si>
  <si>
    <r>
      <t xml:space="preserve">Guard cell (one cell) </t>
    </r>
    <r>
      <rPr>
        <b/>
        <sz val="11"/>
        <color theme="1"/>
        <rFont val="Calibri"/>
        <family val="2"/>
        <scheme val="minor"/>
      </rPr>
      <t>cell wall</t>
    </r>
    <r>
      <rPr>
        <sz val="11"/>
        <color theme="1"/>
        <rFont val="Calibri"/>
        <family val="2"/>
        <scheme val="minor"/>
      </rPr>
      <t>, % of internal cell volume</t>
    </r>
  </si>
  <si>
    <t>nL per mm^2 of leaf 6</t>
  </si>
  <si>
    <t>% of cell wall volume</t>
  </si>
  <si>
    <t>Stomata guard cells number (for 121 mm^2)</t>
  </si>
  <si>
    <r>
      <t xml:space="preserve">Guard cells </t>
    </r>
    <r>
      <rPr>
        <b/>
        <sz val="11"/>
        <color theme="1"/>
        <rFont val="Calibri"/>
        <family val="2"/>
        <scheme val="minor"/>
      </rPr>
      <t>cell wall volume</t>
    </r>
    <r>
      <rPr>
        <sz val="11"/>
        <color theme="1"/>
        <rFont val="Calibri"/>
        <family val="2"/>
        <scheme val="minor"/>
      </rPr>
      <t xml:space="preserve">  per mm^2 of leaf 6</t>
    </r>
  </si>
  <si>
    <t>Total leaf 6 cell wall volume per mm^2 of leaf 6</t>
  </si>
  <si>
    <t xml:space="preserve">                         Stomata guard cell
                           surface metrics</t>
  </si>
  <si>
    <t xml:space="preserve">          Cell wall volume
        (% of cell volume)</t>
  </si>
  <si>
    <t xml:space="preserve">              Cell wall volume
         (per mm^2 of leaf 6)</t>
  </si>
  <si>
    <r>
      <t>Stomata (</t>
    </r>
    <r>
      <rPr>
        <b/>
        <i/>
        <sz val="11"/>
        <color theme="1"/>
        <rFont val="Calibri"/>
        <family val="2"/>
        <scheme val="minor"/>
      </rPr>
      <t>i.e.</t>
    </r>
    <r>
      <rPr>
        <b/>
        <sz val="11"/>
        <color theme="1"/>
        <rFont val="Calibri"/>
        <family val="2"/>
        <scheme val="minor"/>
      </rPr>
      <t xml:space="preserve"> two guard cells) metrics : one guard cell modeled as a half-tore with 2 disks at extremeties</t>
    </r>
  </si>
  <si>
    <t>% of leaf surface occupied by all the stomata complexes in the abaxial epidermis of one leaf 6</t>
  </si>
  <si>
    <t>Abaxial epidermal pavement cells density</t>
  </si>
  <si>
    <t>Adaxial epidermal pavement cells density</t>
  </si>
  <si>
    <t>Vessel cells sections excluding cell wall (from Table S1.2)</t>
  </si>
  <si>
    <t>Vessel cells "internal" surface (per cell)</t>
  </si>
  <si>
    <t>Vessels cells surface per mm^2 of leaf 6</t>
  </si>
  <si>
    <t>Vacuole of epidermal cell occupies 93% of the cellular volume; to simplify we assume a surface of the tonoplast equal to the plasma membrane surface.</t>
  </si>
  <si>
    <t xml:space="preserve">                Plasma membrane areas
                           (=cells surfaces)</t>
  </si>
  <si>
    <t>Epidermal pavement cells
tonoplast area</t>
  </si>
  <si>
    <t xml:space="preserve">           Palisade
      mesophyll cells 
        tonoplast area</t>
  </si>
  <si>
    <t xml:space="preserve">      Spongy
     mesophyll 
        cells
      tonoplast
       area</t>
  </si>
  <si>
    <t xml:space="preserve">        Total 
    tonoplast
     area
   (per leaf)</t>
  </si>
  <si>
    <t>Table S1.4: membranes areas and cell wall volumes</t>
  </si>
  <si>
    <t xml:space="preserve">                  Mitochondria areas
                   (mesophyll cells only)</t>
  </si>
  <si>
    <t>Mitochondria membrane areas (mesophyll cells only)</t>
  </si>
  <si>
    <t>Outer mitochondrion membrane (OMM) area (modelled as a sphere)</t>
  </si>
  <si>
    <t>Cristae area/outer mitochondrion membrane area</t>
  </si>
  <si>
    <t>Total inner membrane area per mitochondrion</t>
  </si>
  <si>
    <t>Total outer mitochondria membrane (OMM) area per leaf 6 (mesophyll cells only), in µm^2</t>
  </si>
  <si>
    <t>Total inner mitochondria membrane (IMM) area per leaf 6 (mesophyll cells only), in µm^2</t>
  </si>
  <si>
    <t>Total outer mitochondria membrane (OMM) area per leaf 6 (mesophyll cells only), in mm^2</t>
  </si>
  <si>
    <t>Total inner mitochondria membrane (IMM) area per leaf 6 (mesophyll cells only), in mm^2</t>
  </si>
  <si>
    <t>Total outer mitochondria membrane (OMM) area per leaf 6 (mesophyll cells only), in cm^2</t>
  </si>
  <si>
    <t>Total inner mitochondria membrane (IMM) area per leaf 6 (mesophyll cells only), in cm^2</t>
  </si>
  <si>
    <t xml:space="preserve">     Chloroplasts areas</t>
  </si>
  <si>
    <t>Chloroplast areas (mesophyll cells only)</t>
  </si>
  <si>
    <t>Total thylakoid area per chloroplast</t>
  </si>
  <si>
    <t>Total mesophyll chloroplast outer membrane area per leaf 6 (in µm^2)</t>
  </si>
  <si>
    <t>Total mesophyll chloroplast outer membrane area per leaf 6 (in mm^2)</t>
  </si>
  <si>
    <t>Total mesophyll chloroplast outer membrane area per leaf 6 (in cm^2)</t>
  </si>
  <si>
    <t>(Total mesophyll cell chloroplast outer membrane area in leaf 6)/(leaf 6 area)</t>
  </si>
  <si>
    <t>Total thylakoid membrane area per leaf 6 (in µm^2)</t>
  </si>
  <si>
    <t>Total thylakoid membrane area per leaf 6 (in mm^2)</t>
  </si>
  <si>
    <t>Total thylakoid membrane area per leaf 6 (in cm^2)</t>
  </si>
  <si>
    <t>Thylakoid membrane area/leaf area</t>
  </si>
  <si>
    <t>Cell wall volume (cell surface x cell wall thickness)</t>
  </si>
  <si>
    <r>
      <t xml:space="preserve">Abaxial epidermal pavement cell </t>
    </r>
    <r>
      <rPr>
        <b/>
        <sz val="11"/>
        <color theme="1"/>
        <rFont val="Calibri"/>
        <family val="2"/>
        <scheme val="minor"/>
      </rPr>
      <t>cell wall</t>
    </r>
    <r>
      <rPr>
        <sz val="11"/>
        <color theme="1"/>
        <rFont val="Calibri"/>
        <family val="2"/>
        <scheme val="minor"/>
      </rPr>
      <t>,  % of internal cell volume</t>
    </r>
  </si>
  <si>
    <r>
      <t xml:space="preserve">Adaxial epidermal pavement cell </t>
    </r>
    <r>
      <rPr>
        <b/>
        <sz val="11"/>
        <color theme="1"/>
        <rFont val="Calibri"/>
        <family val="2"/>
        <scheme val="minor"/>
      </rPr>
      <t>cell wall</t>
    </r>
    <r>
      <rPr>
        <sz val="11"/>
        <color theme="1"/>
        <rFont val="Calibri"/>
        <family val="2"/>
        <scheme val="minor"/>
      </rPr>
      <t xml:space="preserve">  % of internal cell volume</t>
    </r>
  </si>
  <si>
    <r>
      <t xml:space="preserve">Bundle sheath cell </t>
    </r>
    <r>
      <rPr>
        <b/>
        <sz val="11"/>
        <color theme="1"/>
        <rFont val="Calibri"/>
        <family val="2"/>
        <scheme val="minor"/>
      </rPr>
      <t>cell wall</t>
    </r>
    <r>
      <rPr>
        <sz val="11"/>
        <color theme="1"/>
        <rFont val="Calibri"/>
        <family val="2"/>
        <scheme val="minor"/>
      </rPr>
      <t>, % of internal cell volume</t>
    </r>
  </si>
  <si>
    <r>
      <t xml:space="preserve">Palisade mesophyll </t>
    </r>
    <r>
      <rPr>
        <b/>
        <sz val="11"/>
        <color theme="1"/>
        <rFont val="Calibri"/>
        <family val="2"/>
        <scheme val="minor"/>
      </rPr>
      <t>cell wall</t>
    </r>
    <r>
      <rPr>
        <sz val="11"/>
        <color theme="1"/>
        <rFont val="Calibri"/>
        <family val="2"/>
        <scheme val="minor"/>
      </rPr>
      <t>, % of internal cell volume</t>
    </r>
  </si>
  <si>
    <r>
      <t xml:space="preserve">Spongy mesophyll </t>
    </r>
    <r>
      <rPr>
        <b/>
        <sz val="11"/>
        <color theme="1"/>
        <rFont val="Calibri"/>
        <family val="2"/>
        <scheme val="minor"/>
      </rPr>
      <t>cell wall</t>
    </r>
    <r>
      <rPr>
        <sz val="11"/>
        <color theme="1"/>
        <rFont val="Calibri"/>
        <family val="2"/>
        <scheme val="minor"/>
      </rPr>
      <t>, % of internal cell volume</t>
    </r>
  </si>
  <si>
    <r>
      <t xml:space="preserve">Phloem companion </t>
    </r>
    <r>
      <rPr>
        <b/>
        <sz val="11"/>
        <color theme="1"/>
        <rFont val="Calibri"/>
        <family val="2"/>
        <scheme val="minor"/>
      </rPr>
      <t>cell wall</t>
    </r>
    <r>
      <rPr>
        <sz val="11"/>
        <color theme="1"/>
        <rFont val="Calibri"/>
        <family val="2"/>
        <scheme val="minor"/>
      </rPr>
      <t>, % of internal cell volume</t>
    </r>
  </si>
  <si>
    <r>
      <t>Phloem parenchyma</t>
    </r>
    <r>
      <rPr>
        <b/>
        <sz val="11"/>
        <color theme="1"/>
        <rFont val="Calibri"/>
        <family val="2"/>
        <scheme val="minor"/>
      </rPr>
      <t xml:space="preserve"> cell wall</t>
    </r>
    <r>
      <rPr>
        <sz val="11"/>
        <color theme="1"/>
        <rFont val="Calibri"/>
        <family val="2"/>
        <scheme val="minor"/>
      </rPr>
      <t>, % of internal cell volume</t>
    </r>
  </si>
  <si>
    <r>
      <t>Phloem sieve element</t>
    </r>
    <r>
      <rPr>
        <b/>
        <sz val="11"/>
        <color theme="1"/>
        <rFont val="Calibri"/>
        <family val="2"/>
        <scheme val="minor"/>
      </rPr>
      <t xml:space="preserve"> cell wall</t>
    </r>
    <r>
      <rPr>
        <sz val="11"/>
        <color theme="1"/>
        <rFont val="Calibri"/>
        <family val="2"/>
        <scheme val="minor"/>
      </rPr>
      <t>, % of internal cell volume</t>
    </r>
  </si>
  <si>
    <r>
      <t>Xylem parenchyma</t>
    </r>
    <r>
      <rPr>
        <b/>
        <sz val="11"/>
        <color theme="1"/>
        <rFont val="Calibri"/>
        <family val="2"/>
        <scheme val="minor"/>
      </rPr>
      <t xml:space="preserve"> cell wall</t>
    </r>
    <r>
      <rPr>
        <sz val="11"/>
        <color theme="1"/>
        <rFont val="Calibri"/>
        <family val="2"/>
        <scheme val="minor"/>
      </rPr>
      <t>, % of internal cell volume</t>
    </r>
  </si>
  <si>
    <r>
      <t xml:space="preserve">Xylem tracheary element </t>
    </r>
    <r>
      <rPr>
        <b/>
        <sz val="11"/>
        <color theme="1"/>
        <rFont val="Calibri"/>
        <family val="2"/>
        <scheme val="minor"/>
      </rPr>
      <t>wall</t>
    </r>
    <r>
      <rPr>
        <sz val="11"/>
        <color theme="1"/>
        <rFont val="Calibri"/>
        <family val="2"/>
        <scheme val="minor"/>
      </rPr>
      <t>, % of internal cell volume</t>
    </r>
  </si>
  <si>
    <r>
      <t xml:space="preserve">Abaxial epidermal pavement cell </t>
    </r>
    <r>
      <rPr>
        <b/>
        <sz val="11"/>
        <color theme="1"/>
        <rFont val="Calibri"/>
        <family val="2"/>
        <scheme val="minor"/>
      </rPr>
      <t>cell wall volume</t>
    </r>
    <r>
      <rPr>
        <sz val="11"/>
        <color theme="1"/>
        <rFont val="Calibri"/>
        <family val="2"/>
        <scheme val="minor"/>
      </rPr>
      <t xml:space="preserve"> per leaf 6</t>
    </r>
  </si>
  <si>
    <r>
      <t xml:space="preserve">Adaxial epidermal pavement cell </t>
    </r>
    <r>
      <rPr>
        <b/>
        <sz val="11"/>
        <color theme="1"/>
        <rFont val="Calibri"/>
        <family val="2"/>
        <scheme val="minor"/>
      </rPr>
      <t>cell wall volume</t>
    </r>
    <r>
      <rPr>
        <sz val="11"/>
        <color theme="1"/>
        <rFont val="Calibri"/>
        <family val="2"/>
        <scheme val="minor"/>
      </rPr>
      <t xml:space="preserve"> per leaf 6</t>
    </r>
  </si>
  <si>
    <r>
      <t xml:space="preserve">Guard cells </t>
    </r>
    <r>
      <rPr>
        <b/>
        <sz val="11"/>
        <color theme="1"/>
        <rFont val="Calibri"/>
        <family val="2"/>
        <scheme val="minor"/>
      </rPr>
      <t xml:space="preserve">cell wall volume </t>
    </r>
    <r>
      <rPr>
        <sz val="11"/>
        <color theme="1"/>
        <rFont val="Calibri"/>
        <family val="2"/>
        <scheme val="minor"/>
      </rPr>
      <t>per leaf 6</t>
    </r>
  </si>
  <si>
    <r>
      <t xml:space="preserve">Bundle sheath cell </t>
    </r>
    <r>
      <rPr>
        <b/>
        <sz val="11"/>
        <color theme="1"/>
        <rFont val="Calibri"/>
        <family val="2"/>
        <scheme val="minor"/>
      </rPr>
      <t>cell wall volume</t>
    </r>
    <r>
      <rPr>
        <sz val="11"/>
        <color theme="1"/>
        <rFont val="Calibri"/>
        <family val="2"/>
        <scheme val="minor"/>
      </rPr>
      <t xml:space="preserve"> per leaf 6</t>
    </r>
  </si>
  <si>
    <r>
      <t>Palisade mesophyll cell</t>
    </r>
    <r>
      <rPr>
        <b/>
        <sz val="11"/>
        <color theme="1"/>
        <rFont val="Calibri"/>
        <family val="2"/>
        <scheme val="minor"/>
      </rPr>
      <t xml:space="preserve"> cell wall volume</t>
    </r>
    <r>
      <rPr>
        <sz val="11"/>
        <color theme="1"/>
        <rFont val="Calibri"/>
        <family val="2"/>
        <scheme val="minor"/>
      </rPr>
      <t xml:space="preserve"> per leaf 6</t>
    </r>
  </si>
  <si>
    <r>
      <t xml:space="preserve">Spongy mesophyll cell </t>
    </r>
    <r>
      <rPr>
        <b/>
        <sz val="11"/>
        <color theme="1"/>
        <rFont val="Calibri"/>
        <family val="2"/>
        <scheme val="minor"/>
      </rPr>
      <t>cell wall volume</t>
    </r>
    <r>
      <rPr>
        <sz val="11"/>
        <color theme="1"/>
        <rFont val="Calibri"/>
        <family val="2"/>
        <scheme val="minor"/>
      </rPr>
      <t xml:space="preserve"> per leaf 6</t>
    </r>
  </si>
  <si>
    <r>
      <t xml:space="preserve">Phloem companion cell </t>
    </r>
    <r>
      <rPr>
        <b/>
        <sz val="11"/>
        <color theme="1"/>
        <rFont val="Calibri"/>
        <family val="2"/>
        <scheme val="minor"/>
      </rPr>
      <t>cell wall volume</t>
    </r>
    <r>
      <rPr>
        <sz val="11"/>
        <color theme="1"/>
        <rFont val="Calibri"/>
        <family val="2"/>
        <scheme val="minor"/>
      </rPr>
      <t xml:space="preserve"> per leaf 6</t>
    </r>
  </si>
  <si>
    <r>
      <t xml:space="preserve">Phloem parenchyma cell </t>
    </r>
    <r>
      <rPr>
        <b/>
        <sz val="11"/>
        <color theme="1"/>
        <rFont val="Calibri"/>
        <family val="2"/>
        <scheme val="minor"/>
      </rPr>
      <t>cell wall volume</t>
    </r>
    <r>
      <rPr>
        <sz val="11"/>
        <color theme="1"/>
        <rFont val="Calibri"/>
        <family val="2"/>
        <scheme val="minor"/>
      </rPr>
      <t xml:space="preserve"> per leaf 6</t>
    </r>
  </si>
  <si>
    <r>
      <t xml:space="preserve">Phloem sieve element </t>
    </r>
    <r>
      <rPr>
        <b/>
        <sz val="11"/>
        <color theme="1"/>
        <rFont val="Calibri"/>
        <family val="2"/>
        <scheme val="minor"/>
      </rPr>
      <t>cell wall volume</t>
    </r>
    <r>
      <rPr>
        <sz val="11"/>
        <color theme="1"/>
        <rFont val="Calibri"/>
        <family val="2"/>
        <scheme val="minor"/>
      </rPr>
      <t xml:space="preserve"> per leaf 6</t>
    </r>
  </si>
  <si>
    <r>
      <t xml:space="preserve">Xylem parenchyma cell </t>
    </r>
    <r>
      <rPr>
        <b/>
        <sz val="11"/>
        <color theme="1"/>
        <rFont val="Calibri"/>
        <family val="2"/>
        <scheme val="minor"/>
      </rPr>
      <t>cell wall volume</t>
    </r>
    <r>
      <rPr>
        <sz val="11"/>
        <color theme="1"/>
        <rFont val="Calibri"/>
        <family val="2"/>
        <scheme val="minor"/>
      </rPr>
      <t xml:space="preserve"> per leaf 6</t>
    </r>
  </si>
  <si>
    <r>
      <t xml:space="preserve">Xylem tracheary element </t>
    </r>
    <r>
      <rPr>
        <b/>
        <sz val="11"/>
        <color theme="1"/>
        <rFont val="Calibri"/>
        <family val="2"/>
        <scheme val="minor"/>
      </rPr>
      <t>cell wall volume</t>
    </r>
    <r>
      <rPr>
        <sz val="11"/>
        <color theme="1"/>
        <rFont val="Calibri"/>
        <family val="2"/>
        <scheme val="minor"/>
      </rPr>
      <t xml:space="preserve"> per leaf 6</t>
    </r>
  </si>
  <si>
    <r>
      <t>Abaxial epidermal pavement cell</t>
    </r>
    <r>
      <rPr>
        <b/>
        <sz val="11"/>
        <color theme="1"/>
        <rFont val="Calibri"/>
        <family val="2"/>
        <scheme val="minor"/>
      </rPr>
      <t xml:space="preserve"> cell wall volume</t>
    </r>
    <r>
      <rPr>
        <sz val="11"/>
        <color theme="1"/>
        <rFont val="Calibri"/>
        <family val="2"/>
        <scheme val="minor"/>
      </rPr>
      <t xml:space="preserve"> per mm^2 of leaf 6</t>
    </r>
  </si>
  <si>
    <r>
      <t xml:space="preserve">Adaxial epidermal pavement cell </t>
    </r>
    <r>
      <rPr>
        <b/>
        <sz val="11"/>
        <color theme="1"/>
        <rFont val="Calibri"/>
        <family val="2"/>
        <scheme val="minor"/>
      </rPr>
      <t>cell wall</t>
    </r>
    <r>
      <rPr>
        <sz val="11"/>
        <color theme="1"/>
        <rFont val="Calibri"/>
        <family val="2"/>
        <scheme val="minor"/>
      </rPr>
      <t xml:space="preserve"> </t>
    </r>
    <r>
      <rPr>
        <b/>
        <sz val="11"/>
        <color theme="1"/>
        <rFont val="Calibri"/>
        <family val="2"/>
        <scheme val="minor"/>
      </rPr>
      <t>volume</t>
    </r>
    <r>
      <rPr>
        <sz val="11"/>
        <color theme="1"/>
        <rFont val="Calibri"/>
        <family val="2"/>
        <scheme val="minor"/>
      </rPr>
      <t xml:space="preserve"> per mm^2 of leaf 6</t>
    </r>
  </si>
  <si>
    <r>
      <t xml:space="preserve">Bundle sheath cell </t>
    </r>
    <r>
      <rPr>
        <b/>
        <sz val="11"/>
        <color theme="1"/>
        <rFont val="Calibri"/>
        <family val="2"/>
        <scheme val="minor"/>
      </rPr>
      <t>cell wall volume</t>
    </r>
    <r>
      <rPr>
        <sz val="11"/>
        <color theme="1"/>
        <rFont val="Calibri"/>
        <family val="2"/>
        <scheme val="minor"/>
      </rPr>
      <t xml:space="preserve"> per mm^2 of leaf 6</t>
    </r>
  </si>
  <si>
    <r>
      <t xml:space="preserve">Palisade mesophyll cell </t>
    </r>
    <r>
      <rPr>
        <b/>
        <sz val="11"/>
        <color theme="1"/>
        <rFont val="Calibri"/>
        <family val="2"/>
        <scheme val="minor"/>
      </rPr>
      <t>cell wall volume</t>
    </r>
    <r>
      <rPr>
        <sz val="11"/>
        <color theme="1"/>
        <rFont val="Calibri"/>
        <family val="2"/>
        <scheme val="minor"/>
      </rPr>
      <t xml:space="preserve"> per mm^2 of leaf 6</t>
    </r>
  </si>
  <si>
    <r>
      <t xml:space="preserve">Spongy mesophyll cell </t>
    </r>
    <r>
      <rPr>
        <b/>
        <sz val="11"/>
        <color theme="1"/>
        <rFont val="Calibri"/>
        <family val="2"/>
        <scheme val="minor"/>
      </rPr>
      <t>cell wall volume</t>
    </r>
    <r>
      <rPr>
        <sz val="11"/>
        <color theme="1"/>
        <rFont val="Calibri"/>
        <family val="2"/>
        <scheme val="minor"/>
      </rPr>
      <t xml:space="preserve"> per mm^2 of leaf 6</t>
    </r>
  </si>
  <si>
    <r>
      <t xml:space="preserve">Phloem companion cell, </t>
    </r>
    <r>
      <rPr>
        <b/>
        <sz val="11"/>
        <color theme="1"/>
        <rFont val="Calibri"/>
        <family val="2"/>
        <scheme val="minor"/>
      </rPr>
      <t>cell wall volume</t>
    </r>
    <r>
      <rPr>
        <sz val="11"/>
        <color theme="1"/>
        <rFont val="Calibri"/>
        <family val="2"/>
        <scheme val="minor"/>
      </rPr>
      <t xml:space="preserve"> per mm^2 of leaf 6</t>
    </r>
  </si>
  <si>
    <r>
      <t xml:space="preserve">Phloem parenchyma cell, </t>
    </r>
    <r>
      <rPr>
        <b/>
        <sz val="11"/>
        <color theme="1"/>
        <rFont val="Calibri"/>
        <family val="2"/>
        <scheme val="minor"/>
      </rPr>
      <t>cell wall volume</t>
    </r>
    <r>
      <rPr>
        <sz val="11"/>
        <color theme="1"/>
        <rFont val="Calibri"/>
        <family val="2"/>
        <scheme val="minor"/>
      </rPr>
      <t xml:space="preserve"> per mm^2 of leaf 6</t>
    </r>
  </si>
  <si>
    <r>
      <t xml:space="preserve">Phloem sieve element, </t>
    </r>
    <r>
      <rPr>
        <b/>
        <sz val="11"/>
        <color theme="1"/>
        <rFont val="Calibri"/>
        <family val="2"/>
        <scheme val="minor"/>
      </rPr>
      <t>cell wall volume</t>
    </r>
    <r>
      <rPr>
        <sz val="11"/>
        <color theme="1"/>
        <rFont val="Calibri"/>
        <family val="2"/>
        <scheme val="minor"/>
      </rPr>
      <t xml:space="preserve"> per mm^2 of leaf 6</t>
    </r>
  </si>
  <si>
    <r>
      <t xml:space="preserve">Xylem parenchyma cell, </t>
    </r>
    <r>
      <rPr>
        <b/>
        <sz val="11"/>
        <color theme="1"/>
        <rFont val="Calibri"/>
        <family val="2"/>
        <scheme val="minor"/>
      </rPr>
      <t>cell wall volume</t>
    </r>
    <r>
      <rPr>
        <sz val="11"/>
        <color theme="1"/>
        <rFont val="Calibri"/>
        <family val="2"/>
        <scheme val="minor"/>
      </rPr>
      <t xml:space="preserve"> per mm^2 of leaf 6</t>
    </r>
  </si>
  <si>
    <r>
      <t xml:space="preserve">Xylem tracheary element, </t>
    </r>
    <r>
      <rPr>
        <b/>
        <sz val="11"/>
        <color theme="1"/>
        <rFont val="Calibri"/>
        <family val="2"/>
        <scheme val="minor"/>
      </rPr>
      <t>cell wall volume</t>
    </r>
    <r>
      <rPr>
        <sz val="11"/>
        <color theme="1"/>
        <rFont val="Calibri"/>
        <family val="2"/>
        <scheme val="minor"/>
      </rPr>
      <t xml:space="preserve"> per mm^2 of leaf 6</t>
    </r>
  </si>
  <si>
    <r>
      <t xml:space="preserve">Guard cells </t>
    </r>
    <r>
      <rPr>
        <b/>
        <sz val="11"/>
        <color theme="1"/>
        <rFont val="Calibri"/>
        <family val="2"/>
        <scheme val="minor"/>
      </rPr>
      <t>cell wall volume</t>
    </r>
    <r>
      <rPr>
        <sz val="11"/>
        <color theme="1"/>
        <rFont val="Calibri"/>
        <family val="2"/>
        <scheme val="minor"/>
      </rPr>
      <t xml:space="preserve"> (one cell)</t>
    </r>
  </si>
  <si>
    <t>peroxisome areas (mesophyll cells only)</t>
  </si>
  <si>
    <t>Total mesophyll peroxisome membrane area per leaf 6 (in µm^2)</t>
  </si>
  <si>
    <t>Total mesophyll peroxisome membrane area per leaf 6 (in mm^2)</t>
  </si>
  <si>
    <t>Peroxisome are spheres with an average volume of 0.917 fL (or µm^3).</t>
  </si>
  <si>
    <r>
      <t xml:space="preserve">peroxisome </t>
    </r>
    <r>
      <rPr>
        <b/>
        <sz val="11"/>
        <color theme="1"/>
        <rFont val="Calibri"/>
        <family val="2"/>
        <scheme val="minor"/>
      </rPr>
      <t>membrane area</t>
    </r>
    <r>
      <rPr>
        <sz val="11"/>
        <color theme="1"/>
        <rFont val="Calibri"/>
        <family val="2"/>
        <scheme val="minor"/>
      </rPr>
      <t xml:space="preserve"> (per peroxisome)</t>
    </r>
  </si>
  <si>
    <r>
      <t xml:space="preserve">peroxisome </t>
    </r>
    <r>
      <rPr>
        <b/>
        <sz val="11"/>
        <color theme="1"/>
        <rFont val="Calibri"/>
        <family val="2"/>
        <scheme val="minor"/>
      </rPr>
      <t>radius</t>
    </r>
  </si>
  <si>
    <r>
      <t xml:space="preserve">peroxisome </t>
    </r>
    <r>
      <rPr>
        <b/>
        <sz val="11"/>
        <color theme="1"/>
        <rFont val="Calibri"/>
        <family val="2"/>
        <scheme val="minor"/>
      </rPr>
      <t>membrane area</t>
    </r>
    <r>
      <rPr>
        <sz val="11"/>
        <color theme="1"/>
        <rFont val="Calibri"/>
        <family val="2"/>
        <scheme val="minor"/>
      </rPr>
      <t xml:space="preserve"> per mesophyll cells</t>
    </r>
  </si>
  <si>
    <t xml:space="preserve">   Peroxisomes 
      area</t>
  </si>
  <si>
    <t>Chloroplast outer membrane surface area (per chloroplast)</t>
  </si>
  <si>
    <t>(Thylakoid membrane area)/(Chloroplast outer membrane area)</t>
  </si>
  <si>
    <t>Bundle sheath cells are modeled as cylinders with radius of 8.2 µm and heigth of 48.7 µm: surface is :(cell height)  x (cell perimeter) + 2 x (cell section).</t>
  </si>
  <si>
    <r>
      <t xml:space="preserve">Leaf 6 surface area occupied by all the stomata complexes in the </t>
    </r>
    <r>
      <rPr>
        <b/>
        <sz val="11"/>
        <color theme="1"/>
        <rFont val="Calibri"/>
        <family val="2"/>
        <scheme val="minor"/>
      </rPr>
      <t>abaxial</t>
    </r>
    <r>
      <rPr>
        <sz val="11"/>
        <color theme="1"/>
        <rFont val="Calibri"/>
        <family val="2"/>
        <scheme val="minor"/>
      </rPr>
      <t xml:space="preserve"> side of epidermis of one leaf 6</t>
    </r>
  </si>
  <si>
    <r>
      <t xml:space="preserve">Leaf 6 surface area occupied by all the stomata complexes in the </t>
    </r>
    <r>
      <rPr>
        <b/>
        <sz val="11"/>
        <color theme="1"/>
        <rFont val="Calibri"/>
        <family val="2"/>
        <scheme val="minor"/>
      </rPr>
      <t>adaxial</t>
    </r>
    <r>
      <rPr>
        <sz val="11"/>
        <color theme="1"/>
        <rFont val="Calibri"/>
        <family val="2"/>
        <scheme val="minor"/>
      </rPr>
      <t xml:space="preserve"> side epidermis of one leaf 6</t>
    </r>
  </si>
  <si>
    <r>
      <t xml:space="preserve">Leaf 6 surface area occupied by </t>
    </r>
    <r>
      <rPr>
        <b/>
        <sz val="11"/>
        <color theme="1"/>
        <rFont val="Calibri"/>
        <family val="2"/>
        <scheme val="minor"/>
      </rPr>
      <t xml:space="preserve">abaxial epidermal pavement cells </t>
    </r>
    <r>
      <rPr>
        <sz val="11"/>
        <color theme="1"/>
        <rFont val="Calibri"/>
        <family val="2"/>
        <scheme val="minor"/>
      </rPr>
      <t>in one leaf 6 (stomata surface deduced, trichomes ignored)</t>
    </r>
  </si>
  <si>
    <t xml:space="preserve"> (Abaxial epidermal pavement Cell surface area)/ (Abaxial epidermal pavement cell perimeter) </t>
  </si>
  <si>
    <r>
      <t>Average cell</t>
    </r>
    <r>
      <rPr>
        <b/>
        <sz val="11"/>
        <color theme="1"/>
        <rFont val="Calibri"/>
        <family val="2"/>
        <scheme val="minor"/>
      </rPr>
      <t xml:space="preserve"> perimeter</t>
    </r>
    <r>
      <rPr>
        <sz val="11"/>
        <color theme="1"/>
        <rFont val="Calibri"/>
        <family val="2"/>
        <scheme val="minor"/>
      </rPr>
      <t xml:space="preserve"> of an abaxial epidermal pavement cell</t>
    </r>
  </si>
  <si>
    <r>
      <t xml:space="preserve">Average </t>
    </r>
    <r>
      <rPr>
        <b/>
        <sz val="11"/>
        <color theme="1"/>
        <rFont val="Calibri"/>
        <family val="2"/>
        <scheme val="minor"/>
      </rPr>
      <t>surface area</t>
    </r>
    <r>
      <rPr>
        <sz val="11"/>
        <color theme="1"/>
        <rFont val="Calibri"/>
        <family val="2"/>
        <scheme val="minor"/>
      </rPr>
      <t xml:space="preserve"> of the puzzle piece shape of </t>
    </r>
    <r>
      <rPr>
        <b/>
        <sz val="11"/>
        <color theme="1"/>
        <rFont val="Calibri"/>
        <family val="2"/>
        <scheme val="minor"/>
      </rPr>
      <t>an abaxial epidermal cell</t>
    </r>
  </si>
  <si>
    <r>
      <rPr>
        <b/>
        <sz val="11"/>
        <color theme="1"/>
        <rFont val="Calibri"/>
        <family val="2"/>
        <scheme val="minor"/>
      </rPr>
      <t>Height</t>
    </r>
    <r>
      <rPr>
        <sz val="11"/>
        <color theme="1"/>
        <rFont val="Calibri"/>
        <family val="2"/>
        <scheme val="minor"/>
      </rPr>
      <t xml:space="preserve"> of an abaxial epidermal pavement cell (one cell)</t>
    </r>
  </si>
  <si>
    <r>
      <t xml:space="preserve">Leaf surface area occupied by </t>
    </r>
    <r>
      <rPr>
        <b/>
        <sz val="11"/>
        <color theme="1"/>
        <rFont val="Calibri"/>
        <family val="2"/>
        <scheme val="minor"/>
      </rPr>
      <t>adaxial epidermal pavement cells in</t>
    </r>
    <r>
      <rPr>
        <sz val="11"/>
        <color theme="1"/>
        <rFont val="Calibri"/>
        <family val="2"/>
        <scheme val="minor"/>
      </rPr>
      <t xml:space="preserve"> one leaf 6 (stomata surface deduced, trichomes ignored)</t>
    </r>
  </si>
  <si>
    <r>
      <t xml:space="preserve">Average </t>
    </r>
    <r>
      <rPr>
        <b/>
        <sz val="11"/>
        <color theme="1"/>
        <rFont val="Calibri"/>
        <family val="2"/>
        <scheme val="minor"/>
      </rPr>
      <t>surface area</t>
    </r>
    <r>
      <rPr>
        <sz val="11"/>
        <color theme="1"/>
        <rFont val="Calibri"/>
        <family val="2"/>
        <scheme val="minor"/>
      </rPr>
      <t xml:space="preserve"> of the puzzle piece shape of </t>
    </r>
    <r>
      <rPr>
        <b/>
        <sz val="11"/>
        <color theme="1"/>
        <rFont val="Calibri"/>
        <family val="2"/>
        <scheme val="minor"/>
      </rPr>
      <t>an adaxial epidermal cell</t>
    </r>
  </si>
  <si>
    <t xml:space="preserve"> (Adaxial Epidermal pavement Cell surface area)/(Adaxial epidermal pavement cell perimeter)</t>
  </si>
  <si>
    <r>
      <t xml:space="preserve">Average cell </t>
    </r>
    <r>
      <rPr>
        <b/>
        <sz val="11"/>
        <color theme="1"/>
        <rFont val="Calibri"/>
        <family val="2"/>
        <scheme val="minor"/>
      </rPr>
      <t>perimeter</t>
    </r>
    <r>
      <rPr>
        <sz val="11"/>
        <color theme="1"/>
        <rFont val="Calibri"/>
        <family val="2"/>
        <scheme val="minor"/>
      </rPr>
      <t xml:space="preserve"> of an adaxial epidermal pavement cell</t>
    </r>
  </si>
  <si>
    <r>
      <rPr>
        <b/>
        <sz val="11"/>
        <color theme="1"/>
        <rFont val="Calibri"/>
        <family val="2"/>
        <scheme val="minor"/>
      </rPr>
      <t>Height</t>
    </r>
    <r>
      <rPr>
        <sz val="11"/>
        <color theme="1"/>
        <rFont val="Calibri"/>
        <family val="2"/>
        <scheme val="minor"/>
      </rPr>
      <t xml:space="preserve"> of adaxial epidermal pavement cells</t>
    </r>
  </si>
  <si>
    <r>
      <t xml:space="preserve">Average abaxial pavement cell undulate </t>
    </r>
    <r>
      <rPr>
        <b/>
        <sz val="11"/>
        <color theme="1"/>
        <rFont val="Calibri"/>
        <family val="2"/>
        <scheme val="minor"/>
      </rPr>
      <t>anticlinal wall surface area</t>
    </r>
    <r>
      <rPr>
        <sz val="11"/>
        <color theme="1"/>
        <rFont val="Calibri"/>
        <family val="2"/>
        <scheme val="minor"/>
      </rPr>
      <t xml:space="preserve"> (</t>
    </r>
    <r>
      <rPr>
        <b/>
        <sz val="11"/>
        <color theme="1"/>
        <rFont val="Calibri"/>
        <family val="2"/>
        <scheme val="minor"/>
      </rPr>
      <t>one cell</t>
    </r>
    <r>
      <rPr>
        <sz val="11"/>
        <color theme="1"/>
        <rFont val="Calibri"/>
        <family val="2"/>
        <scheme val="minor"/>
      </rPr>
      <t>)</t>
    </r>
  </si>
  <si>
    <r>
      <t xml:space="preserve">Average abaxial epidermal </t>
    </r>
    <r>
      <rPr>
        <b/>
        <sz val="11"/>
        <color theme="1"/>
        <rFont val="Calibri"/>
        <family val="2"/>
        <scheme val="minor"/>
      </rPr>
      <t>total</t>
    </r>
    <r>
      <rPr>
        <sz val="11"/>
        <color theme="1"/>
        <rFont val="Calibri"/>
        <family val="2"/>
        <scheme val="minor"/>
      </rPr>
      <t xml:space="preserve"> </t>
    </r>
    <r>
      <rPr>
        <b/>
        <sz val="11"/>
        <color theme="1"/>
        <rFont val="Calibri"/>
        <family val="2"/>
        <scheme val="minor"/>
      </rPr>
      <t xml:space="preserve">cell surface area </t>
    </r>
    <r>
      <rPr>
        <sz val="11"/>
        <color theme="1"/>
        <rFont val="Calibri"/>
        <family val="2"/>
        <scheme val="minor"/>
      </rPr>
      <t xml:space="preserve">(two periclinal walls plus one undulate anticlinal wall, for </t>
    </r>
    <r>
      <rPr>
        <b/>
        <sz val="11"/>
        <color theme="1"/>
        <rFont val="Calibri"/>
        <family val="2"/>
        <scheme val="minor"/>
      </rPr>
      <t>one cell</t>
    </r>
    <r>
      <rPr>
        <sz val="11"/>
        <color theme="1"/>
        <rFont val="Calibri"/>
        <family val="2"/>
        <scheme val="minor"/>
      </rPr>
      <t>)</t>
    </r>
  </si>
  <si>
    <r>
      <t xml:space="preserve">Total abaxial pavement </t>
    </r>
    <r>
      <rPr>
        <b/>
        <sz val="11"/>
        <color theme="1"/>
        <rFont val="Calibri"/>
        <family val="2"/>
        <scheme val="minor"/>
      </rPr>
      <t>cell surface area</t>
    </r>
    <r>
      <rPr>
        <sz val="11"/>
        <color theme="1"/>
        <rFont val="Calibri"/>
        <family val="2"/>
        <scheme val="minor"/>
      </rPr>
      <t xml:space="preserve"> (periclinal surface faces plus anticlinal wall) in leaf 6</t>
    </r>
  </si>
  <si>
    <r>
      <t>Total adaxial pavement total</t>
    </r>
    <r>
      <rPr>
        <b/>
        <sz val="11"/>
        <color theme="1"/>
        <rFont val="Calibri"/>
        <family val="2"/>
        <scheme val="minor"/>
      </rPr>
      <t xml:space="preserve"> cell surface</t>
    </r>
    <r>
      <rPr>
        <sz val="11"/>
        <color theme="1"/>
        <rFont val="Calibri"/>
        <family val="2"/>
        <scheme val="minor"/>
      </rPr>
      <t xml:space="preserve"> </t>
    </r>
    <r>
      <rPr>
        <b/>
        <sz val="11"/>
        <color theme="1"/>
        <rFont val="Calibri"/>
        <family val="2"/>
        <scheme val="minor"/>
      </rPr>
      <t xml:space="preserve">area </t>
    </r>
    <r>
      <rPr>
        <sz val="11"/>
        <color theme="1"/>
        <rFont val="Calibri"/>
        <family val="2"/>
        <scheme val="minor"/>
      </rPr>
      <t>(upper and low periclinal walls plus anticlinal wall) in leaf 6</t>
    </r>
  </si>
  <si>
    <r>
      <t xml:space="preserve">Average adaxial epidermal total </t>
    </r>
    <r>
      <rPr>
        <b/>
        <sz val="11"/>
        <color theme="1"/>
        <rFont val="Calibri"/>
        <family val="2"/>
        <scheme val="minor"/>
      </rPr>
      <t>cell</t>
    </r>
    <r>
      <rPr>
        <sz val="11"/>
        <color theme="1"/>
        <rFont val="Calibri"/>
        <family val="2"/>
        <scheme val="minor"/>
      </rPr>
      <t xml:space="preserve"> </t>
    </r>
    <r>
      <rPr>
        <b/>
        <sz val="11"/>
        <color theme="1"/>
        <rFont val="Calibri"/>
        <family val="2"/>
        <scheme val="minor"/>
      </rPr>
      <t>surface area</t>
    </r>
    <r>
      <rPr>
        <sz val="11"/>
        <color theme="1"/>
        <rFont val="Calibri"/>
        <family val="2"/>
        <scheme val="minor"/>
      </rPr>
      <t xml:space="preserve"> (two puzzle faces plus anticlinal wall, for </t>
    </r>
    <r>
      <rPr>
        <b/>
        <sz val="11"/>
        <color theme="1"/>
        <rFont val="Calibri"/>
        <family val="2"/>
        <scheme val="minor"/>
      </rPr>
      <t>one cell</t>
    </r>
    <r>
      <rPr>
        <sz val="11"/>
        <color theme="1"/>
        <rFont val="Calibri"/>
        <family val="2"/>
        <scheme val="minor"/>
      </rPr>
      <t>)</t>
    </r>
  </si>
  <si>
    <r>
      <t xml:space="preserve">Average adaxial pavement cell undulate </t>
    </r>
    <r>
      <rPr>
        <b/>
        <sz val="11"/>
        <color theme="1"/>
        <rFont val="Calibri"/>
        <family val="2"/>
        <scheme val="minor"/>
      </rPr>
      <t xml:space="preserve">anticlinal wall surface area </t>
    </r>
    <r>
      <rPr>
        <sz val="11"/>
        <color theme="1"/>
        <rFont val="Calibri"/>
        <family val="2"/>
        <scheme val="minor"/>
      </rPr>
      <t>(</t>
    </r>
    <r>
      <rPr>
        <b/>
        <sz val="11"/>
        <color theme="1"/>
        <rFont val="Calibri"/>
        <family val="2"/>
        <scheme val="minor"/>
      </rPr>
      <t>one cell</t>
    </r>
    <r>
      <rPr>
        <sz val="11"/>
        <color theme="1"/>
        <rFont val="Calibri"/>
        <family val="2"/>
        <scheme val="minor"/>
      </rPr>
      <t>)</t>
    </r>
  </si>
  <si>
    <t>Bundle sheath cell volume, excluding cell wall</t>
  </si>
  <si>
    <t>Total leaf 6 volume per g leaf 6 fresh weight</t>
  </si>
  <si>
    <t>Calclation</t>
  </si>
  <si>
    <t>% vein volume in leaf 6 (excluding cell wall and bundle sheath cells)</t>
  </si>
  <si>
    <t>Total cellular volume from vessels cells in leaf n°6 (excluding cell walls and bundle sheath cells)</t>
  </si>
  <si>
    <t>The 10^6 factor converts mm^2 into µm^2</t>
  </si>
  <si>
    <t>See figure 3A,B in Wei_2022_biorxiv_475004v1</t>
  </si>
  <si>
    <t>Membrane surface areas</t>
  </si>
  <si>
    <r>
      <t xml:space="preserve">Total epidermal pavement cells </t>
    </r>
    <r>
      <rPr>
        <b/>
        <sz val="11"/>
        <color theme="1"/>
        <rFont val="Calibri"/>
        <family val="2"/>
        <scheme val="minor"/>
      </rPr>
      <t>plasma membrane surface area</t>
    </r>
    <r>
      <rPr>
        <sz val="11"/>
        <color theme="1"/>
        <rFont val="Calibri"/>
        <family val="2"/>
        <scheme val="minor"/>
      </rPr>
      <t xml:space="preserve"> per leaf 6</t>
    </r>
  </si>
  <si>
    <t>Total guard cells plasma membrane surface area per leaf 6</t>
  </si>
  <si>
    <t>Total bundle sheath cell plasma membrane surface area per leaf 6</t>
  </si>
  <si>
    <t>Total palisade mesophyll cell plasma membrane surface area per leaf 6</t>
  </si>
  <si>
    <t>Total spongy mesophyll cell plasma membrane surface area per leaf 6</t>
  </si>
  <si>
    <t>Phloem companion cell plasma membrane surface area per leaf 6</t>
  </si>
  <si>
    <t>Phloem parenchyma cell plasma membrane surface area per leaf 6</t>
  </si>
  <si>
    <t>Phloem sieve element cell plasma membrane surface area per leaf 6</t>
  </si>
  <si>
    <t>Xylem parenchyma cell plasma membrane surface area per leaf 6</t>
  </si>
  <si>
    <t>Xylem tracheary element plasma membrane surface area per leaf 6</t>
  </si>
  <si>
    <t>Total plasma membrane surface area ( in µm^2)</t>
  </si>
  <si>
    <t>Total plasma membrane surface area (in mm^2)</t>
  </si>
  <si>
    <t>Total plasma membrane surface area (in cm^2)</t>
  </si>
  <si>
    <t>Plasma membrane surface area/ leaf surface area</t>
  </si>
  <si>
    <t>Epidermal pavement cells tonoplast surface area per leaf 6</t>
  </si>
  <si>
    <t>Epidermal pavement cells tonoplast surface area per mm^2 of leaf 6</t>
  </si>
  <si>
    <t>Oblate spheroid surface area of the vacuole</t>
  </si>
  <si>
    <t>Palisadic cell tonoplast membrane surface area (one cell)</t>
  </si>
  <si>
    <r>
      <rPr>
        <b/>
        <sz val="11"/>
        <color theme="1"/>
        <rFont val="Calibri"/>
        <family val="2"/>
        <scheme val="minor"/>
      </rPr>
      <t xml:space="preserve">Total tonoplast surface area </t>
    </r>
    <r>
      <rPr>
        <sz val="11"/>
        <color theme="1"/>
        <rFont val="Calibri"/>
        <family val="2"/>
        <scheme val="minor"/>
      </rPr>
      <t>(epidermal pavement cells and mesophyll cells), per leaf 6, in µm^2</t>
    </r>
  </si>
  <si>
    <r>
      <rPr>
        <b/>
        <sz val="11"/>
        <color theme="1"/>
        <rFont val="Calibri"/>
        <family val="2"/>
        <scheme val="minor"/>
      </rPr>
      <t>Total tonoplast surface area</t>
    </r>
    <r>
      <rPr>
        <sz val="11"/>
        <color theme="1"/>
        <rFont val="Calibri"/>
        <family val="2"/>
        <scheme val="minor"/>
      </rPr>
      <t xml:space="preserve"> (epidermal pavement cells and mesophyll cells), per leaf 6, in mm^2</t>
    </r>
  </si>
  <si>
    <r>
      <rPr>
        <b/>
        <sz val="11"/>
        <color theme="1"/>
        <rFont val="Calibri"/>
        <family val="2"/>
        <scheme val="minor"/>
      </rPr>
      <t>Total tonoplast  surface area</t>
    </r>
    <r>
      <rPr>
        <sz val="11"/>
        <color theme="1"/>
        <rFont val="Calibri"/>
        <family val="2"/>
        <scheme val="minor"/>
      </rPr>
      <t xml:space="preserve"> (epidermal pavement cells and mesophyll cells), per leaf 6, in cm^2</t>
    </r>
  </si>
  <si>
    <r>
      <t xml:space="preserve">Total </t>
    </r>
    <r>
      <rPr>
        <b/>
        <sz val="11"/>
        <color theme="1"/>
        <rFont val="Calibri"/>
        <family val="2"/>
        <scheme val="minor"/>
      </rPr>
      <t>Palisade</t>
    </r>
    <r>
      <rPr>
        <sz val="11"/>
        <color theme="1"/>
        <rFont val="Calibri"/>
        <family val="2"/>
        <scheme val="minor"/>
      </rPr>
      <t xml:space="preserve"> cell </t>
    </r>
    <r>
      <rPr>
        <b/>
        <sz val="11"/>
        <color theme="1"/>
        <rFont val="Calibri"/>
        <family val="2"/>
        <scheme val="minor"/>
      </rPr>
      <t>tonoplast surface area</t>
    </r>
    <r>
      <rPr>
        <sz val="11"/>
        <color theme="1"/>
        <rFont val="Calibri"/>
        <family val="2"/>
        <scheme val="minor"/>
      </rPr>
      <t xml:space="preserve"> per leaf 6</t>
    </r>
  </si>
  <si>
    <r>
      <t xml:space="preserve">Total </t>
    </r>
    <r>
      <rPr>
        <b/>
        <sz val="11"/>
        <color theme="1"/>
        <rFont val="Calibri"/>
        <family val="2"/>
        <scheme val="minor"/>
      </rPr>
      <t>Palisade</t>
    </r>
    <r>
      <rPr>
        <sz val="11"/>
        <color theme="1"/>
        <rFont val="Calibri"/>
        <family val="2"/>
        <scheme val="minor"/>
      </rPr>
      <t xml:space="preserve"> cell </t>
    </r>
    <r>
      <rPr>
        <b/>
        <sz val="11"/>
        <color theme="1"/>
        <rFont val="Calibri"/>
        <family val="2"/>
        <scheme val="minor"/>
      </rPr>
      <t>tonoplast surface area</t>
    </r>
    <r>
      <rPr>
        <sz val="11"/>
        <color theme="1"/>
        <rFont val="Calibri"/>
        <family val="2"/>
        <scheme val="minor"/>
      </rPr>
      <t xml:space="preserve"> per mm^2 of leaf 6</t>
    </r>
  </si>
  <si>
    <r>
      <rPr>
        <b/>
        <sz val="11"/>
        <color theme="1"/>
        <rFont val="Calibri"/>
        <family val="2"/>
        <scheme val="minor"/>
      </rPr>
      <t xml:space="preserve">Spongy mesophyll </t>
    </r>
    <r>
      <rPr>
        <sz val="11"/>
        <color theme="1"/>
        <rFont val="Calibri"/>
        <family val="2"/>
        <scheme val="minor"/>
      </rPr>
      <t xml:space="preserve">cell </t>
    </r>
    <r>
      <rPr>
        <b/>
        <sz val="11"/>
        <color theme="1"/>
        <rFont val="Calibri"/>
        <family val="2"/>
        <scheme val="minor"/>
      </rPr>
      <t>tonoplast surface area</t>
    </r>
    <r>
      <rPr>
        <sz val="11"/>
        <color theme="1"/>
        <rFont val="Calibri"/>
        <family val="2"/>
        <scheme val="minor"/>
      </rPr>
      <t xml:space="preserve"> (one cell)</t>
    </r>
  </si>
  <si>
    <r>
      <t xml:space="preserve">Total </t>
    </r>
    <r>
      <rPr>
        <b/>
        <sz val="11"/>
        <color theme="1"/>
        <rFont val="Calibri"/>
        <family val="2"/>
        <scheme val="minor"/>
      </rPr>
      <t>spongy mesophyll</t>
    </r>
    <r>
      <rPr>
        <sz val="11"/>
        <color theme="1"/>
        <rFont val="Calibri"/>
        <family val="2"/>
        <scheme val="minor"/>
      </rPr>
      <t xml:space="preserve"> cell </t>
    </r>
    <r>
      <rPr>
        <b/>
        <sz val="11"/>
        <color theme="1"/>
        <rFont val="Calibri"/>
        <family val="2"/>
        <scheme val="minor"/>
      </rPr>
      <t>tonoplast surface area</t>
    </r>
    <r>
      <rPr>
        <sz val="11"/>
        <color theme="1"/>
        <rFont val="Calibri"/>
        <family val="2"/>
        <scheme val="minor"/>
      </rPr>
      <t xml:space="preserve"> per mm^2 of leaf 6</t>
    </r>
  </si>
  <si>
    <r>
      <t xml:space="preserve">Total </t>
    </r>
    <r>
      <rPr>
        <b/>
        <sz val="11"/>
        <color theme="1"/>
        <rFont val="Calibri"/>
        <family val="2"/>
        <scheme val="minor"/>
      </rPr>
      <t xml:space="preserve">spongy mesophyll </t>
    </r>
    <r>
      <rPr>
        <sz val="11"/>
        <color theme="1"/>
        <rFont val="Calibri"/>
        <family val="2"/>
        <scheme val="minor"/>
      </rPr>
      <t xml:space="preserve">cell </t>
    </r>
    <r>
      <rPr>
        <b/>
        <sz val="11"/>
        <color theme="1"/>
        <rFont val="Calibri"/>
        <family val="2"/>
        <scheme val="minor"/>
      </rPr>
      <t>tonoplast surface area</t>
    </r>
    <r>
      <rPr>
        <sz val="11"/>
        <color theme="1"/>
        <rFont val="Calibri"/>
        <family val="2"/>
        <scheme val="minor"/>
      </rPr>
      <t xml:space="preserve"> per leaf 6</t>
    </r>
  </si>
  <si>
    <t>See Table S1.1: 60 pL corresponds to 60 000 fL or µm^3</t>
  </si>
  <si>
    <t>The 10^9 factor convert fL (or µm^3) into µl</t>
  </si>
  <si>
    <t>proportion of total cellular volume, including cell wall</t>
  </si>
  <si>
    <t xml:space="preserve">Palisade mesophyll cells  </t>
  </si>
  <si>
    <t xml:space="preserve">palisade mesophyll cells density </t>
  </si>
  <si>
    <t>Bona fide photosynthetic cells number per leaf n°6 (palisade, spongy mesophyll cells, bundle sheath cells)</t>
  </si>
  <si>
    <t xml:space="preserve">Palisade cells are modelled as a cylinder with two half oblate spheroid ends; we assumed the vertical radius of the oblate spheroid is 5 µm based on estimation from the data in Wuyts_2012_PMID_22471732. </t>
  </si>
  <si>
    <t>Oblate spheroid radius (rs)</t>
  </si>
  <si>
    <t>The palisade cell is modelled as a cylinder with two half oblate spheroid ends; we assumed the height of the cylinder is 50 µm (see Wuyts_2012_PMID_22471732) and its radius (rc) was calculated from the formula of capsule volume as described in Govaert_1996_PMID_21127682 using of cell volume of 100 pL (100 000 µm^3) as measured in Wuyts_2012_PMID_22471732 and estimations of cylinder height (50 µm) and oblate "vertical" spheroid radius (rs, 5 µm).</t>
  </si>
  <si>
    <t>Cylinder radius (rc)</t>
  </si>
  <si>
    <t>Palisade cell volume (100 pL, as measured in Wuyts_2012_PMID_22471732 was converted into fL (equivalent to µm^3) for homegeneity reasons.</t>
  </si>
  <si>
    <t>Total surface of one guard cell is assumed to be (i) the surface of a half-tor (2*Pi^2*r*R) with large radius (R, from pore centre to cell center) of 7.5 µm and small radius (r, cell radius) of 3 µm plus (ii) two extremities (surfaces of disks with a radius of 3 µm).</t>
  </si>
  <si>
    <r>
      <t xml:space="preserve">One guard cell </t>
    </r>
    <r>
      <rPr>
        <b/>
        <sz val="11"/>
        <color theme="1"/>
        <rFont val="Calibri"/>
        <family val="2"/>
        <scheme val="minor"/>
      </rPr>
      <t>surface area</t>
    </r>
  </si>
  <si>
    <r>
      <rPr>
        <b/>
        <sz val="11"/>
        <color theme="1"/>
        <rFont val="Calibri"/>
        <family val="2"/>
        <scheme val="minor"/>
      </rPr>
      <t>Surface area</t>
    </r>
    <r>
      <rPr>
        <sz val="11"/>
        <color theme="1"/>
        <rFont val="Calibri"/>
        <family val="2"/>
        <scheme val="minor"/>
      </rPr>
      <t xml:space="preserve"> occupied by one stomata (two cells plus one pore) -abaxial or adaxial sides (projected surface)</t>
    </r>
  </si>
  <si>
    <t>The cell is modeled as a cylinder</t>
  </si>
  <si>
    <t>Stomata guard cell volume (one cell of the pair)</t>
  </si>
  <si>
    <t>Nath_2013_PMID_23975202</t>
  </si>
  <si>
    <t>9 hydathodes per leaf; the number of hydathode cells per hydathode is not available in the litterature.</t>
  </si>
  <si>
    <t xml:space="preserve">A stomata contains 2 guard cells, hence the factor 2. </t>
  </si>
  <si>
    <t>Abaxial epidermal pavement cell volume was available for low cumulative light grown plants in Wuyts_2010_PMID_20598116 (Fig. 8)  but not in Wuyts_2012_PMID_22471738: we assumed for same value for high cumulative light grown plants</t>
  </si>
  <si>
    <t>Adaxial epidermal pavement cell volume was available for low cumulative light grown plants in Wuyts_2010_PMID_20598116 (Fig. 8) but not in Wuyts_2012_PMID_22471738: we assumed for same value for high cumulative light grown plants</t>
  </si>
  <si>
    <t>We assumed the same volume as in higher order veins (see below)-</t>
  </si>
  <si>
    <t>This value obtained using microscopic (cellular) data is close to the value obtained from macroscopic measurements (23.9 µL per leaf 6, see line #12, this table).</t>
  </si>
  <si>
    <t>Leaf apoplastic wash fluid was extracted by centrifugation.</t>
  </si>
  <si>
    <t>Calculation using data in the line above and the number of leaf n°6 per g LFW</t>
  </si>
  <si>
    <t>This value is very close to 1016 µL/g LFW, obtained from macroscopic data by multiplying (leaf 6 volume per mg LDW) by (Leaf 6 LDW) by (number of leaf 6 per g LFW).</t>
  </si>
  <si>
    <r>
      <t>Leaf</t>
    </r>
    <r>
      <rPr>
        <sz val="11"/>
        <rFont val="Calibri"/>
        <family val="2"/>
        <scheme val="minor"/>
      </rPr>
      <t xml:space="preserve"> </t>
    </r>
    <r>
      <rPr>
        <sz val="11"/>
        <color theme="5" tint="-0.249977111117893"/>
        <rFont val="Calibri"/>
        <family val="2"/>
        <scheme val="minor"/>
      </rPr>
      <t>dry weight</t>
    </r>
    <r>
      <rPr>
        <sz val="11"/>
        <color theme="1"/>
        <rFont val="Calibri"/>
        <family val="2"/>
        <scheme val="minor"/>
      </rPr>
      <t xml:space="preserve"> per leaf surface area</t>
    </r>
  </si>
  <si>
    <t>Calculated specific leaf fresh weight from specific leaf surface area in mg/cm^2</t>
  </si>
  <si>
    <t>Calculated specific leaf fresh weight from specific leaf surface area in g/m^2 (10,000 cm^2)</t>
  </si>
  <si>
    <t>Calculation using leaf surface area per mg dry weight</t>
  </si>
  <si>
    <t>Averaged single leucoplast volume in basal trichome cell</t>
  </si>
  <si>
    <t>Assuming an ellipsoid with a= 2 µm, b=2 µm and c= 0.5 µm</t>
  </si>
  <si>
    <t>Average volume (54 chloroplasts for a total volume of 5024 µm^3); the type of mesophyll cell analysed is not indicated in MPID_22135430 is not indicated; same value was assumed for spongy and palisade mesophyll cells.</t>
  </si>
  <si>
    <t>Average volume (54 chloroplasts for a total volume of 5024 µm^3); the type of mesophyll cell analysed is not indicated in PMID_22135430 is not indicated; same value was assumed for spongy and palisade mesophyll cells.</t>
  </si>
  <si>
    <t>80 to 120-we assumed an average number of 100; by comparison, 112 -/+29 chloroplasts are present in mesophyll cells of Arabidopsis cotyledons exposed to continuous light (T96H), Pipitone_2021_PMID_33629953.</t>
  </si>
  <si>
    <t>Lawlor, 2001 (Photosynthesis book pp 56-58)</t>
  </si>
  <si>
    <t>Lawlor, 2001 (photosynthesis book pp 56-58)</t>
  </si>
  <si>
    <t>max 12.5 fL</t>
  </si>
  <si>
    <t>max 0.0125%</t>
  </si>
  <si>
    <t>Van Bel (2003),  The phloem, a miracle of ingenuity Plant Cell Env. 26, 125-149</t>
  </si>
  <si>
    <t>Diameter 0.7 µm (Fig. 8 legend in Cayla_2014_PMID_25714357)</t>
  </si>
  <si>
    <t>Diameter = 0.458 µm (see Fig S6 in Cayla_2014_PMID_25714357)</t>
  </si>
  <si>
    <t>Sieve element cells are devoid of nucleus</t>
  </si>
  <si>
    <t>The 1000 factor to convert fL into pL</t>
  </si>
  <si>
    <t>Van_Bel (2003), Plant Cell Env (26), pp 125-149</t>
  </si>
  <si>
    <t>Vacuole volume : 560 fL for a cell volume of 873 fL</t>
  </si>
  <si>
    <t>The mass of chlorophyll per g LFW (1,163 mg) was divided by the total volume of chloroplast from bona fide photosynthetic cells (96,34 µL/g LFW) and multiplied by the averaged volume of mesophyll chloroplasts (93 fL). The value is close to 0,9 pg given for spinach chloroplasts (see Lawlor Photosynthesis book p 57)</t>
  </si>
  <si>
    <t>The mass of chlorophyll in leaf n°6 (0,0326 mg) was divided by the total  number of chloroplasts from mesophyll  cells in leaf n°6  (26,640,000) and muliplied by 10^9 to obtain the value in pg</t>
  </si>
  <si>
    <t>For metabolite present exclusively in the vacuole from all leaf cells, assuming the same concentration in all the cells; the 1000 factor converts nanomol per µL into nanomol/ml i.e µM</t>
  </si>
  <si>
    <t>Table S1.9 :  Subcellular compartment volume in total epidermal pavement cells 
and mesophyll cells from leaf 6</t>
  </si>
  <si>
    <t>Wei_2022_PMID_35609084</t>
  </si>
  <si>
    <t>Fig. 3A,B and Fig.4B,C,D,E in Wei_2022_PMID_35609084</t>
  </si>
  <si>
    <t>Xylem parenchyma cell</t>
  </si>
  <si>
    <t>Xylem tracheide (lumen)</t>
  </si>
  <si>
    <r>
      <t xml:space="preserve">Specific leaf area [surface per </t>
    </r>
    <r>
      <rPr>
        <sz val="11"/>
        <rFont val="Calibri"/>
        <family val="2"/>
        <scheme val="minor"/>
      </rPr>
      <t>mg leaf dry weight (LDW</t>
    </r>
    <r>
      <rPr>
        <sz val="11"/>
        <color theme="1"/>
        <rFont val="Calibri"/>
        <family val="2"/>
        <scheme val="minor"/>
      </rPr>
      <t>)]</t>
    </r>
  </si>
  <si>
    <t>Number of reference leaf n°6 per gram fresh weight</t>
  </si>
  <si>
    <t>Stomatal abaxial epidermis  density</t>
  </si>
  <si>
    <t>Stomatal adaxial epidermis density</t>
  </si>
  <si>
    <t>Abaxial (lower side) epidermal pavement cells cell wall thickness</t>
  </si>
  <si>
    <t>Adaxial (upper side) epidermal pavement cells cell wall thickness</t>
  </si>
  <si>
    <t>Basal trichome cells cell wall thickness</t>
  </si>
  <si>
    <t>Bundle sheath cells cell wall thickness</t>
  </si>
  <si>
    <t>Cambial vein cells density cell wall thickness</t>
  </si>
  <si>
    <t>Hydathode cells cell wall thickness</t>
  </si>
  <si>
    <t>palisade mesophyll cells cell wall thickness</t>
  </si>
  <si>
    <t>Phloem companion cell cell wall thickness</t>
  </si>
  <si>
    <t>Phloem parenchyma cells cell wall thickness</t>
  </si>
  <si>
    <t>Phloem sieve element cell wall thickness</t>
  </si>
  <si>
    <t>Stomatal abaxial epidermis  cell wall thickness</t>
  </si>
  <si>
    <t>Spongy mesophyll cells cell wall thickness</t>
  </si>
  <si>
    <t>Stomatal adaxial epidermis cell wall thickness</t>
  </si>
  <si>
    <t>Trichome cells cell wall thickness</t>
  </si>
  <si>
    <t>Xylem parenchyma cells cell wall thickness</t>
  </si>
  <si>
    <t>Xylem tracheide cells cell wall thickness</t>
  </si>
  <si>
    <t xml:space="preserve">CryoSEM with cryofracture  </t>
  </si>
  <si>
    <t>n.d.</t>
  </si>
  <si>
    <t>Froelich_2011_PMID_22198148</t>
  </si>
  <si>
    <t>4-week-old plants, stage 3.5</t>
  </si>
  <si>
    <t>See Table 2 in Froelich_2011_PMID:22198148</t>
  </si>
  <si>
    <t>4 leaf state</t>
  </si>
  <si>
    <t>The radius was calculated from the average section of bundle sheath cells assming a cylindrical shape of the cell.</t>
  </si>
  <si>
    <t>Average mitochondrion volume</t>
  </si>
  <si>
    <t>We used the average volume of paslisade and spongy mesophyll cell mitochondria</t>
  </si>
  <si>
    <t>Long-day light regime, 16 H light, ND µmol photons/m^2/s, 25 °C, ND RH; MS agar plus sucrose</t>
  </si>
  <si>
    <t>0.05 to 0.2</t>
  </si>
  <si>
    <t>See Fig 2h in Yanagisawa_2015_PMID:27246881</t>
  </si>
  <si>
    <t>CryoSEM with cryofracture measurements (see Supplementary Fig. S1, this work); this value is in aggrement with TEM data (ca. 100 nm, see Fig. 2C in Akita_2016_PMID:26960821)</t>
  </si>
  <si>
    <t xml:space="preserve">We assumed the same value as measured for abaxial cells </t>
  </si>
  <si>
    <t>Woolfenden_2017_PMID_28741858</t>
  </si>
  <si>
    <t>We assumed a homogenous cell wall surface (the cell wall at the tips of the cells are actually thinner see Fig. 2D in Akita_2016_PMID:26960821)</t>
  </si>
  <si>
    <t>Yanagisawa_2015_PMID_27246881</t>
  </si>
  <si>
    <t>We assumed a homogenous cell wall surface (the cell wall at the tips of the cells are actually thinner see Fig. 2D in Akita_2016_PMID:26960821 and Fig. 25 in Zhao_1999_PMID_10406715).</t>
  </si>
  <si>
    <t>Short-day light regime, 12 H light, 200 µmol photons/m^2/s, 20/18 °C, ND RH</t>
  </si>
  <si>
    <t>See Supplementary Fig. S1, (this work) ; measurements indicate cell wall thicknesses values between 100 and 200 nm. We assumed an average value of 150 nm.</t>
  </si>
  <si>
    <t>We assumed the same value as for mesophyll cell, in agreement with Fig. 4D in Wei_2021_PMID_34315604</t>
  </si>
  <si>
    <t>Vessel cells length (from Table S1.2)</t>
  </si>
  <si>
    <t>Total leaf 6 cell wall volume</t>
  </si>
  <si>
    <t>This work (Supplem. Fig S1)</t>
  </si>
  <si>
    <t>Cell wall thickness of phloem companion and phloem parenchyma cells and xylem parenchyma cells, appear identical in Fig. 3 from Haritatos_2000_PMID_10923710: 0.15 µm</t>
  </si>
  <si>
    <t>Cell wall thickness of phloem parenchyma and phloem companion cells and xylem parenchyma cells, appear identical in Fig. 3 from Haritatos_2000_PMID_10923710: 0.15 µm</t>
  </si>
  <si>
    <t>Cell wall thickness of xylem parenchyma cells, phloem companion and phloem parenchyma cells appear identical in Fig. 3 from Haritatos_2000_PMID_10923710: 0.15 µm</t>
  </si>
  <si>
    <t xml:space="preserve">Long-day light regime, 16 H light, 170 µmol photons/m^2/s, 21/17 °C, 65% RH </t>
  </si>
  <si>
    <t>Mature leaf (see Fig. 2 in Haritatos_2000_PMID_10923710)</t>
  </si>
  <si>
    <t>Continuous illumination, MS-agar grown plants with 1% sucrose; 22°C</t>
  </si>
  <si>
    <t>Chloroplast</t>
  </si>
  <si>
    <t>Chloroplast thylakoid</t>
  </si>
  <si>
    <t>Chloroplast Plastoglobuli</t>
  </si>
  <si>
    <t>5 leafs</t>
  </si>
  <si>
    <t>From Fig. 3 in Zellnig (2004). Value is for Spinacia oleracea; we provisionally assumed the same value for Arabidopsis.</t>
  </si>
  <si>
    <t>Figure 2G: "up to 10 chloroplasts could be observed in individual confocal sections"</t>
  </si>
  <si>
    <t>Figure 2G: 25 chloroplasts could be observed in the confocal section</t>
  </si>
  <si>
    <t>See Table III in Pyke_1994_PMID_12232072 (a value of 10+/-0.2 chloroplasts for the cell pair was reported,  thus 5 for a single cell). By comparison, 10 plastids could be counted per stomata guard cell in Fujiwara_2018_29466386 study for plants grown on agar supplemented with 2% agarose</t>
  </si>
  <si>
    <t>present in old leaves, absent in young mesophyll cells; we assumed a sphere of radius 0.128 µm based on an average section of lipid droplet of 0.51 µm^2 (average +-/0.2 in Brocard_2017_PMID_28611809)</t>
  </si>
  <si>
    <t>See Fig. 4 in Armstrong_2006_PMID_17087477</t>
  </si>
  <si>
    <t>See Table 1 in Armstrong_2006_PMID_17087477</t>
  </si>
  <si>
    <t xml:space="preserve">The calculation is based on the number of mitochondrion per µm^3 ( 0.00324 +/-0.0009) from Fig.4d in Armstrong_2006_PMID_17087477 and abaxial epidermal cell volume (18 900 fL line #66, this table) </t>
  </si>
  <si>
    <t>The calculation is based on the number of mitochondrion per µm^3 (0.00324 +/-0.0009) from Fig.4c in Armstrong_2006_PMID_17087477 and the cell volume (39 000 fL, line #67, this Table).</t>
  </si>
  <si>
    <t>0,0137 fL per fL abaxial pavement cell volume (Fig. 4f in Armstrong_2006_PMID_17087477)</t>
  </si>
  <si>
    <t>0,022 fL per fL abaxial pavement cell volume (Fig. 4e in Armstrong_2006_PMID_17087477)</t>
  </si>
  <si>
    <t>(0,024 fL +/-0.001)/ fL palisade cell volume (see Table 1 in Armstrong_2006_PMID_17087477)</t>
  </si>
  <si>
    <t>(0,012 fL+/-0.003)/ fL spongy cell volume  (see Table 1 in Armstrong_2006_PMID_17087477).</t>
  </si>
  <si>
    <t>wikipedia</t>
  </si>
  <si>
    <t>IMS volume</t>
  </si>
  <si>
    <t>Volume of a sphere internal to the outer membrane minus volume encoosed by the inner membrane (including the inner membrane)</t>
  </si>
  <si>
    <t>Mitochondria Inner membrane radius</t>
  </si>
  <si>
    <t>Outer mitochondrial membrane (OMM) radius</t>
  </si>
  <si>
    <t>IMS thickness</t>
  </si>
  <si>
    <t>Mitochondrion matrix plus inner membrane and cristae lumen volume</t>
  </si>
  <si>
    <t>Mitochondrial inner (IMM) or outer (OMM) membrane thickness</t>
  </si>
  <si>
    <t>Inner membrane space (IMS) + OMM thickness  + IMM thickness</t>
  </si>
  <si>
    <t>To be compared with  0.125 µL in Paszkiewicz_2017_PMID_28062752 (Fig 6E, cotyledons), 0.157 µL in Moller_2016_PMID_27094909 (Box 1)</t>
  </si>
  <si>
    <t>The authors assume the matrix volume takes up 50% of the total mitochondrial volume using as a reference Moller_2016_PMID_27094909.</t>
  </si>
  <si>
    <t>Mitochondrion matrix volume (% of total mitochondrial volume)</t>
  </si>
  <si>
    <t>OMM surface</t>
  </si>
  <si>
    <t>IMM surface</t>
  </si>
  <si>
    <t>IMM/OMM (ratio of surfaces)</t>
  </si>
  <si>
    <t>See Supplementary Dataset S2 in Fuchs_2020_PMID_31520498 , sheet 2, cell E28</t>
  </si>
  <si>
    <t>See Supplementary Dataset S2 in Fuchs_2020_PMID_31520498 , sheet2 , cell E28</t>
  </si>
  <si>
    <t>IMS volume (% of total mitochondrial volume)</t>
  </si>
  <si>
    <t>See Table S1.6 additional data line #98</t>
  </si>
  <si>
    <t>See Table S1.6 (Additional data) line #94</t>
  </si>
  <si>
    <t>Assuming a sphere of diameter 5 µm (see Fig 2 E-F) in Cayla_2014_PMID_25714357; the nucleus shows an usual shape in companion cells see Fig. 2C and  8 in Cayla_2014_PMID_25714357</t>
  </si>
  <si>
    <t>Thesis by Javier Arpon : Statistical analysis and modeling of nuclear architecture in Arabidopsis thaliana, p 117; distribution available in Fig. 5.3C</t>
  </si>
  <si>
    <t xml:space="preserve">Thesis by Javier Arpon : Statistical analysis and modeling of nuclear architecture in Arabidopsis thaliana, p 117; distribution available in Fig. 5.3C
</t>
  </si>
  <si>
    <t xml:space="preserve">Thesis by Javier Arpon : Statistical analysis and modeling of nuclear architecture in Arabidopsis thaliana, Fig 2.2E
</t>
  </si>
  <si>
    <t>We assumed a sphere of radius 2.5 µm</t>
  </si>
  <si>
    <t xml:space="preserve"> (100 -150 µm^3) for developping trichomes, we assumed an, average value of 125 µm</t>
  </si>
  <si>
    <t>See Table S1.5, line #247</t>
  </si>
  <si>
    <t>The calculation is based on the radius of the space enclosed by the inner membrane (i.e. the inner membrane itself, the cristae lumen volume and the matrix volume)</t>
  </si>
  <si>
    <t>Ye_2020_PMID_32948753</t>
  </si>
  <si>
    <t>plantlet (cell type not indicated); round nuclei</t>
  </si>
  <si>
    <t>plantlet (cell type not indicated); elongated nuclei</t>
  </si>
  <si>
    <t>Table 2 in Pribil_2014_PMID_26994478</t>
  </si>
  <si>
    <t>Table 2 Pribil_2014_PMID_26994478</t>
  </si>
  <si>
    <t>From data in Fig 4 in Crumpton_Taylor_2012_PMID_22135430</t>
  </si>
  <si>
    <t>from 3 to 15</t>
  </si>
  <si>
    <t>Fig. 3C in Stettler_2009_PMID_19946617</t>
  </si>
  <si>
    <t>79 to 121</t>
  </si>
  <si>
    <t>6.4 mg/g LFW at 22.8°C (17.8mg/g LFW at 5°C)-Extraction yield not  known</t>
  </si>
  <si>
    <t>0.065-1.77 fL: average value 0.917 fL; see Midorikawa_2022_PMID_36712360 for immature Arabidopsis mesophyll cells peroxisomes (volume of 0.68+/-0.4 fL).</t>
  </si>
  <si>
    <t>Calculation based on plastoglobuli volume (0.1 fL) and total chloroplast volume in that study (31 fL); Value is for Spinacia oleracea; we provisionally assumed the same value for Arabidopsis.</t>
  </si>
  <si>
    <t>To obtain the LFW for a leaf of 121 mm^2, data in Supplemental Fig S1C in Massonnet_2010_PMID_20200072 (Fresh weights (in g) as a function of rosette leaf surfaces in mm^2) were fitted with the following equation [LFW (g)= 0.00018*(leaf surface in mm^2)+4.6 10^-8*(leaf surface in mm^2)^2]. The calculated leaf fresh weight value for a leaf surface of 121 mm^2 was 22.3 mg, rounded at 22.</t>
  </si>
  <si>
    <t xml:space="preserve">Experimental error </t>
  </si>
  <si>
    <t>75 to 150</t>
  </si>
  <si>
    <t>0.065 to 1.77</t>
  </si>
  <si>
    <t>20 to 45</t>
  </si>
  <si>
    <t>Min/Max values</t>
  </si>
  <si>
    <t>Min/max values</t>
  </si>
  <si>
    <t>Fig. 1A in Nath_2013_PMID_23975202 for 21 day old plants</t>
  </si>
  <si>
    <t>total cells number  in leaf n°6</t>
  </si>
  <si>
    <r>
      <t xml:space="preserve">Total vessel cells number in leaf n°6  secondary veins, </t>
    </r>
    <r>
      <rPr>
        <b/>
        <sz val="11"/>
        <color theme="1"/>
        <rFont val="Calibri"/>
        <family val="2"/>
        <scheme val="minor"/>
      </rPr>
      <t>TE excluded (dead cells)</t>
    </r>
  </si>
  <si>
    <r>
      <t xml:space="preserve">Total vessel cells number in leaf n°6 minor veins (3rd,4th,5th orders), </t>
    </r>
    <r>
      <rPr>
        <b/>
        <sz val="11"/>
        <color theme="1"/>
        <rFont val="Calibri"/>
        <family val="2"/>
        <scheme val="minor"/>
      </rPr>
      <t>TE excluded (dead cells)</t>
    </r>
  </si>
  <si>
    <t>Minor veins (3rd, 4th and 5th order veins) cells number in leaf n°6 (121 mm2)</t>
  </si>
  <si>
    <t>Calculation is based on secondary vein length (102 mm, see above)  in leaf n°6 (121 mm^2), cell number per cross section (single image in Kang_2007_PMID_17569988) and an average vessel cell length of 50 µm.</t>
  </si>
  <si>
    <t>This value based on microscopic data is close to the value given in Table 1 p 69 in  Phloem: Methods and Protocols, Liesche J. Ed (2019) chapter 5 Stewart et al., Quantification of Leaf Phloem Anatomical Features with Microscopy: 1607 vessel cells per mm^2, i.e. 194 500 phloem cells per leaf n°6 (121 mm^2)).</t>
  </si>
  <si>
    <t>Fig. 3A,B and Fig.4B,C,D,E in Wei_2022_PMID_35609084, 10 cells.</t>
  </si>
  <si>
    <t>Fig. 3A,B and Fig.4B,C,D,E in Wei_2022_PMID_35609084 (; value similar to Haritatos_2000_PMID_10923710 (11,5 µm^2, TEM images) and Liu_2019_PMID_31439803 (13. 5 µm^2, TEM images)</t>
  </si>
  <si>
    <t>Fig. 3A,B and Fig.4B,C,D,E in Wei_2022_PMID_35609084, 6 cells</t>
  </si>
  <si>
    <t>The 1000 factor converts cell volume from pL to fL; the caclulated value (141%) indicates inconsistencies between the volume values measured using Wei_2022_PMID_35609084 data and Fig .2G in Cayla_2014_PMID_25714357 showing a large PPC cells with a volume estimated at 13 pL (versu 0.6 pL in Wei_2022_PMID_35609084 data) containing at least 25 chloroplasts. More work is required to characterize the subcellular strucutre of PPC cells.</t>
  </si>
  <si>
    <t>Table S1: quantitative atlas of Arabidopsis leaf n°6 under reference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</si>
</sst>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000"/>
    <numFmt numFmtId="166" formatCode="#,##0.000"/>
    <numFmt numFmtId="167" formatCode="0.000"/>
    <numFmt numFmtId="168" formatCode="0.0"/>
    <numFmt numFmtId="169" formatCode="#,##0.0"/>
    <numFmt numFmtId="170" formatCode="#,##0.0000"/>
    <numFmt numFmtId="171" formatCode="#,##0.00000"/>
    <numFmt numFmtId="172" formatCode="0.000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color rgb="FFFF0000"/>
      <name val="Calibri"/>
      <family val="2"/>
      <scheme val="minor"/>
    </font>
    <font>
      <b/>
      <sz val="11"/>
      <name val="Calibri"/>
      <family val="2"/>
      <scheme val="minor"/>
    </font>
    <font>
      <b/>
      <sz val="11"/>
      <color rgb="FF00B050"/>
      <name val="Calibri"/>
      <family val="2"/>
      <scheme val="minor"/>
    </font>
    <font>
      <sz val="11"/>
      <color theme="5" tint="-0.249977111117893"/>
      <name val="Calibri"/>
      <family val="2"/>
      <scheme val="minor"/>
    </font>
    <font>
      <sz val="11"/>
      <color theme="0"/>
      <name val="Calibri"/>
      <family val="2"/>
      <scheme val="minor"/>
    </font>
    <font>
      <sz val="11"/>
      <color rgb="FFC00000"/>
      <name val="Calibri"/>
      <family val="2"/>
      <scheme val="minor"/>
    </font>
    <font>
      <b/>
      <sz val="11"/>
      <color theme="7" tint="-0.249977111117893"/>
      <name val="Calibri"/>
      <family val="2"/>
      <scheme val="minor"/>
    </font>
    <font>
      <b/>
      <sz val="11"/>
      <color rgb="FFC00000"/>
      <name val="Calibri"/>
      <family val="2"/>
      <scheme val="minor"/>
    </font>
    <font>
      <sz val="11"/>
      <color theme="7" tint="-0.249977111117893"/>
      <name val="Calibri"/>
      <family val="2"/>
      <scheme val="minor"/>
    </font>
    <font>
      <sz val="11"/>
      <color rgb="FFFF0000"/>
      <name val="Calibri"/>
      <family val="2"/>
      <scheme val="minor"/>
    </font>
    <font>
      <sz val="9"/>
      <color theme="1"/>
      <name val="Times New Roman"/>
      <family val="1"/>
    </font>
    <font>
      <vertAlign val="superscript"/>
      <sz val="9"/>
      <color theme="1"/>
      <name val="Times New Roman"/>
      <family val="1"/>
    </font>
    <font>
      <i/>
      <sz val="11"/>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sz val="20"/>
      <color theme="1"/>
      <name val="Calibri"/>
      <family val="2"/>
      <scheme val="minor"/>
    </font>
    <font>
      <sz val="2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4"/>
      <color theme="0"/>
      <name val="Calibri"/>
      <family val="2"/>
      <scheme val="minor"/>
    </font>
    <font>
      <b/>
      <sz val="13"/>
      <color theme="1"/>
      <name val="Calibri"/>
      <family val="2"/>
      <scheme val="minor"/>
    </font>
    <font>
      <i/>
      <sz val="11"/>
      <name val="Calibri"/>
      <family val="2"/>
      <scheme val="minor"/>
    </font>
    <font>
      <sz val="9"/>
      <color theme="1"/>
      <name val="Calibri"/>
      <family val="2"/>
      <scheme val="minor"/>
    </font>
    <font>
      <sz val="11"/>
      <color theme="1"/>
      <name val="Times New Roman"/>
      <family val="1"/>
    </font>
    <font>
      <b/>
      <i/>
      <sz val="11"/>
      <color theme="1"/>
      <name val="Calibri"/>
      <family val="2"/>
      <scheme val="minor"/>
    </font>
    <font>
      <sz val="18"/>
      <color theme="1"/>
      <name val="Calibri"/>
      <family val="2"/>
      <scheme val="minor"/>
    </font>
    <font>
      <strike/>
      <sz val="11"/>
      <color theme="1"/>
      <name val="Calibri"/>
      <family val="2"/>
      <scheme val="minor"/>
    </font>
    <font>
      <b/>
      <strike/>
      <sz val="11"/>
      <color theme="7" tint="-0.249977111117893"/>
      <name val="Calibri"/>
      <family val="2"/>
      <scheme val="minor"/>
    </font>
  </fonts>
  <fills count="4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9933"/>
        <bgColor indexed="64"/>
      </patternFill>
    </fill>
    <fill>
      <patternFill patternType="solid">
        <fgColor rgb="FF7030A0"/>
        <bgColor indexed="64"/>
      </patternFill>
    </fill>
    <fill>
      <patternFill patternType="solid">
        <fgColor rgb="FFFFCCCC"/>
        <bgColor indexed="64"/>
      </patternFill>
    </fill>
    <fill>
      <patternFill patternType="solid">
        <fgColor rgb="FF00B050"/>
        <bgColor indexed="64"/>
      </patternFill>
    </fill>
    <fill>
      <patternFill patternType="solid">
        <fgColor rgb="FFFFFFCC"/>
        <bgColor indexed="64"/>
      </patternFill>
    </fill>
    <fill>
      <patternFill patternType="solid">
        <fgColor rgb="FFFFFF00"/>
        <bgColor indexed="64"/>
      </patternFill>
    </fill>
    <fill>
      <patternFill patternType="solid">
        <fgColor theme="7" tint="-0.249977111117893"/>
        <bgColor indexed="64"/>
      </patternFill>
    </fill>
    <fill>
      <patternFill patternType="solid">
        <fgColor rgb="FFFFCCFF"/>
        <bgColor indexed="64"/>
      </patternFill>
    </fill>
    <fill>
      <patternFill patternType="solid">
        <fgColor theme="2"/>
        <bgColor indexed="64"/>
      </patternFill>
    </fill>
    <fill>
      <patternFill patternType="solid">
        <fgColor theme="4" tint="0.39997558519241921"/>
        <bgColor indexed="64"/>
      </patternFill>
    </fill>
    <fill>
      <patternFill patternType="solid">
        <fgColor rgb="FFFFCC99"/>
        <bgColor indexed="64"/>
      </patternFill>
    </fill>
    <fill>
      <patternFill patternType="solid">
        <fgColor theme="9" tint="-0.249977111117893"/>
        <bgColor indexed="64"/>
      </patternFill>
    </fill>
    <fill>
      <patternFill patternType="solid">
        <fgColor rgb="FFCC99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99FFCC"/>
        <bgColor indexed="64"/>
      </patternFill>
    </fill>
    <fill>
      <patternFill patternType="solid">
        <fgColor theme="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5"/>
        <bgColor indexed="64"/>
      </patternFill>
    </fill>
    <fill>
      <patternFill patternType="solid">
        <fgColor rgb="FF00CC00"/>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theme="5"/>
      </left>
      <right style="medium">
        <color theme="5"/>
      </right>
      <top style="medium">
        <color theme="5"/>
      </top>
      <bottom style="medium">
        <color theme="5"/>
      </bottom>
      <diagonal/>
    </border>
    <border>
      <left style="thick">
        <color rgb="FFFF9933"/>
      </left>
      <right style="thick">
        <color rgb="FFFF9933"/>
      </right>
      <top style="thick">
        <color rgb="FFFF9933"/>
      </top>
      <bottom style="thick">
        <color rgb="FFFF9933"/>
      </bottom>
      <diagonal/>
    </border>
    <border>
      <left style="medium">
        <color rgb="FFFF9933"/>
      </left>
      <right style="medium">
        <color rgb="FFFF9933"/>
      </right>
      <top style="medium">
        <color rgb="FFFF9933"/>
      </top>
      <bottom style="medium">
        <color rgb="FFFF9933"/>
      </bottom>
      <diagonal/>
    </border>
    <border>
      <left style="thin">
        <color indexed="64"/>
      </left>
      <right style="thick">
        <color rgb="FF99FF33"/>
      </right>
      <top style="thin">
        <color indexed="64"/>
      </top>
      <bottom style="thin">
        <color indexed="64"/>
      </bottom>
      <diagonal/>
    </border>
    <border>
      <left style="thin">
        <color indexed="64"/>
      </left>
      <right style="thin">
        <color indexed="64"/>
      </right>
      <top style="thin">
        <color indexed="64"/>
      </top>
      <bottom style="thick">
        <color rgb="FF99FF33"/>
      </bottom>
      <diagonal/>
    </border>
    <border>
      <left style="thick">
        <color rgb="FF99FF33"/>
      </left>
      <right style="thick">
        <color rgb="FF99FF33"/>
      </right>
      <top style="thick">
        <color rgb="FF99FF33"/>
      </top>
      <bottom style="thick">
        <color rgb="FF99FF33"/>
      </bottom>
      <diagonal/>
    </border>
    <border>
      <left style="thin">
        <color indexed="64"/>
      </left>
      <right style="thin">
        <color indexed="64"/>
      </right>
      <top style="thin">
        <color indexed="64"/>
      </top>
      <bottom style="thick">
        <color rgb="FF3399FF"/>
      </bottom>
      <diagonal/>
    </border>
    <border>
      <left style="thin">
        <color indexed="64"/>
      </left>
      <right style="thick">
        <color rgb="FF3399FF"/>
      </right>
      <top style="thin">
        <color indexed="64"/>
      </top>
      <bottom style="thin">
        <color indexed="64"/>
      </bottom>
      <diagonal/>
    </border>
    <border>
      <left style="thick">
        <color rgb="FF3399FF"/>
      </left>
      <right style="thick">
        <color rgb="FF3399FF"/>
      </right>
      <top style="thick">
        <color rgb="FF3399FF"/>
      </top>
      <bottom style="thick">
        <color rgb="FF3399FF"/>
      </bottom>
      <diagonal/>
    </border>
    <border>
      <left style="thick">
        <color rgb="FF99FF33"/>
      </left>
      <right style="thick">
        <color rgb="FF99FF33"/>
      </right>
      <top style="thick">
        <color rgb="FF99FF33"/>
      </top>
      <bottom style="thick">
        <color rgb="FF9933FF"/>
      </bottom>
      <diagonal/>
    </border>
    <border>
      <left style="thin">
        <color indexed="64"/>
      </left>
      <right style="thick">
        <color rgb="FF9933FF"/>
      </right>
      <top style="thin">
        <color indexed="64"/>
      </top>
      <bottom style="thin">
        <color indexed="64"/>
      </bottom>
      <diagonal/>
    </border>
    <border>
      <left style="thick">
        <color rgb="FF9933FF"/>
      </left>
      <right style="thick">
        <color rgb="FF9933FF"/>
      </right>
      <top style="thick">
        <color rgb="FF9933FF"/>
      </top>
      <bottom style="thick">
        <color rgb="FF9933FF"/>
      </bottom>
      <diagonal/>
    </border>
    <border>
      <left style="thick">
        <color rgb="FF99FF33"/>
      </left>
      <right style="thick">
        <color rgb="FF99FF33"/>
      </right>
      <top style="thick">
        <color rgb="FF3399FF"/>
      </top>
      <bottom style="thick">
        <color rgb="FF9933FF"/>
      </bottom>
      <diagonal/>
    </border>
    <border>
      <left/>
      <right style="thick">
        <color rgb="FF9933FF"/>
      </right>
      <top style="thick">
        <color rgb="FF9933FF"/>
      </top>
      <bottom style="thick">
        <color rgb="FF9933FF"/>
      </bottom>
      <diagonal/>
    </border>
    <border>
      <left style="thick">
        <color rgb="FF9933FF"/>
      </left>
      <right style="thin">
        <color indexed="64"/>
      </right>
      <top style="thin">
        <color indexed="64"/>
      </top>
      <bottom style="thin">
        <color indexed="64"/>
      </bottom>
      <diagonal/>
    </border>
    <border>
      <left style="thick">
        <color rgb="FFFF9933"/>
      </left>
      <right/>
      <top style="thick">
        <color rgb="FFFF9933"/>
      </top>
      <bottom style="thick">
        <color rgb="FFFF9933"/>
      </bottom>
      <diagonal/>
    </border>
    <border>
      <left style="thick">
        <color theme="5"/>
      </left>
      <right/>
      <top/>
      <bottom/>
      <diagonal/>
    </border>
    <border>
      <left style="thin">
        <color indexed="64"/>
      </left>
      <right style="thin">
        <color indexed="64"/>
      </right>
      <top style="thick">
        <color theme="5"/>
      </top>
      <bottom style="thin">
        <color indexed="64"/>
      </bottom>
      <diagonal/>
    </border>
    <border>
      <left style="medium">
        <color rgb="FFFF9933"/>
      </left>
      <right style="medium">
        <color rgb="FFFF9933"/>
      </right>
      <top style="medium">
        <color rgb="FFFF9933"/>
      </top>
      <bottom/>
      <diagonal/>
    </border>
    <border>
      <left style="thick">
        <color theme="5"/>
      </left>
      <right style="thin">
        <color indexed="64"/>
      </right>
      <top style="thin">
        <color indexed="64"/>
      </top>
      <bottom style="thin">
        <color indexed="64"/>
      </bottom>
      <diagonal/>
    </border>
    <border>
      <left style="thick">
        <color theme="5"/>
      </left>
      <right/>
      <top style="thick">
        <color theme="5"/>
      </top>
      <bottom style="thick">
        <color theme="5"/>
      </bottom>
      <diagonal/>
    </border>
    <border>
      <left style="thin">
        <color indexed="64"/>
      </left>
      <right style="thin">
        <color indexed="64"/>
      </right>
      <top style="thin">
        <color indexed="64"/>
      </top>
      <bottom style="thick">
        <color theme="5"/>
      </bottom>
      <diagonal/>
    </border>
    <border>
      <left style="thick">
        <color theme="5"/>
      </left>
      <right style="thick">
        <color theme="5"/>
      </right>
      <top style="thick">
        <color theme="5"/>
      </top>
      <bottom style="thick">
        <color theme="5"/>
      </bottom>
      <diagonal/>
    </border>
    <border>
      <left style="thick">
        <color theme="5"/>
      </left>
      <right/>
      <top style="thick">
        <color theme="5"/>
      </top>
      <bottom/>
      <diagonal/>
    </border>
    <border>
      <left style="thick">
        <color theme="5"/>
      </left>
      <right/>
      <top/>
      <bottom style="thick">
        <color theme="5"/>
      </bottom>
      <diagonal/>
    </border>
    <border>
      <left style="thin">
        <color indexed="64"/>
      </left>
      <right style="thick">
        <color theme="5"/>
      </right>
      <top style="thin">
        <color indexed="64"/>
      </top>
      <bottom style="thin">
        <color indexed="64"/>
      </bottom>
      <diagonal/>
    </border>
    <border>
      <left style="thick">
        <color rgb="FF3399FF"/>
      </left>
      <right style="thin">
        <color indexed="64"/>
      </right>
      <top style="thin">
        <color indexed="64"/>
      </top>
      <bottom style="thin">
        <color indexed="64"/>
      </bottom>
      <diagonal/>
    </border>
    <border>
      <left style="thin">
        <color indexed="64"/>
      </left>
      <right style="thin">
        <color indexed="64"/>
      </right>
      <top style="thick">
        <color rgb="FF3399FF"/>
      </top>
      <bottom/>
      <diagonal/>
    </border>
    <border>
      <left style="thick">
        <color rgb="FF3399FF"/>
      </left>
      <right style="thick">
        <color rgb="FF3399FF"/>
      </right>
      <top/>
      <bottom style="thick">
        <color rgb="FF3399FF"/>
      </bottom>
      <diagonal/>
    </border>
    <border>
      <left style="thick">
        <color rgb="FF3399FF"/>
      </left>
      <right style="thick">
        <color rgb="FF3399FF"/>
      </right>
      <top style="thick">
        <color rgb="FF3399FF"/>
      </top>
      <bottom/>
      <diagonal/>
    </border>
    <border>
      <left style="thick">
        <color theme="5"/>
      </left>
      <right style="thick">
        <color theme="5"/>
      </right>
      <top/>
      <bottom style="thick">
        <color theme="5"/>
      </bottom>
      <diagonal/>
    </border>
    <border>
      <left/>
      <right style="thick">
        <color theme="5"/>
      </right>
      <top style="thick">
        <color theme="5"/>
      </top>
      <bottom style="thick">
        <color theme="5"/>
      </bottom>
      <diagonal/>
    </border>
    <border>
      <left/>
      <right/>
      <top style="thick">
        <color theme="5"/>
      </top>
      <bottom style="thin">
        <color indexed="64"/>
      </bottom>
      <diagonal/>
    </border>
    <border>
      <left style="thin">
        <color indexed="64"/>
      </left>
      <right style="thin">
        <color indexed="64"/>
      </right>
      <top style="medium">
        <color indexed="64"/>
      </top>
      <bottom style="thick">
        <color rgb="FF0070C0"/>
      </bottom>
      <diagonal/>
    </border>
    <border>
      <left style="thick">
        <color rgb="FF0070C0"/>
      </left>
      <right style="thin">
        <color indexed="64"/>
      </right>
      <top style="thin">
        <color indexed="64"/>
      </top>
      <bottom style="thin">
        <color indexed="64"/>
      </bottom>
      <diagonal/>
    </border>
    <border>
      <left style="thick">
        <color rgb="FF0070C0"/>
      </left>
      <right style="thick">
        <color rgb="FF0070C0"/>
      </right>
      <top style="thick">
        <color rgb="FF0070C0"/>
      </top>
      <bottom style="thick">
        <color rgb="FF0070C0"/>
      </bottom>
      <diagonal/>
    </border>
    <border>
      <left style="thick">
        <color rgb="FF0070C0"/>
      </left>
      <right/>
      <top style="thick">
        <color rgb="FF0070C0"/>
      </top>
      <bottom style="thick">
        <color rgb="FF0070C0"/>
      </bottom>
      <diagonal/>
    </border>
    <border>
      <left style="thin">
        <color indexed="64"/>
      </left>
      <right style="thin">
        <color indexed="64"/>
      </right>
      <top style="thick">
        <color rgb="FF0070C0"/>
      </top>
      <bottom style="medium">
        <color indexed="64"/>
      </bottom>
      <diagonal/>
    </border>
    <border>
      <left style="medium">
        <color indexed="64"/>
      </left>
      <right style="thick">
        <color rgb="FF0070C0"/>
      </right>
      <top style="thin">
        <color indexed="64"/>
      </top>
      <bottom style="thin">
        <color indexed="64"/>
      </bottom>
      <diagonal/>
    </border>
    <border>
      <left style="medium">
        <color rgb="FF0070C0"/>
      </left>
      <right style="medium">
        <color rgb="FF0070C0"/>
      </right>
      <top style="medium">
        <color rgb="FF0070C0"/>
      </top>
      <bottom style="medium">
        <color rgb="FF0070C0"/>
      </bottom>
      <diagonal/>
    </border>
    <border>
      <left style="thin">
        <color indexed="64"/>
      </left>
      <right style="thin">
        <color indexed="64"/>
      </right>
      <top/>
      <bottom style="thick">
        <color rgb="FFFF9933"/>
      </bottom>
      <diagonal/>
    </border>
    <border>
      <left style="thick">
        <color theme="5"/>
      </left>
      <right style="thin">
        <color indexed="64"/>
      </right>
      <top/>
      <bottom style="thin">
        <color indexed="64"/>
      </bottom>
      <diagonal/>
    </border>
    <border>
      <left style="thick">
        <color theme="5"/>
      </left>
      <right/>
      <top style="thin">
        <color indexed="64"/>
      </top>
      <bottom style="thin">
        <color indexed="64"/>
      </bottom>
      <diagonal/>
    </border>
    <border>
      <left style="thin">
        <color indexed="64"/>
      </left>
      <right/>
      <top style="thin">
        <color indexed="64"/>
      </top>
      <bottom style="thick">
        <color theme="5"/>
      </bottom>
      <diagonal/>
    </border>
    <border>
      <left/>
      <right style="thin">
        <color indexed="64"/>
      </right>
      <top style="thin">
        <color indexed="64"/>
      </top>
      <bottom style="thick">
        <color theme="5"/>
      </bottom>
      <diagonal/>
    </border>
    <border>
      <left/>
      <right style="thin">
        <color indexed="64"/>
      </right>
      <top style="thick">
        <color theme="5"/>
      </top>
      <bottom style="thick">
        <color theme="5"/>
      </bottom>
      <diagonal/>
    </border>
    <border>
      <left style="thick">
        <color theme="5"/>
      </left>
      <right style="thin">
        <color indexed="64"/>
      </right>
      <top style="thin">
        <color indexed="64"/>
      </top>
      <bottom/>
      <diagonal/>
    </border>
    <border>
      <left/>
      <right/>
      <top style="thin">
        <color indexed="64"/>
      </top>
      <bottom style="thick">
        <color theme="5"/>
      </bottom>
      <diagonal/>
    </border>
    <border>
      <left style="thick">
        <color theme="5"/>
      </left>
      <right style="thick">
        <color theme="5"/>
      </right>
      <top style="thick">
        <color rgb="FFFF9933"/>
      </top>
      <bottom style="thick">
        <color theme="5"/>
      </bottom>
      <diagonal/>
    </border>
    <border>
      <left style="thick">
        <color theme="5"/>
      </left>
      <right style="thick">
        <color theme="5"/>
      </right>
      <top style="thick">
        <color theme="5"/>
      </top>
      <bottom/>
      <diagonal/>
    </border>
    <border>
      <left/>
      <right/>
      <top style="thick">
        <color theme="5"/>
      </top>
      <bottom/>
      <diagonal/>
    </border>
    <border>
      <left style="thin">
        <color indexed="64"/>
      </left>
      <right style="thin">
        <color indexed="64"/>
      </right>
      <top style="medium">
        <color theme="5"/>
      </top>
      <bottom style="thin">
        <color indexed="64"/>
      </bottom>
      <diagonal/>
    </border>
    <border>
      <left style="medium">
        <color theme="5"/>
      </left>
      <right style="thin">
        <color indexed="64"/>
      </right>
      <top style="thin">
        <color indexed="64"/>
      </top>
      <bottom style="thin">
        <color indexed="64"/>
      </bottom>
      <diagonal/>
    </border>
    <border>
      <left style="thin">
        <color indexed="64"/>
      </left>
      <right style="thin">
        <color indexed="64"/>
      </right>
      <top style="thin">
        <color indexed="64"/>
      </top>
      <bottom style="medium">
        <color theme="5"/>
      </bottom>
      <diagonal/>
    </border>
    <border>
      <left style="medium">
        <color theme="5"/>
      </left>
      <right style="thin">
        <color indexed="64"/>
      </right>
      <top/>
      <bottom/>
      <diagonal/>
    </border>
    <border>
      <left style="medium">
        <color theme="5"/>
      </left>
      <right style="thin">
        <color indexed="64"/>
      </right>
      <top style="medium">
        <color theme="5"/>
      </top>
      <bottom/>
      <diagonal/>
    </border>
    <border>
      <left style="medium">
        <color theme="5"/>
      </left>
      <right/>
      <top style="medium">
        <color theme="5"/>
      </top>
      <bottom style="medium">
        <color theme="5"/>
      </bottom>
      <diagonal/>
    </border>
    <border>
      <left style="thin">
        <color indexed="64"/>
      </left>
      <right style="medium">
        <color theme="5"/>
      </right>
      <top style="thin">
        <color indexed="64"/>
      </top>
      <bottom style="thin">
        <color indexed="64"/>
      </bottom>
      <diagonal/>
    </border>
    <border>
      <left/>
      <right/>
      <top style="medium">
        <color theme="5"/>
      </top>
      <bottom style="medium">
        <color theme="5"/>
      </bottom>
      <diagonal/>
    </border>
    <border>
      <left style="medium">
        <color theme="5"/>
      </left>
      <right style="medium">
        <color theme="5"/>
      </right>
      <top style="medium">
        <color theme="5"/>
      </top>
      <bottom/>
      <diagonal/>
    </border>
    <border>
      <left style="medium">
        <color rgb="FF0070C0"/>
      </left>
      <right style="thin">
        <color indexed="64"/>
      </right>
      <top style="thin">
        <color indexed="64"/>
      </top>
      <bottom style="thin">
        <color indexed="64"/>
      </bottom>
      <diagonal/>
    </border>
    <border>
      <left style="thin">
        <color indexed="64"/>
      </left>
      <right style="thin">
        <color indexed="64"/>
      </right>
      <top style="thin">
        <color indexed="64"/>
      </top>
      <bottom style="medium">
        <color rgb="FF0070C0"/>
      </bottom>
      <diagonal/>
    </border>
    <border>
      <left style="medium">
        <color rgb="FF0070C0"/>
      </left>
      <right style="medium">
        <color rgb="FF0070C0"/>
      </right>
      <top/>
      <bottom style="medium">
        <color rgb="FF0070C0"/>
      </bottom>
      <diagonal/>
    </border>
    <border>
      <left style="thin">
        <color indexed="64"/>
      </left>
      <right style="thin">
        <color rgb="FF0070C0"/>
      </right>
      <top style="thin">
        <color indexed="64"/>
      </top>
      <bottom style="thin">
        <color indexed="64"/>
      </bottom>
      <diagonal/>
    </border>
    <border>
      <left style="medium">
        <color indexed="64"/>
      </left>
      <right style="medium">
        <color rgb="FF0070C0"/>
      </right>
      <top style="thin">
        <color indexed="64"/>
      </top>
      <bottom style="thin">
        <color indexed="64"/>
      </bottom>
      <diagonal/>
    </border>
    <border>
      <left style="medium">
        <color rgb="FF0070C0"/>
      </left>
      <right style="medium">
        <color rgb="FF0070C0"/>
      </right>
      <top/>
      <bottom/>
      <diagonal/>
    </border>
    <border>
      <left style="medium">
        <color indexed="64"/>
      </left>
      <right style="medium">
        <color theme="8"/>
      </right>
      <top style="thin">
        <color indexed="64"/>
      </top>
      <bottom style="thin">
        <color indexed="64"/>
      </bottom>
      <diagonal/>
    </border>
    <border>
      <left style="thin">
        <color indexed="64"/>
      </left>
      <right style="thin">
        <color indexed="64"/>
      </right>
      <top style="medium">
        <color theme="8"/>
      </top>
      <bottom style="thin">
        <color indexed="64"/>
      </bottom>
      <diagonal/>
    </border>
    <border>
      <left style="medium">
        <color theme="8"/>
      </left>
      <right style="thin">
        <color indexed="64"/>
      </right>
      <top style="thin">
        <color indexed="64"/>
      </top>
      <bottom style="thin">
        <color indexed="64"/>
      </bottom>
      <diagonal/>
    </border>
    <border>
      <left style="medium">
        <color theme="8"/>
      </left>
      <right style="medium">
        <color theme="8"/>
      </right>
      <top style="medium">
        <color theme="8"/>
      </top>
      <bottom style="medium">
        <color theme="8"/>
      </bottom>
      <diagonal/>
    </border>
    <border>
      <left style="medium">
        <color theme="8"/>
      </left>
      <right/>
      <top style="medium">
        <color theme="8"/>
      </top>
      <bottom/>
      <diagonal/>
    </border>
    <border>
      <left/>
      <right/>
      <top style="medium">
        <color theme="5"/>
      </top>
      <bottom style="medium">
        <color rgb="FF9933FF"/>
      </bottom>
      <diagonal/>
    </border>
    <border>
      <left style="medium">
        <color theme="8"/>
      </left>
      <right/>
      <top style="medium">
        <color theme="8"/>
      </top>
      <bottom style="medium">
        <color theme="8"/>
      </bottom>
      <diagonal/>
    </border>
    <border>
      <left style="medium">
        <color rgb="FF9933FF"/>
      </left>
      <right/>
      <top style="medium">
        <color rgb="FF9933FF"/>
      </top>
      <bottom style="medium">
        <color rgb="FF9933FF"/>
      </bottom>
      <diagonal/>
    </border>
    <border>
      <left/>
      <right/>
      <top style="thin">
        <color indexed="64"/>
      </top>
      <bottom style="medium">
        <color theme="8"/>
      </bottom>
      <diagonal/>
    </border>
    <border>
      <left/>
      <right style="medium">
        <color theme="5"/>
      </right>
      <top style="medium">
        <color theme="5"/>
      </top>
      <bottom/>
      <diagonal/>
    </border>
    <border>
      <left style="medium">
        <color theme="5"/>
      </left>
      <right style="medium">
        <color theme="5"/>
      </right>
      <top/>
      <bottom/>
      <diagonal/>
    </border>
    <border>
      <left style="medium">
        <color indexed="64"/>
      </left>
      <right/>
      <top style="thin">
        <color indexed="64"/>
      </top>
      <bottom style="thin">
        <color indexed="64"/>
      </bottom>
      <diagonal/>
    </border>
    <border>
      <left style="medium">
        <color rgb="FF0070C0"/>
      </left>
      <right style="medium">
        <color rgb="FF0070C0"/>
      </right>
      <top style="medium">
        <color rgb="FF0070C0"/>
      </top>
      <bottom/>
      <diagonal/>
    </border>
    <border>
      <left style="medium">
        <color rgb="FF99FF33"/>
      </left>
      <right style="thin">
        <color indexed="64"/>
      </right>
      <top style="thin">
        <color indexed="64"/>
      </top>
      <bottom style="thin">
        <color indexed="64"/>
      </bottom>
      <diagonal/>
    </border>
    <border>
      <left style="medium">
        <color rgb="FF99FF33"/>
      </left>
      <right style="medium">
        <color rgb="FF99FF33"/>
      </right>
      <top style="medium">
        <color rgb="FF99FF33"/>
      </top>
      <bottom style="medium">
        <color rgb="FF99FF33"/>
      </bottom>
      <diagonal/>
    </border>
    <border>
      <left style="medium">
        <color rgb="FFFF9933"/>
      </left>
      <right style="thin">
        <color indexed="64"/>
      </right>
      <top style="medium">
        <color rgb="FFFF9933"/>
      </top>
      <bottom style="medium">
        <color rgb="FFFF9933"/>
      </bottom>
      <diagonal/>
    </border>
    <border>
      <left style="thin">
        <color indexed="64"/>
      </left>
      <right style="medium">
        <color rgb="FFFF9933"/>
      </right>
      <top style="medium">
        <color rgb="FFFF9933"/>
      </top>
      <bottom style="medium">
        <color rgb="FFFF9933"/>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ck">
        <color theme="5"/>
      </left>
      <right/>
      <top style="thick">
        <color theme="5"/>
      </top>
      <bottom style="thick">
        <color rgb="FF9933FF"/>
      </bottom>
      <diagonal/>
    </border>
    <border>
      <left style="thick">
        <color theme="5"/>
      </left>
      <right style="thick">
        <color theme="5"/>
      </right>
      <top style="thin">
        <color indexed="64"/>
      </top>
      <bottom style="thin">
        <color indexed="64"/>
      </bottom>
      <diagonal/>
    </border>
    <border>
      <left style="thick">
        <color theme="5"/>
      </left>
      <right style="thick">
        <color theme="5"/>
      </right>
      <top style="thin">
        <color indexed="64"/>
      </top>
      <bottom style="thick">
        <color theme="5"/>
      </bottom>
      <diagonal/>
    </border>
    <border>
      <left style="thick">
        <color theme="5"/>
      </left>
      <right/>
      <top style="thick">
        <color rgb="FF9933FF"/>
      </top>
      <bottom style="thick">
        <color rgb="FF9933FF"/>
      </bottom>
      <diagonal/>
    </border>
    <border>
      <left style="thin">
        <color indexed="64"/>
      </left>
      <right style="thin">
        <color indexed="64"/>
      </right>
      <top/>
      <bottom style="medium">
        <color rgb="FF0070C0"/>
      </bottom>
      <diagonal/>
    </border>
    <border>
      <left/>
      <right style="medium">
        <color theme="5"/>
      </right>
      <top style="medium">
        <color theme="5"/>
      </top>
      <bottom style="medium">
        <color theme="5"/>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ck">
        <color theme="5"/>
      </top>
      <bottom style="thin">
        <color indexed="64"/>
      </bottom>
      <diagonal/>
    </border>
  </borders>
  <cellStyleXfs count="2">
    <xf numFmtId="0" fontId="0" fillId="0" borderId="0"/>
    <xf numFmtId="164" fontId="1" fillId="0" borderId="0" applyFont="0" applyFill="0" applyBorder="0" applyAlignment="0" applyProtection="0"/>
  </cellStyleXfs>
  <cellXfs count="1454">
    <xf numFmtId="0" fontId="0" fillId="0" borderId="0" xfId="0"/>
    <xf numFmtId="0" fontId="2" fillId="0" borderId="1" xfId="0" applyFont="1" applyBorder="1"/>
    <xf numFmtId="0" fontId="0" fillId="0" borderId="1" xfId="0" applyBorder="1"/>
    <xf numFmtId="0" fontId="0" fillId="2" borderId="1" xfId="0" applyFill="1" applyBorder="1"/>
    <xf numFmtId="0" fontId="2" fillId="3" borderId="1" xfId="0" applyFont="1" applyFill="1" applyBorder="1"/>
    <xf numFmtId="0" fontId="0" fillId="3" borderId="1" xfId="0" applyFont="1" applyFill="1" applyBorder="1"/>
    <xf numFmtId="0" fontId="0" fillId="0" borderId="1" xfId="0" applyFont="1" applyBorder="1"/>
    <xf numFmtId="0" fontId="5" fillId="0" borderId="1" xfId="0" applyFont="1" applyBorder="1"/>
    <xf numFmtId="0" fontId="0" fillId="0" borderId="1" xfId="0" applyBorder="1" applyAlignment="1">
      <alignment wrapText="1"/>
    </xf>
    <xf numFmtId="0" fontId="10" fillId="3" borderId="1" xfId="0" applyFont="1" applyFill="1" applyBorder="1"/>
    <xf numFmtId="0" fontId="4" fillId="3" borderId="1" xfId="0" applyFont="1" applyFill="1" applyBorder="1"/>
    <xf numFmtId="0" fontId="0" fillId="3" borderId="1" xfId="0" applyFill="1" applyBorder="1"/>
    <xf numFmtId="0" fontId="11" fillId="0" borderId="1" xfId="0" applyFont="1" applyBorder="1"/>
    <xf numFmtId="165" fontId="0" fillId="0" borderId="1" xfId="0" applyNumberFormat="1" applyBorder="1"/>
    <xf numFmtId="165" fontId="0" fillId="0" borderId="1" xfId="0" applyNumberFormat="1" applyFont="1" applyBorder="1"/>
    <xf numFmtId="165" fontId="2" fillId="0" borderId="1" xfId="0" applyNumberFormat="1" applyFont="1" applyBorder="1"/>
    <xf numFmtId="0" fontId="3" fillId="3" borderId="1" xfId="0" applyFont="1" applyFill="1" applyBorder="1"/>
    <xf numFmtId="165" fontId="0" fillId="3" borderId="1" xfId="0" applyNumberFormat="1" applyFont="1" applyFill="1" applyBorder="1"/>
    <xf numFmtId="0" fontId="2" fillId="5" borderId="1" xfId="0" applyFont="1" applyFill="1" applyBorder="1"/>
    <xf numFmtId="0" fontId="6" fillId="3" borderId="1" xfId="0" applyFont="1" applyFill="1" applyBorder="1"/>
    <xf numFmtId="0" fontId="0" fillId="6" borderId="1" xfId="0" applyFont="1" applyFill="1" applyBorder="1"/>
    <xf numFmtId="0" fontId="0" fillId="6" borderId="1" xfId="0" applyFill="1" applyBorder="1"/>
    <xf numFmtId="0" fontId="0" fillId="7" borderId="1" xfId="0" applyFont="1" applyFill="1" applyBorder="1"/>
    <xf numFmtId="0" fontId="0" fillId="5" borderId="1" xfId="0" applyFont="1" applyFill="1" applyBorder="1"/>
    <xf numFmtId="0" fontId="2" fillId="6" borderId="1" xfId="0" applyFont="1" applyFill="1" applyBorder="1"/>
    <xf numFmtId="0" fontId="0" fillId="4" borderId="1" xfId="0" applyFont="1" applyFill="1" applyBorder="1"/>
    <xf numFmtId="0" fontId="9" fillId="8" borderId="1" xfId="0" applyFont="1" applyFill="1" applyBorder="1"/>
    <xf numFmtId="0" fontId="0" fillId="9" borderId="1" xfId="0" applyFont="1" applyFill="1" applyBorder="1"/>
    <xf numFmtId="0" fontId="10" fillId="0" borderId="1" xfId="0" applyFont="1" applyBorder="1"/>
    <xf numFmtId="0" fontId="0" fillId="0" borderId="2" xfId="0" applyBorder="1"/>
    <xf numFmtId="0" fontId="0" fillId="0" borderId="3" xfId="0" applyBorder="1"/>
    <xf numFmtId="165" fontId="11" fillId="3" borderId="1" xfId="0" applyNumberFormat="1" applyFont="1" applyFill="1" applyBorder="1"/>
    <xf numFmtId="0" fontId="12" fillId="3" borderId="1" xfId="0" applyFont="1" applyFill="1" applyBorder="1"/>
    <xf numFmtId="0" fontId="3" fillId="10" borderId="1" xfId="0" applyFont="1" applyFill="1" applyBorder="1"/>
    <xf numFmtId="0" fontId="0" fillId="11" borderId="1" xfId="0" applyFill="1" applyBorder="1"/>
    <xf numFmtId="0" fontId="0" fillId="13" borderId="1" xfId="0" applyFill="1" applyBorder="1"/>
    <xf numFmtId="0" fontId="0" fillId="14" borderId="1" xfId="0" applyFont="1" applyFill="1" applyBorder="1"/>
    <xf numFmtId="0" fontId="0" fillId="16" borderId="1" xfId="0" applyFont="1" applyFill="1" applyBorder="1"/>
    <xf numFmtId="0" fontId="11" fillId="3" borderId="1" xfId="0" applyFont="1" applyFill="1" applyBorder="1"/>
    <xf numFmtId="0" fontId="0" fillId="3" borderId="5" xfId="0" applyFont="1" applyFill="1" applyBorder="1"/>
    <xf numFmtId="0" fontId="0" fillId="0" borderId="7" xfId="0" applyBorder="1"/>
    <xf numFmtId="0" fontId="2" fillId="15" borderId="1" xfId="0" applyFont="1" applyFill="1" applyBorder="1"/>
    <xf numFmtId="0" fontId="9" fillId="18" borderId="1" xfId="0" applyFont="1" applyFill="1" applyBorder="1"/>
    <xf numFmtId="0" fontId="4" fillId="19" borderId="1" xfId="0" applyFont="1" applyFill="1" applyBorder="1"/>
    <xf numFmtId="0" fontId="0" fillId="12" borderId="1" xfId="0" applyFont="1" applyFill="1" applyBorder="1"/>
    <xf numFmtId="0" fontId="0" fillId="17" borderId="1" xfId="0" applyFont="1" applyFill="1" applyBorder="1"/>
    <xf numFmtId="0" fontId="14" fillId="0" borderId="1" xfId="0" applyFont="1" applyBorder="1"/>
    <xf numFmtId="0" fontId="0" fillId="20" borderId="1" xfId="0" applyFont="1" applyFill="1" applyBorder="1"/>
    <xf numFmtId="0" fontId="2" fillId="21" borderId="1" xfId="0" applyFont="1" applyFill="1" applyBorder="1"/>
    <xf numFmtId="0" fontId="0" fillId="22" borderId="1" xfId="0" applyFill="1" applyBorder="1"/>
    <xf numFmtId="0" fontId="2" fillId="22" borderId="1" xfId="0" applyFont="1" applyFill="1" applyBorder="1"/>
    <xf numFmtId="165" fontId="2" fillId="4" borderId="1" xfId="0" applyNumberFormat="1" applyFont="1" applyFill="1" applyBorder="1"/>
    <xf numFmtId="0" fontId="0" fillId="2" borderId="1" xfId="0" applyFont="1" applyFill="1" applyBorder="1"/>
    <xf numFmtId="0" fontId="0" fillId="4" borderId="1" xfId="0" applyFill="1" applyBorder="1"/>
    <xf numFmtId="0" fontId="0" fillId="25" borderId="1" xfId="0" applyFill="1" applyBorder="1"/>
    <xf numFmtId="0" fontId="0" fillId="24" borderId="1" xfId="0" applyFill="1" applyBorder="1"/>
    <xf numFmtId="165" fontId="0" fillId="2" borderId="1" xfId="0" applyNumberFormat="1" applyFill="1" applyBorder="1"/>
    <xf numFmtId="0" fontId="0" fillId="21" borderId="1" xfId="0" applyFill="1" applyBorder="1"/>
    <xf numFmtId="0" fontId="2" fillId="2" borderId="1" xfId="0" applyFont="1" applyFill="1" applyBorder="1"/>
    <xf numFmtId="0" fontId="4" fillId="2" borderId="1" xfId="0" applyFont="1" applyFill="1" applyBorder="1"/>
    <xf numFmtId="0" fontId="0" fillId="21" borderId="1" xfId="0" applyFont="1" applyFill="1" applyBorder="1"/>
    <xf numFmtId="165" fontId="2" fillId="21" borderId="1" xfId="0" applyNumberFormat="1" applyFont="1" applyFill="1" applyBorder="1"/>
    <xf numFmtId="165" fontId="0" fillId="2" borderId="1" xfId="0" applyNumberFormat="1" applyFont="1" applyFill="1" applyBorder="1"/>
    <xf numFmtId="0" fontId="4" fillId="22" borderId="1" xfId="0" applyFont="1" applyFill="1" applyBorder="1"/>
    <xf numFmtId="165" fontId="0" fillId="4" borderId="1" xfId="0" applyNumberFormat="1" applyFont="1" applyFill="1" applyBorder="1"/>
    <xf numFmtId="0" fontId="0" fillId="26" borderId="1" xfId="0" applyFont="1" applyFill="1" applyBorder="1"/>
    <xf numFmtId="0" fontId="0" fillId="26" borderId="1" xfId="0" applyFill="1" applyBorder="1"/>
    <xf numFmtId="0" fontId="0" fillId="22" borderId="1" xfId="0" applyFont="1" applyFill="1" applyBorder="1"/>
    <xf numFmtId="0" fontId="0" fillId="11" borderId="1" xfId="0" applyFont="1" applyFill="1" applyBorder="1"/>
    <xf numFmtId="0" fontId="0" fillId="24" borderId="1" xfId="0" applyFont="1" applyFill="1" applyBorder="1"/>
    <xf numFmtId="0" fontId="0" fillId="27" borderId="1" xfId="0" applyFont="1" applyFill="1" applyBorder="1"/>
    <xf numFmtId="166" fontId="0" fillId="0" borderId="1" xfId="0" applyNumberFormat="1" applyBorder="1"/>
    <xf numFmtId="166" fontId="2" fillId="6" borderId="1" xfId="0" applyNumberFormat="1" applyFont="1" applyFill="1" applyBorder="1"/>
    <xf numFmtId="166" fontId="0" fillId="0" borderId="1" xfId="0" applyNumberFormat="1" applyFont="1" applyBorder="1"/>
    <xf numFmtId="166" fontId="7" fillId="0" borderId="1" xfId="0" applyNumberFormat="1" applyFont="1" applyBorder="1"/>
    <xf numFmtId="166" fontId="2" fillId="0" borderId="1" xfId="0" applyNumberFormat="1" applyFont="1" applyBorder="1"/>
    <xf numFmtId="166" fontId="2" fillId="3" borderId="1" xfId="0" applyNumberFormat="1" applyFont="1" applyFill="1" applyBorder="1"/>
    <xf numFmtId="166" fontId="0" fillId="26" borderId="1" xfId="0" applyNumberFormat="1" applyFill="1" applyBorder="1"/>
    <xf numFmtId="166" fontId="2" fillId="26" borderId="1" xfId="0" applyNumberFormat="1" applyFont="1" applyFill="1" applyBorder="1"/>
    <xf numFmtId="166" fontId="0" fillId="11" borderId="1" xfId="0" applyNumberFormat="1" applyFont="1" applyFill="1" applyBorder="1"/>
    <xf numFmtId="166" fontId="0" fillId="2" borderId="1" xfId="0" applyNumberFormat="1" applyFont="1" applyFill="1" applyBorder="1"/>
    <xf numFmtId="166" fontId="0" fillId="22" borderId="1" xfId="0" applyNumberFormat="1" applyFill="1" applyBorder="1"/>
    <xf numFmtId="166" fontId="2" fillId="4" borderId="1" xfId="0" applyNumberFormat="1" applyFont="1" applyFill="1" applyBorder="1"/>
    <xf numFmtId="166" fontId="0" fillId="3" borderId="1" xfId="0" applyNumberFormat="1" applyFont="1" applyFill="1" applyBorder="1"/>
    <xf numFmtId="166" fontId="2" fillId="2" borderId="1" xfId="0" applyNumberFormat="1" applyFont="1" applyFill="1" applyBorder="1"/>
    <xf numFmtId="166" fontId="0" fillId="4" borderId="1" xfId="0" applyNumberFormat="1" applyFont="1" applyFill="1" applyBorder="1"/>
    <xf numFmtId="166" fontId="2" fillId="22" borderId="1" xfId="0" applyNumberFormat="1" applyFont="1" applyFill="1" applyBorder="1"/>
    <xf numFmtId="166" fontId="0" fillId="26" borderId="1" xfId="0" applyNumberFormat="1" applyFont="1" applyFill="1" applyBorder="1"/>
    <xf numFmtId="166" fontId="0" fillId="2" borderId="1" xfId="0" applyNumberFormat="1" applyFill="1" applyBorder="1"/>
    <xf numFmtId="166" fontId="0" fillId="4" borderId="1" xfId="0" applyNumberFormat="1" applyFill="1" applyBorder="1"/>
    <xf numFmtId="166" fontId="0" fillId="25" borderId="1" xfId="0" applyNumberFormat="1" applyFill="1" applyBorder="1"/>
    <xf numFmtId="166" fontId="2" fillId="15" borderId="1" xfId="0" applyNumberFormat="1" applyFont="1" applyFill="1" applyBorder="1"/>
    <xf numFmtId="166" fontId="0" fillId="5" borderId="1" xfId="0" applyNumberFormat="1" applyFont="1" applyFill="1" applyBorder="1"/>
    <xf numFmtId="166" fontId="0" fillId="7" borderId="1" xfId="0" applyNumberFormat="1" applyFont="1" applyFill="1" applyBorder="1"/>
    <xf numFmtId="166" fontId="9" fillId="18" borderId="1" xfId="0" applyNumberFormat="1" applyFont="1" applyFill="1" applyBorder="1"/>
    <xf numFmtId="166" fontId="4" fillId="3" borderId="1" xfId="0" applyNumberFormat="1" applyFont="1" applyFill="1" applyBorder="1"/>
    <xf numFmtId="166" fontId="4" fillId="19" borderId="1" xfId="0" applyNumberFormat="1" applyFont="1" applyFill="1" applyBorder="1"/>
    <xf numFmtId="166" fontId="9" fillId="8" borderId="1" xfId="0" applyNumberFormat="1" applyFont="1" applyFill="1" applyBorder="1"/>
    <xf numFmtId="166" fontId="0" fillId="12" borderId="1" xfId="0" applyNumberFormat="1" applyFont="1" applyFill="1" applyBorder="1"/>
    <xf numFmtId="166" fontId="0" fillId="20" borderId="1" xfId="0" applyNumberFormat="1" applyFont="1" applyFill="1" applyBorder="1"/>
    <xf numFmtId="166" fontId="0" fillId="3" borderId="6" xfId="0" applyNumberFormat="1" applyFont="1" applyFill="1" applyBorder="1"/>
    <xf numFmtId="166" fontId="13" fillId="0" borderId="1" xfId="0" applyNumberFormat="1" applyFont="1" applyBorder="1"/>
    <xf numFmtId="166" fontId="0" fillId="17" borderId="1" xfId="0" applyNumberFormat="1" applyFont="1" applyFill="1" applyBorder="1"/>
    <xf numFmtId="166" fontId="0" fillId="9" borderId="1" xfId="0" applyNumberFormat="1" applyFont="1" applyFill="1" applyBorder="1"/>
    <xf numFmtId="166" fontId="0" fillId="3" borderId="1" xfId="0" applyNumberFormat="1" applyFill="1" applyBorder="1"/>
    <xf numFmtId="166" fontId="11" fillId="3" borderId="1" xfId="0" applyNumberFormat="1" applyFont="1" applyFill="1" applyBorder="1"/>
    <xf numFmtId="166" fontId="0" fillId="16" borderId="1" xfId="0" applyNumberFormat="1" applyFont="1" applyFill="1" applyBorder="1"/>
    <xf numFmtId="166" fontId="13" fillId="3" borderId="1" xfId="0" applyNumberFormat="1" applyFont="1" applyFill="1" applyBorder="1"/>
    <xf numFmtId="166" fontId="3" fillId="10" borderId="1" xfId="0" applyNumberFormat="1" applyFont="1" applyFill="1" applyBorder="1"/>
    <xf numFmtId="166" fontId="3" fillId="3" borderId="1" xfId="0" applyNumberFormat="1" applyFont="1" applyFill="1" applyBorder="1"/>
    <xf numFmtId="0" fontId="0" fillId="15" borderId="1" xfId="0" applyFill="1" applyBorder="1"/>
    <xf numFmtId="0" fontId="2" fillId="26" borderId="1" xfId="0" applyFont="1" applyFill="1" applyBorder="1"/>
    <xf numFmtId="0" fontId="2" fillId="0" borderId="2" xfId="0" applyFont="1" applyBorder="1"/>
    <xf numFmtId="0" fontId="4" fillId="3" borderId="9" xfId="0" applyFont="1" applyFill="1" applyBorder="1"/>
    <xf numFmtId="166" fontId="2" fillId="3" borderId="9" xfId="0" applyNumberFormat="1" applyFont="1" applyFill="1" applyBorder="1"/>
    <xf numFmtId="0" fontId="0" fillId="3" borderId="9" xfId="0" applyFill="1" applyBorder="1"/>
    <xf numFmtId="0" fontId="0" fillId="0" borderId="3" xfId="0" applyFont="1" applyBorder="1"/>
    <xf numFmtId="166" fontId="2" fillId="0" borderId="3" xfId="0" applyNumberFormat="1" applyFont="1" applyBorder="1"/>
    <xf numFmtId="0" fontId="0" fillId="0" borderId="4" xfId="0" applyFont="1" applyBorder="1"/>
    <xf numFmtId="166" fontId="2" fillId="0" borderId="10" xfId="0" applyNumberFormat="1" applyFont="1" applyBorder="1"/>
    <xf numFmtId="0" fontId="0" fillId="0" borderId="11" xfId="0" applyBorder="1"/>
    <xf numFmtId="0" fontId="2" fillId="4" borderId="1" xfId="0" applyFont="1" applyFill="1" applyBorder="1"/>
    <xf numFmtId="0" fontId="2" fillId="28" borderId="1" xfId="0" applyFont="1" applyFill="1" applyBorder="1"/>
    <xf numFmtId="166" fontId="2" fillId="28" borderId="1" xfId="0" applyNumberFormat="1" applyFont="1" applyFill="1" applyBorder="1"/>
    <xf numFmtId="0" fontId="0" fillId="3" borderId="9" xfId="0" applyFont="1" applyFill="1" applyBorder="1"/>
    <xf numFmtId="0" fontId="0" fillId="3" borderId="3" xfId="0" applyFill="1" applyBorder="1"/>
    <xf numFmtId="166" fontId="2" fillId="3" borderId="3" xfId="0" applyNumberFormat="1" applyFont="1" applyFill="1" applyBorder="1"/>
    <xf numFmtId="0" fontId="2" fillId="3" borderId="4" xfId="0" applyFont="1" applyFill="1" applyBorder="1"/>
    <xf numFmtId="166" fontId="2" fillId="3" borderId="10" xfId="0" applyNumberFormat="1" applyFont="1" applyFill="1" applyBorder="1"/>
    <xf numFmtId="0" fontId="0" fillId="3" borderId="11" xfId="0" applyFill="1" applyBorder="1"/>
    <xf numFmtId="0" fontId="0" fillId="3" borderId="4" xfId="0" applyFill="1" applyBorder="1"/>
    <xf numFmtId="0" fontId="0" fillId="0" borderId="9" xfId="0" applyBorder="1"/>
    <xf numFmtId="166" fontId="0" fillId="0" borderId="9" xfId="0" applyNumberFormat="1" applyBorder="1"/>
    <xf numFmtId="0" fontId="2" fillId="25" borderId="1" xfId="0" applyFont="1" applyFill="1" applyBorder="1"/>
    <xf numFmtId="2" fontId="2" fillId="0" borderId="1" xfId="0" applyNumberFormat="1" applyFont="1" applyBorder="1"/>
    <xf numFmtId="0" fontId="0" fillId="0" borderId="9" xfId="0" applyFont="1" applyBorder="1"/>
    <xf numFmtId="166" fontId="2" fillId="0" borderId="9" xfId="0" applyNumberFormat="1" applyFont="1" applyBorder="1"/>
    <xf numFmtId="0" fontId="2" fillId="0" borderId="4" xfId="0" applyFont="1" applyBorder="1"/>
    <xf numFmtId="0" fontId="0" fillId="0" borderId="1" xfId="0" applyFont="1" applyBorder="1" applyAlignment="1">
      <alignment wrapText="1"/>
    </xf>
    <xf numFmtId="4" fontId="2" fillId="3" borderId="1" xfId="0" applyNumberFormat="1" applyFont="1" applyFill="1" applyBorder="1"/>
    <xf numFmtId="4" fontId="2" fillId="3" borderId="10" xfId="0" applyNumberFormat="1" applyFont="1" applyFill="1" applyBorder="1"/>
    <xf numFmtId="4" fontId="2" fillId="26" borderId="1" xfId="0" applyNumberFormat="1" applyFont="1" applyFill="1" applyBorder="1"/>
    <xf numFmtId="4" fontId="2" fillId="21" borderId="1" xfId="0" applyNumberFormat="1" applyFont="1" applyFill="1" applyBorder="1"/>
    <xf numFmtId="4" fontId="2" fillId="4" borderId="1" xfId="0" applyNumberFormat="1" applyFont="1" applyFill="1" applyBorder="1"/>
    <xf numFmtId="4" fontId="2" fillId="22" borderId="1" xfId="0" applyNumberFormat="1" applyFont="1" applyFill="1" applyBorder="1"/>
    <xf numFmtId="4" fontId="2" fillId="2" borderId="1" xfId="0" applyNumberFormat="1" applyFont="1" applyFill="1" applyBorder="1"/>
    <xf numFmtId="4" fontId="2" fillId="3" borderId="9" xfId="0" applyNumberFormat="1" applyFont="1" applyFill="1" applyBorder="1"/>
    <xf numFmtId="4" fontId="2" fillId="0" borderId="1" xfId="0" applyNumberFormat="1" applyFont="1" applyBorder="1"/>
    <xf numFmtId="4" fontId="2" fillId="3" borderId="6" xfId="0" applyNumberFormat="1" applyFont="1" applyFill="1" applyBorder="1"/>
    <xf numFmtId="4" fontId="0" fillId="3" borderId="1" xfId="0" applyNumberFormat="1" applyFont="1" applyFill="1" applyBorder="1"/>
    <xf numFmtId="0" fontId="0" fillId="3" borderId="5" xfId="0" applyFill="1" applyBorder="1"/>
    <xf numFmtId="0" fontId="0" fillId="3" borderId="7" xfId="0" applyFill="1" applyBorder="1"/>
    <xf numFmtId="2" fontId="2" fillId="26" borderId="1" xfId="0" applyNumberFormat="1" applyFont="1" applyFill="1" applyBorder="1"/>
    <xf numFmtId="2" fontId="2" fillId="2" borderId="1" xfId="0" applyNumberFormat="1" applyFont="1" applyFill="1" applyBorder="1"/>
    <xf numFmtId="2" fontId="2" fillId="25" borderId="1" xfId="0" applyNumberFormat="1" applyFont="1" applyFill="1" applyBorder="1"/>
    <xf numFmtId="0" fontId="2" fillId="0" borderId="3" xfId="0" applyFont="1" applyBorder="1"/>
    <xf numFmtId="0" fontId="0" fillId="28" borderId="1" xfId="0" applyFont="1" applyFill="1" applyBorder="1"/>
    <xf numFmtId="0" fontId="0" fillId="25" borderId="1" xfId="0" applyFont="1" applyFill="1" applyBorder="1"/>
    <xf numFmtId="3" fontId="0" fillId="0" borderId="1" xfId="0" applyNumberFormat="1" applyBorder="1"/>
    <xf numFmtId="0" fontId="3" fillId="29" borderId="1" xfId="0" applyFont="1" applyFill="1" applyBorder="1"/>
    <xf numFmtId="166" fontId="9" fillId="29" borderId="1" xfId="0" applyNumberFormat="1" applyFont="1" applyFill="1" applyBorder="1"/>
    <xf numFmtId="0" fontId="9" fillId="29" borderId="1" xfId="0" applyFont="1" applyFill="1" applyBorder="1"/>
    <xf numFmtId="0" fontId="2" fillId="30" borderId="1" xfId="0" applyFont="1" applyFill="1" applyBorder="1"/>
    <xf numFmtId="0" fontId="0" fillId="30" borderId="1" xfId="0" applyFill="1" applyBorder="1"/>
    <xf numFmtId="2" fontId="0" fillId="0" borderId="1" xfId="0" applyNumberFormat="1" applyBorder="1"/>
    <xf numFmtId="0" fontId="2" fillId="27" borderId="1" xfId="0" applyFont="1" applyFill="1" applyBorder="1"/>
    <xf numFmtId="0" fontId="0" fillId="27" borderId="1" xfId="0" applyFill="1" applyBorder="1"/>
    <xf numFmtId="0" fontId="2" fillId="31" borderId="1" xfId="0" applyFont="1" applyFill="1" applyBorder="1"/>
    <xf numFmtId="0" fontId="0" fillId="31" borderId="1" xfId="0" applyFill="1" applyBorder="1"/>
    <xf numFmtId="0" fontId="10" fillId="2" borderId="1" xfId="0" applyFont="1" applyFill="1" applyBorder="1"/>
    <xf numFmtId="0" fontId="14" fillId="6" borderId="1" xfId="0" applyFont="1" applyFill="1" applyBorder="1"/>
    <xf numFmtId="0" fontId="10" fillId="4" borderId="1" xfId="0" applyFont="1" applyFill="1" applyBorder="1"/>
    <xf numFmtId="0" fontId="12" fillId="0" borderId="1" xfId="0" applyFont="1" applyBorder="1"/>
    <xf numFmtId="0" fontId="2" fillId="11" borderId="1" xfId="0" applyFont="1" applyFill="1" applyBorder="1"/>
    <xf numFmtId="0" fontId="0" fillId="2" borderId="9" xfId="0" applyFill="1" applyBorder="1"/>
    <xf numFmtId="0" fontId="2" fillId="2" borderId="9" xfId="0" applyFont="1" applyFill="1" applyBorder="1"/>
    <xf numFmtId="0" fontId="0" fillId="2" borderId="9" xfId="0" applyFont="1" applyFill="1" applyBorder="1"/>
    <xf numFmtId="0" fontId="0" fillId="4" borderId="3" xfId="0" applyFill="1" applyBorder="1"/>
    <xf numFmtId="0" fontId="2" fillId="4" borderId="3" xfId="0" applyFont="1" applyFill="1" applyBorder="1"/>
    <xf numFmtId="2" fontId="2" fillId="21" borderId="1" xfId="0" applyNumberFormat="1" applyFont="1" applyFill="1" applyBorder="1"/>
    <xf numFmtId="167" fontId="2" fillId="4" borderId="1" xfId="0" applyNumberFormat="1" applyFont="1" applyFill="1" applyBorder="1"/>
    <xf numFmtId="167" fontId="2" fillId="2" borderId="1" xfId="0" applyNumberFormat="1" applyFont="1" applyFill="1" applyBorder="1"/>
    <xf numFmtId="2" fontId="0" fillId="21" borderId="1" xfId="0" applyNumberFormat="1" applyFill="1" applyBorder="1"/>
    <xf numFmtId="1" fontId="12" fillId="4" borderId="1" xfId="0" applyNumberFormat="1" applyFont="1" applyFill="1" applyBorder="1"/>
    <xf numFmtId="1" fontId="12" fillId="2" borderId="1" xfId="0" applyNumberFormat="1" applyFont="1" applyFill="1" applyBorder="1"/>
    <xf numFmtId="1" fontId="2" fillId="21" borderId="1" xfId="0" applyNumberFormat="1" applyFont="1" applyFill="1" applyBorder="1"/>
    <xf numFmtId="1" fontId="0" fillId="11" borderId="1" xfId="0" applyNumberFormat="1" applyFont="1" applyFill="1" applyBorder="1"/>
    <xf numFmtId="1" fontId="2" fillId="4" borderId="1" xfId="0" applyNumberFormat="1" applyFont="1" applyFill="1" applyBorder="1"/>
    <xf numFmtId="1" fontId="2" fillId="2" borderId="1" xfId="0" applyNumberFormat="1" applyFont="1" applyFill="1" applyBorder="1"/>
    <xf numFmtId="165" fontId="12" fillId="4" borderId="1" xfId="0" applyNumberFormat="1" applyFont="1" applyFill="1" applyBorder="1"/>
    <xf numFmtId="165" fontId="12" fillId="2" borderId="1" xfId="0" applyNumberFormat="1" applyFont="1" applyFill="1" applyBorder="1"/>
    <xf numFmtId="165" fontId="12" fillId="0" borderId="1" xfId="0" applyNumberFormat="1" applyFont="1" applyBorder="1"/>
    <xf numFmtId="165" fontId="2" fillId="2" borderId="1" xfId="0" applyNumberFormat="1" applyFont="1" applyFill="1" applyBorder="1"/>
    <xf numFmtId="167" fontId="2" fillId="21" borderId="1" xfId="0" applyNumberFormat="1" applyFont="1" applyFill="1" applyBorder="1"/>
    <xf numFmtId="2" fontId="2" fillId="4" borderId="1" xfId="0" applyNumberFormat="1" applyFont="1" applyFill="1" applyBorder="1"/>
    <xf numFmtId="2" fontId="2" fillId="2" borderId="9" xfId="0" applyNumberFormat="1" applyFont="1" applyFill="1" applyBorder="1"/>
    <xf numFmtId="167" fontId="2" fillId="0" borderId="1" xfId="0" applyNumberFormat="1" applyFont="1" applyBorder="1"/>
    <xf numFmtId="168" fontId="2" fillId="0" borderId="1" xfId="0" applyNumberFormat="1" applyFont="1" applyBorder="1"/>
    <xf numFmtId="168" fontId="2" fillId="4" borderId="1" xfId="0" applyNumberFormat="1" applyFont="1" applyFill="1" applyBorder="1"/>
    <xf numFmtId="168" fontId="2" fillId="2" borderId="1" xfId="0" applyNumberFormat="1" applyFont="1" applyFill="1" applyBorder="1"/>
    <xf numFmtId="168" fontId="2" fillId="21" borderId="1" xfId="0" applyNumberFormat="1" applyFont="1" applyFill="1" applyBorder="1"/>
    <xf numFmtId="3" fontId="2" fillId="4" borderId="1" xfId="0" applyNumberFormat="1" applyFont="1" applyFill="1" applyBorder="1"/>
    <xf numFmtId="169" fontId="2" fillId="2" borderId="1" xfId="0" applyNumberFormat="1" applyFont="1" applyFill="1" applyBorder="1"/>
    <xf numFmtId="3" fontId="2" fillId="22" borderId="1" xfId="0" applyNumberFormat="1" applyFont="1" applyFill="1" applyBorder="1"/>
    <xf numFmtId="3" fontId="2" fillId="26" borderId="1" xfId="0" applyNumberFormat="1" applyFont="1" applyFill="1" applyBorder="1"/>
    <xf numFmtId="3" fontId="0" fillId="26" borderId="1" xfId="0" applyNumberFormat="1" applyFont="1" applyFill="1" applyBorder="1"/>
    <xf numFmtId="3" fontId="2" fillId="2" borderId="1" xfId="0" applyNumberFormat="1" applyFont="1" applyFill="1" applyBorder="1"/>
    <xf numFmtId="3" fontId="2" fillId="0" borderId="1" xfId="0" applyNumberFormat="1" applyFont="1" applyBorder="1"/>
    <xf numFmtId="169" fontId="0" fillId="26" borderId="1" xfId="0" applyNumberFormat="1" applyFont="1" applyFill="1" applyBorder="1"/>
    <xf numFmtId="169" fontId="0" fillId="24" borderId="1" xfId="0" applyNumberFormat="1" applyFill="1" applyBorder="1"/>
    <xf numFmtId="169" fontId="0" fillId="22" borderId="1" xfId="0" applyNumberFormat="1" applyFill="1" applyBorder="1"/>
    <xf numFmtId="169" fontId="0" fillId="4" borderId="1" xfId="0" applyNumberFormat="1" applyFill="1" applyBorder="1"/>
    <xf numFmtId="0" fontId="2" fillId="24" borderId="1" xfId="0" applyFont="1" applyFill="1" applyBorder="1"/>
    <xf numFmtId="2" fontId="2" fillId="24" borderId="1" xfId="0" applyNumberFormat="1" applyFont="1" applyFill="1" applyBorder="1"/>
    <xf numFmtId="4" fontId="2" fillId="24" borderId="1" xfId="0" applyNumberFormat="1" applyFont="1" applyFill="1" applyBorder="1"/>
    <xf numFmtId="166" fontId="2" fillId="24" borderId="1" xfId="0" applyNumberFormat="1" applyFont="1" applyFill="1" applyBorder="1"/>
    <xf numFmtId="165" fontId="0" fillId="24" borderId="1" xfId="0" applyNumberFormat="1" applyFont="1" applyFill="1" applyBorder="1"/>
    <xf numFmtId="0" fontId="10" fillId="22" borderId="1" xfId="0" applyFont="1" applyFill="1" applyBorder="1"/>
    <xf numFmtId="2" fontId="2" fillId="22" borderId="1" xfId="0" applyNumberFormat="1" applyFont="1" applyFill="1" applyBorder="1"/>
    <xf numFmtId="166" fontId="0" fillId="3" borderId="9" xfId="0" applyNumberFormat="1" applyFont="1" applyFill="1" applyBorder="1"/>
    <xf numFmtId="0" fontId="0" fillId="0" borderId="12" xfId="0" applyBorder="1"/>
    <xf numFmtId="0" fontId="0" fillId="15" borderId="1" xfId="0" applyFont="1" applyFill="1" applyBorder="1"/>
    <xf numFmtId="166" fontId="0" fillId="15" borderId="1" xfId="0" applyNumberFormat="1" applyFont="1" applyFill="1" applyBorder="1"/>
    <xf numFmtId="0" fontId="0" fillId="22" borderId="3" xfId="0" applyFill="1" applyBorder="1"/>
    <xf numFmtId="0" fontId="0" fillId="22" borderId="0" xfId="0" applyFill="1"/>
    <xf numFmtId="166" fontId="0" fillId="22" borderId="1" xfId="0" applyNumberFormat="1" applyFont="1" applyFill="1" applyBorder="1"/>
    <xf numFmtId="165" fontId="2" fillId="22" borderId="1" xfId="0" applyNumberFormat="1" applyFont="1" applyFill="1" applyBorder="1"/>
    <xf numFmtId="165" fontId="0" fillId="22" borderId="1" xfId="0" applyNumberFormat="1" applyFont="1" applyFill="1" applyBorder="1"/>
    <xf numFmtId="0" fontId="2" fillId="0" borderId="0" xfId="0" applyFont="1"/>
    <xf numFmtId="0" fontId="0" fillId="26" borderId="13" xfId="0" applyFill="1" applyBorder="1"/>
    <xf numFmtId="0" fontId="0" fillId="26" borderId="14" xfId="0" applyFill="1" applyBorder="1"/>
    <xf numFmtId="0" fontId="0" fillId="0" borderId="3" xfId="0" applyFill="1" applyBorder="1"/>
    <xf numFmtId="0" fontId="0" fillId="0" borderId="1" xfId="0" applyFill="1" applyBorder="1"/>
    <xf numFmtId="165" fontId="2" fillId="15" borderId="1" xfId="0" applyNumberFormat="1" applyFont="1" applyFill="1" applyBorder="1"/>
    <xf numFmtId="0" fontId="11" fillId="15" borderId="1" xfId="0" applyFont="1" applyFill="1" applyBorder="1"/>
    <xf numFmtId="166" fontId="0" fillId="32" borderId="1" xfId="0" applyNumberFormat="1" applyFont="1" applyFill="1" applyBorder="1"/>
    <xf numFmtId="165" fontId="11" fillId="32" borderId="1" xfId="0" applyNumberFormat="1" applyFont="1" applyFill="1" applyBorder="1"/>
    <xf numFmtId="0" fontId="11" fillId="32" borderId="1" xfId="0" applyFont="1" applyFill="1" applyBorder="1"/>
    <xf numFmtId="0" fontId="0" fillId="32" borderId="1" xfId="0" applyFill="1" applyBorder="1"/>
    <xf numFmtId="0" fontId="0" fillId="33" borderId="1" xfId="0" applyFill="1" applyBorder="1"/>
    <xf numFmtId="166" fontId="0" fillId="27" borderId="1" xfId="0" applyNumberFormat="1" applyFont="1" applyFill="1" applyBorder="1"/>
    <xf numFmtId="165" fontId="0" fillId="15" borderId="1" xfId="0" applyNumberFormat="1" applyFont="1" applyFill="1" applyBorder="1"/>
    <xf numFmtId="166" fontId="0" fillId="24" borderId="1" xfId="0" applyNumberFormat="1" applyFont="1" applyFill="1" applyBorder="1"/>
    <xf numFmtId="0" fontId="11" fillId="24" borderId="1" xfId="0" applyFont="1" applyFill="1" applyBorder="1"/>
    <xf numFmtId="0" fontId="11" fillId="4" borderId="1" xfId="0" applyFont="1" applyFill="1" applyBorder="1"/>
    <xf numFmtId="0" fontId="11" fillId="2" borderId="1" xfId="0" applyFont="1" applyFill="1" applyBorder="1"/>
    <xf numFmtId="166" fontId="0" fillId="33" borderId="1" xfId="0" applyNumberFormat="1" applyFill="1" applyBorder="1"/>
    <xf numFmtId="9" fontId="0" fillId="15" borderId="1" xfId="0" applyNumberFormat="1" applyFill="1" applyBorder="1"/>
    <xf numFmtId="9" fontId="0" fillId="24" borderId="1" xfId="0" applyNumberFormat="1" applyFill="1" applyBorder="1"/>
    <xf numFmtId="9" fontId="2" fillId="15" borderId="1" xfId="0" applyNumberFormat="1" applyFont="1" applyFill="1" applyBorder="1"/>
    <xf numFmtId="0" fontId="2" fillId="16" borderId="1" xfId="0" applyFont="1" applyFill="1" applyBorder="1"/>
    <xf numFmtId="3" fontId="2" fillId="3" borderId="1" xfId="0" applyNumberFormat="1" applyFont="1" applyFill="1" applyBorder="1"/>
    <xf numFmtId="169" fontId="2" fillId="24" borderId="1" xfId="0" applyNumberFormat="1" applyFont="1" applyFill="1" applyBorder="1"/>
    <xf numFmtId="1" fontId="2" fillId="24" borderId="1" xfId="0" applyNumberFormat="1" applyFont="1" applyFill="1" applyBorder="1"/>
    <xf numFmtId="169" fontId="2" fillId="4" borderId="1" xfId="0" applyNumberFormat="1" applyFont="1" applyFill="1" applyBorder="1"/>
    <xf numFmtId="169" fontId="2" fillId="26" borderId="1" xfId="0" applyNumberFormat="1" applyFont="1" applyFill="1" applyBorder="1"/>
    <xf numFmtId="3" fontId="2" fillId="0" borderId="10" xfId="0" applyNumberFormat="1" applyFont="1" applyBorder="1"/>
    <xf numFmtId="166" fontId="2" fillId="11" borderId="1" xfId="0" applyNumberFormat="1" applyFont="1" applyFill="1" applyBorder="1"/>
    <xf numFmtId="0" fontId="0" fillId="24" borderId="2" xfId="0" applyFont="1" applyFill="1" applyBorder="1"/>
    <xf numFmtId="2" fontId="2" fillId="15" borderId="1" xfId="0" applyNumberFormat="1" applyFont="1" applyFill="1" applyBorder="1"/>
    <xf numFmtId="0" fontId="10" fillId="15" borderId="1" xfId="0" applyFont="1" applyFill="1" applyBorder="1"/>
    <xf numFmtId="0" fontId="17" fillId="0" borderId="1" xfId="0" applyFont="1" applyBorder="1"/>
    <xf numFmtId="0" fontId="0" fillId="15" borderId="3" xfId="0" applyFill="1" applyBorder="1"/>
    <xf numFmtId="0" fontId="0" fillId="24" borderId="3" xfId="0" applyFill="1" applyBorder="1"/>
    <xf numFmtId="0" fontId="10" fillId="24" borderId="1" xfId="0" applyFont="1" applyFill="1" applyBorder="1"/>
    <xf numFmtId="0" fontId="13" fillId="15" borderId="1" xfId="0" applyFont="1" applyFill="1" applyBorder="1"/>
    <xf numFmtId="166" fontId="0" fillId="3" borderId="3" xfId="0" applyNumberFormat="1" applyFont="1" applyFill="1" applyBorder="1"/>
    <xf numFmtId="166" fontId="0" fillId="3" borderId="10" xfId="0" applyNumberFormat="1" applyFont="1" applyFill="1" applyBorder="1"/>
    <xf numFmtId="0" fontId="0" fillId="3" borderId="3" xfId="0" applyFont="1" applyFill="1" applyBorder="1"/>
    <xf numFmtId="0" fontId="0" fillId="15" borderId="2" xfId="0" applyFill="1" applyBorder="1"/>
    <xf numFmtId="0" fontId="0" fillId="6" borderId="11" xfId="0" applyFill="1" applyBorder="1"/>
    <xf numFmtId="0" fontId="0" fillId="15" borderId="0" xfId="0" applyFill="1"/>
    <xf numFmtId="0" fontId="0" fillId="3" borderId="4" xfId="0" applyFont="1" applyFill="1" applyBorder="1"/>
    <xf numFmtId="170" fontId="2" fillId="15" borderId="1" xfId="0" applyNumberFormat="1" applyFont="1" applyFill="1" applyBorder="1"/>
    <xf numFmtId="0" fontId="0" fillId="3" borderId="2" xfId="0" applyFont="1" applyFill="1" applyBorder="1"/>
    <xf numFmtId="0" fontId="0" fillId="3" borderId="11" xfId="0" applyFont="1" applyFill="1" applyBorder="1"/>
    <xf numFmtId="166" fontId="7" fillId="0" borderId="9" xfId="0" applyNumberFormat="1" applyFont="1" applyBorder="1"/>
    <xf numFmtId="170" fontId="0" fillId="15" borderId="1" xfId="0" applyNumberFormat="1" applyFont="1" applyFill="1" applyBorder="1"/>
    <xf numFmtId="4" fontId="2" fillId="15" borderId="1" xfId="0" applyNumberFormat="1" applyFont="1" applyFill="1" applyBorder="1"/>
    <xf numFmtId="165" fontId="2" fillId="24" borderId="1" xfId="0" applyNumberFormat="1" applyFont="1" applyFill="1" applyBorder="1"/>
    <xf numFmtId="0" fontId="2" fillId="3" borderId="2" xfId="0" applyFont="1" applyFill="1" applyBorder="1"/>
    <xf numFmtId="170" fontId="2" fillId="4" borderId="1" xfId="0" applyNumberFormat="1" applyFont="1" applyFill="1" applyBorder="1"/>
    <xf numFmtId="0" fontId="0" fillId="3" borderId="0" xfId="0" applyFill="1"/>
    <xf numFmtId="171" fontId="0" fillId="0" borderId="1" xfId="0" applyNumberFormat="1" applyBorder="1"/>
    <xf numFmtId="169" fontId="2" fillId="0" borderId="1" xfId="0" applyNumberFormat="1" applyFont="1" applyBorder="1"/>
    <xf numFmtId="4" fontId="0" fillId="0" borderId="1" xfId="0" applyNumberFormat="1" applyBorder="1"/>
    <xf numFmtId="0" fontId="2" fillId="3" borderId="9" xfId="0" applyFont="1" applyFill="1" applyBorder="1"/>
    <xf numFmtId="167" fontId="2" fillId="3" borderId="6" xfId="0" applyNumberFormat="1" applyFont="1" applyFill="1" applyBorder="1"/>
    <xf numFmtId="0" fontId="0" fillId="3" borderId="6" xfId="0" applyFont="1" applyFill="1" applyBorder="1"/>
    <xf numFmtId="0" fontId="0" fillId="0" borderId="4" xfId="0" applyBorder="1"/>
    <xf numFmtId="168" fontId="2" fillId="0" borderId="10" xfId="0" applyNumberFormat="1" applyFont="1" applyBorder="1"/>
    <xf numFmtId="169" fontId="0" fillId="0" borderId="1" xfId="0" applyNumberFormat="1" applyBorder="1"/>
    <xf numFmtId="169" fontId="4" fillId="3" borderId="1" xfId="0" applyNumberFormat="1" applyFont="1" applyFill="1" applyBorder="1"/>
    <xf numFmtId="3" fontId="4" fillId="3" borderId="1" xfId="0" applyNumberFormat="1" applyFont="1" applyFill="1" applyBorder="1"/>
    <xf numFmtId="0" fontId="17" fillId="0" borderId="0" xfId="0" applyFont="1"/>
    <xf numFmtId="0" fontId="0" fillId="2" borderId="0" xfId="0" applyFill="1"/>
    <xf numFmtId="166" fontId="0" fillId="15" borderId="1" xfId="0" applyNumberFormat="1" applyFill="1" applyBorder="1"/>
    <xf numFmtId="0" fontId="9" fillId="29" borderId="0" xfId="0" applyFont="1" applyFill="1"/>
    <xf numFmtId="0" fontId="9" fillId="34" borderId="1" xfId="0" applyFont="1" applyFill="1" applyBorder="1"/>
    <xf numFmtId="166" fontId="3" fillId="34" borderId="1" xfId="0" applyNumberFormat="1" applyFont="1" applyFill="1" applyBorder="1"/>
    <xf numFmtId="0" fontId="3" fillId="34" borderId="1" xfId="0" applyFont="1" applyFill="1" applyBorder="1"/>
    <xf numFmtId="0" fontId="0" fillId="6" borderId="0" xfId="0" applyFill="1"/>
    <xf numFmtId="0" fontId="0" fillId="0" borderId="0" xfId="0" applyBorder="1"/>
    <xf numFmtId="4" fontId="2" fillId="0" borderId="15" xfId="0" applyNumberFormat="1" applyFont="1" applyBorder="1"/>
    <xf numFmtId="4" fontId="2" fillId="3" borderId="15" xfId="0" applyNumberFormat="1" applyFont="1" applyFill="1" applyBorder="1"/>
    <xf numFmtId="4" fontId="2" fillId="3" borderId="7" xfId="0" applyNumberFormat="1" applyFont="1" applyFill="1" applyBorder="1"/>
    <xf numFmtId="3" fontId="2" fillId="0" borderId="15" xfId="0" applyNumberFormat="1" applyFont="1" applyBorder="1"/>
    <xf numFmtId="166" fontId="2" fillId="0" borderId="15" xfId="0" applyNumberFormat="1" applyFont="1" applyBorder="1"/>
    <xf numFmtId="166" fontId="2" fillId="3" borderId="15" xfId="0" applyNumberFormat="1" applyFont="1" applyFill="1" applyBorder="1"/>
    <xf numFmtId="166" fontId="0" fillId="3" borderId="7" xfId="0" applyNumberFormat="1" applyFont="1" applyFill="1" applyBorder="1"/>
    <xf numFmtId="166" fontId="2" fillId="15" borderId="3" xfId="0" applyNumberFormat="1" applyFont="1" applyFill="1" applyBorder="1"/>
    <xf numFmtId="166" fontId="0" fillId="15" borderId="3" xfId="0" applyNumberFormat="1" applyFont="1" applyFill="1" applyBorder="1"/>
    <xf numFmtId="166" fontId="0" fillId="24" borderId="3" xfId="0" applyNumberFormat="1" applyFont="1" applyFill="1" applyBorder="1"/>
    <xf numFmtId="166" fontId="2" fillId="22" borderId="3" xfId="0" applyNumberFormat="1" applyFont="1" applyFill="1" applyBorder="1"/>
    <xf numFmtId="166" fontId="0" fillId="4" borderId="3" xfId="0" applyNumberFormat="1" applyFont="1" applyFill="1" applyBorder="1"/>
    <xf numFmtId="166" fontId="0" fillId="3" borderId="15" xfId="0" applyNumberFormat="1" applyFont="1" applyFill="1" applyBorder="1"/>
    <xf numFmtId="166" fontId="0" fillId="6" borderId="15" xfId="0" applyNumberFormat="1" applyFont="1" applyFill="1" applyBorder="1"/>
    <xf numFmtId="3" fontId="0" fillId="3" borderId="15" xfId="0" applyNumberFormat="1" applyFont="1" applyFill="1" applyBorder="1"/>
    <xf numFmtId="170" fontId="0" fillId="3" borderId="15" xfId="0" applyNumberFormat="1" applyFont="1" applyFill="1" applyBorder="1"/>
    <xf numFmtId="4" fontId="0" fillId="3" borderId="15" xfId="0" applyNumberFormat="1" applyFont="1" applyFill="1" applyBorder="1"/>
    <xf numFmtId="3" fontId="0" fillId="22" borderId="1" xfId="0" applyNumberFormat="1" applyFont="1" applyFill="1" applyBorder="1"/>
    <xf numFmtId="3" fontId="0" fillId="26" borderId="1" xfId="0" applyNumberFormat="1" applyFill="1" applyBorder="1"/>
    <xf numFmtId="169" fontId="2" fillId="3" borderId="1" xfId="0" applyNumberFormat="1" applyFont="1" applyFill="1" applyBorder="1"/>
    <xf numFmtId="3" fontId="0" fillId="3" borderId="1" xfId="0" applyNumberFormat="1" applyFont="1" applyFill="1" applyBorder="1"/>
    <xf numFmtId="169" fontId="0" fillId="0" borderId="1" xfId="0" applyNumberFormat="1" applyFont="1" applyBorder="1"/>
    <xf numFmtId="3" fontId="0" fillId="22" borderId="1" xfId="0" applyNumberFormat="1" applyFill="1" applyBorder="1"/>
    <xf numFmtId="0" fontId="0" fillId="0" borderId="5" xfId="0" applyBorder="1"/>
    <xf numFmtId="0" fontId="0" fillId="3" borderId="2" xfId="0" applyFill="1" applyBorder="1"/>
    <xf numFmtId="169" fontId="2" fillId="3" borderId="10" xfId="0" applyNumberFormat="1" applyFont="1" applyFill="1" applyBorder="1"/>
    <xf numFmtId="3" fontId="2" fillId="24" borderId="1" xfId="0" applyNumberFormat="1" applyFont="1" applyFill="1" applyBorder="1"/>
    <xf numFmtId="169" fontId="2" fillId="22" borderId="1" xfId="0" applyNumberFormat="1" applyFont="1" applyFill="1" applyBorder="1"/>
    <xf numFmtId="3" fontId="2" fillId="0" borderId="3" xfId="0" applyNumberFormat="1" applyFont="1" applyBorder="1"/>
    <xf numFmtId="168" fontId="2" fillId="26" borderId="1" xfId="0" applyNumberFormat="1" applyFont="1" applyFill="1" applyBorder="1"/>
    <xf numFmtId="168" fontId="2" fillId="22" borderId="1" xfId="0" applyNumberFormat="1" applyFont="1" applyFill="1" applyBorder="1"/>
    <xf numFmtId="168" fontId="2" fillId="25" borderId="1" xfId="0" applyNumberFormat="1" applyFont="1" applyFill="1" applyBorder="1"/>
    <xf numFmtId="169" fontId="2" fillId="0" borderId="10" xfId="0" applyNumberFormat="1" applyFont="1" applyBorder="1"/>
    <xf numFmtId="168" fontId="0" fillId="2" borderId="1" xfId="0" applyNumberFormat="1" applyFill="1" applyBorder="1"/>
    <xf numFmtId="168" fontId="0" fillId="4" borderId="1" xfId="0" applyNumberFormat="1" applyFill="1" applyBorder="1"/>
    <xf numFmtId="0" fontId="2" fillId="0" borderId="16" xfId="0" applyFont="1" applyBorder="1"/>
    <xf numFmtId="2" fontId="2" fillId="0" borderId="10" xfId="0" applyNumberFormat="1" applyFont="1" applyBorder="1"/>
    <xf numFmtId="0" fontId="0" fillId="0" borderId="20" xfId="0" applyBorder="1"/>
    <xf numFmtId="3" fontId="2" fillId="33" borderId="1" xfId="0" applyNumberFormat="1" applyFont="1" applyFill="1" applyBorder="1"/>
    <xf numFmtId="3" fontId="2" fillId="21" borderId="1" xfId="0" applyNumberFormat="1" applyFont="1" applyFill="1" applyBorder="1"/>
    <xf numFmtId="3" fontId="2" fillId="27" borderId="1" xfId="0" applyNumberFormat="1" applyFont="1" applyFill="1" applyBorder="1"/>
    <xf numFmtId="2" fontId="2" fillId="27" borderId="1" xfId="0" applyNumberFormat="1" applyFont="1" applyFill="1" applyBorder="1"/>
    <xf numFmtId="3" fontId="2" fillId="35" borderId="1" xfId="0" applyNumberFormat="1" applyFont="1" applyFill="1" applyBorder="1"/>
    <xf numFmtId="2" fontId="2" fillId="35" borderId="1" xfId="0" applyNumberFormat="1" applyFont="1" applyFill="1" applyBorder="1"/>
    <xf numFmtId="2" fontId="2" fillId="35" borderId="13" xfId="0" applyNumberFormat="1" applyFont="1" applyFill="1" applyBorder="1"/>
    <xf numFmtId="3" fontId="2" fillId="5" borderId="1" xfId="0" applyNumberFormat="1" applyFont="1" applyFill="1" applyBorder="1"/>
    <xf numFmtId="3" fontId="2" fillId="2" borderId="9" xfId="0" applyNumberFormat="1" applyFont="1" applyFill="1" applyBorder="1"/>
    <xf numFmtId="3" fontId="2" fillId="36" borderId="1" xfId="0" applyNumberFormat="1" applyFont="1" applyFill="1" applyBorder="1"/>
    <xf numFmtId="2" fontId="2" fillId="36" borderId="1" xfId="0" applyNumberFormat="1" applyFont="1" applyFill="1" applyBorder="1"/>
    <xf numFmtId="169" fontId="0" fillId="0" borderId="0" xfId="0" applyNumberFormat="1" applyBorder="1"/>
    <xf numFmtId="3" fontId="0" fillId="0" borderId="0" xfId="0" applyNumberFormat="1" applyBorder="1"/>
    <xf numFmtId="2" fontId="0" fillId="0" borderId="0" xfId="0" applyNumberFormat="1" applyBorder="1"/>
    <xf numFmtId="2" fontId="0" fillId="0" borderId="0" xfId="0" applyNumberFormat="1"/>
    <xf numFmtId="0" fontId="0" fillId="26" borderId="22" xfId="0" applyFill="1" applyBorder="1"/>
    <xf numFmtId="3" fontId="2" fillId="26" borderId="18" xfId="0" applyNumberFormat="1" applyFont="1" applyFill="1" applyBorder="1"/>
    <xf numFmtId="168" fontId="2" fillId="26" borderId="19" xfId="0" applyNumberFormat="1" applyFont="1" applyFill="1" applyBorder="1"/>
    <xf numFmtId="0" fontId="0" fillId="22" borderId="24" xfId="0" applyFill="1" applyBorder="1"/>
    <xf numFmtId="3" fontId="2" fillId="22" borderId="8" xfId="0" applyNumberFormat="1" applyFont="1" applyFill="1" applyBorder="1"/>
    <xf numFmtId="0" fontId="0" fillId="4" borderId="26" xfId="0" applyFill="1" applyBorder="1"/>
    <xf numFmtId="3" fontId="2" fillId="4" borderId="21" xfId="0" applyNumberFormat="1" applyFont="1" applyFill="1" applyBorder="1"/>
    <xf numFmtId="168" fontId="2" fillId="4" borderId="27" xfId="0" applyNumberFormat="1" applyFont="1" applyFill="1" applyBorder="1"/>
    <xf numFmtId="168" fontId="2" fillId="4" borderId="28" xfId="0" applyNumberFormat="1" applyFont="1" applyFill="1" applyBorder="1"/>
    <xf numFmtId="168" fontId="0" fillId="0" borderId="0" xfId="0" applyNumberFormat="1" applyBorder="1"/>
    <xf numFmtId="168" fontId="2" fillId="0" borderId="0" xfId="0" applyNumberFormat="1" applyFont="1" applyBorder="1"/>
    <xf numFmtId="0" fontId="0" fillId="0" borderId="29" xfId="0" applyBorder="1"/>
    <xf numFmtId="3" fontId="2" fillId="0" borderId="4" xfId="0" applyNumberFormat="1" applyFont="1" applyBorder="1"/>
    <xf numFmtId="0" fontId="2" fillId="0" borderId="10" xfId="0" applyFont="1" applyBorder="1"/>
    <xf numFmtId="2" fontId="2" fillId="0" borderId="11" xfId="0" applyNumberFormat="1" applyFont="1" applyBorder="1"/>
    <xf numFmtId="167" fontId="2" fillId="3" borderId="15" xfId="0" applyNumberFormat="1" applyFont="1" applyFill="1" applyBorder="1"/>
    <xf numFmtId="2" fontId="0" fillId="0" borderId="0" xfId="0" applyNumberFormat="1" applyFont="1" applyFill="1"/>
    <xf numFmtId="0" fontId="2" fillId="0" borderId="1" xfId="0" applyFont="1" applyFill="1" applyBorder="1"/>
    <xf numFmtId="0" fontId="2" fillId="0" borderId="9" xfId="0" applyFont="1" applyBorder="1"/>
    <xf numFmtId="0" fontId="0" fillId="35" borderId="1" xfId="0" applyFill="1" applyBorder="1"/>
    <xf numFmtId="0" fontId="0" fillId="36" borderId="1" xfId="0" applyFill="1" applyBorder="1"/>
    <xf numFmtId="1" fontId="2" fillId="0" borderId="1" xfId="0" applyNumberFormat="1" applyFont="1" applyBorder="1"/>
    <xf numFmtId="168" fontId="0" fillId="21" borderId="1" xfId="0" applyNumberFormat="1" applyFill="1" applyBorder="1"/>
    <xf numFmtId="168" fontId="2" fillId="11" borderId="1" xfId="0" applyNumberFormat="1" applyFont="1" applyFill="1" applyBorder="1"/>
    <xf numFmtId="168" fontId="0" fillId="11" borderId="1" xfId="0" applyNumberFormat="1" applyFill="1" applyBorder="1"/>
    <xf numFmtId="0" fontId="0" fillId="36" borderId="1" xfId="0" applyFont="1" applyFill="1" applyBorder="1"/>
    <xf numFmtId="168" fontId="2" fillId="36" borderId="1" xfId="0" applyNumberFormat="1" applyFont="1" applyFill="1" applyBorder="1"/>
    <xf numFmtId="0" fontId="2" fillId="36" borderId="1" xfId="0" applyFont="1" applyFill="1" applyBorder="1"/>
    <xf numFmtId="168" fontId="0" fillId="36" borderId="1" xfId="0" applyNumberFormat="1" applyFill="1" applyBorder="1"/>
    <xf numFmtId="0" fontId="12" fillId="36" borderId="1" xfId="0" applyFont="1" applyFill="1" applyBorder="1"/>
    <xf numFmtId="1" fontId="12" fillId="36" borderId="1" xfId="0" applyNumberFormat="1" applyFont="1" applyFill="1" applyBorder="1"/>
    <xf numFmtId="1" fontId="2" fillId="36" borderId="1" xfId="0" applyNumberFormat="1" applyFont="1" applyFill="1" applyBorder="1"/>
    <xf numFmtId="165" fontId="12" fillId="36" borderId="1" xfId="0" applyNumberFormat="1" applyFont="1" applyFill="1" applyBorder="1"/>
    <xf numFmtId="165" fontId="2" fillId="36" borderId="1" xfId="0" applyNumberFormat="1" applyFont="1" applyFill="1" applyBorder="1"/>
    <xf numFmtId="167" fontId="2" fillId="36" borderId="1" xfId="0" applyNumberFormat="1" applyFont="1" applyFill="1" applyBorder="1"/>
    <xf numFmtId="0" fontId="0" fillId="35" borderId="1" xfId="0" applyFont="1" applyFill="1" applyBorder="1"/>
    <xf numFmtId="169" fontId="0" fillId="27" borderId="1" xfId="0" applyNumberFormat="1" applyFill="1" applyBorder="1"/>
    <xf numFmtId="166" fontId="2" fillId="27" borderId="1" xfId="0" applyNumberFormat="1" applyFont="1" applyFill="1" applyBorder="1"/>
    <xf numFmtId="165" fontId="0" fillId="27" borderId="1" xfId="0" applyNumberFormat="1" applyFont="1" applyFill="1" applyBorder="1"/>
    <xf numFmtId="169" fontId="2" fillId="27" borderId="1" xfId="0" applyNumberFormat="1" applyFont="1" applyFill="1" applyBorder="1"/>
    <xf numFmtId="0" fontId="11" fillId="27" borderId="1" xfId="0" applyFont="1" applyFill="1" applyBorder="1"/>
    <xf numFmtId="166" fontId="0" fillId="27" borderId="3" xfId="0" applyNumberFormat="1" applyFont="1" applyFill="1" applyBorder="1"/>
    <xf numFmtId="0" fontId="0" fillId="27" borderId="3" xfId="0" applyFill="1" applyBorder="1"/>
    <xf numFmtId="0" fontId="13" fillId="27" borderId="1" xfId="0" applyFont="1" applyFill="1" applyBorder="1"/>
    <xf numFmtId="166" fontId="0" fillId="35" borderId="1" xfId="0" applyNumberFormat="1" applyFont="1" applyFill="1" applyBorder="1"/>
    <xf numFmtId="2" fontId="2" fillId="0" borderId="0" xfId="0" applyNumberFormat="1" applyFont="1" applyFill="1" applyBorder="1"/>
    <xf numFmtId="3" fontId="0" fillId="0" borderId="0" xfId="0" applyNumberFormat="1"/>
    <xf numFmtId="168" fontId="12" fillId="0" borderId="1" xfId="0" applyNumberFormat="1" applyFont="1" applyBorder="1"/>
    <xf numFmtId="0" fontId="12" fillId="0" borderId="0" xfId="0" applyFont="1"/>
    <xf numFmtId="168" fontId="0" fillId="35" borderId="1" xfId="0" applyNumberFormat="1" applyFill="1" applyBorder="1"/>
    <xf numFmtId="168" fontId="2" fillId="35" borderId="1" xfId="0" applyNumberFormat="1" applyFont="1" applyFill="1" applyBorder="1"/>
    <xf numFmtId="168" fontId="2" fillId="27" borderId="1" xfId="0" applyNumberFormat="1" applyFont="1" applyFill="1" applyBorder="1"/>
    <xf numFmtId="168" fontId="4" fillId="2" borderId="1" xfId="0" applyNumberFormat="1" applyFont="1" applyFill="1" applyBorder="1"/>
    <xf numFmtId="168" fontId="0" fillId="3" borderId="1" xfId="0" applyNumberFormat="1" applyFont="1" applyFill="1" applyBorder="1"/>
    <xf numFmtId="0" fontId="0" fillId="0" borderId="0" xfId="0" applyFont="1" applyBorder="1"/>
    <xf numFmtId="0" fontId="4" fillId="0" borderId="1" xfId="0" applyFont="1" applyBorder="1"/>
    <xf numFmtId="0" fontId="12" fillId="27" borderId="1" xfId="0" applyFont="1" applyFill="1" applyBorder="1"/>
    <xf numFmtId="1" fontId="12" fillId="27" borderId="1" xfId="0" applyNumberFormat="1" applyFont="1" applyFill="1" applyBorder="1"/>
    <xf numFmtId="168" fontId="0" fillId="27" borderId="1" xfId="0" applyNumberFormat="1" applyFill="1" applyBorder="1"/>
    <xf numFmtId="1" fontId="2" fillId="27" borderId="1" xfId="0" applyNumberFormat="1" applyFont="1" applyFill="1" applyBorder="1"/>
    <xf numFmtId="165" fontId="12" fillId="27" borderId="1" xfId="0" applyNumberFormat="1" applyFont="1" applyFill="1" applyBorder="1"/>
    <xf numFmtId="165" fontId="2" fillId="27" borderId="1" xfId="0" applyNumberFormat="1" applyFont="1" applyFill="1" applyBorder="1"/>
    <xf numFmtId="167" fontId="2" fillId="27" borderId="1" xfId="0" applyNumberFormat="1" applyFont="1" applyFill="1" applyBorder="1"/>
    <xf numFmtId="0" fontId="4" fillId="35" borderId="1" xfId="0" applyFont="1" applyFill="1" applyBorder="1"/>
    <xf numFmtId="1" fontId="12" fillId="35" borderId="1" xfId="0" applyNumberFormat="1" applyFont="1" applyFill="1" applyBorder="1"/>
    <xf numFmtId="0" fontId="10" fillId="35" borderId="1" xfId="0" applyFont="1" applyFill="1" applyBorder="1"/>
    <xf numFmtId="0" fontId="2" fillId="35" borderId="1" xfId="0" applyFont="1" applyFill="1" applyBorder="1"/>
    <xf numFmtId="1" fontId="2" fillId="35" borderId="1" xfId="0" applyNumberFormat="1" applyFont="1" applyFill="1" applyBorder="1"/>
    <xf numFmtId="165" fontId="12" fillId="35" borderId="1" xfId="0" applyNumberFormat="1" applyFont="1" applyFill="1" applyBorder="1"/>
    <xf numFmtId="165" fontId="2" fillId="35" borderId="1" xfId="0" applyNumberFormat="1" applyFont="1" applyFill="1" applyBorder="1"/>
    <xf numFmtId="167" fontId="2" fillId="35" borderId="1" xfId="0" applyNumberFormat="1" applyFont="1" applyFill="1" applyBorder="1"/>
    <xf numFmtId="166" fontId="0" fillId="36" borderId="1" xfId="0" applyNumberFormat="1" applyFill="1" applyBorder="1"/>
    <xf numFmtId="4" fontId="0" fillId="35" borderId="1" xfId="0" applyNumberFormat="1" applyFill="1" applyBorder="1"/>
    <xf numFmtId="166" fontId="0" fillId="35" borderId="1" xfId="0" applyNumberFormat="1" applyFill="1" applyBorder="1"/>
    <xf numFmtId="166" fontId="2" fillId="35" borderId="1" xfId="0" applyNumberFormat="1" applyFont="1" applyFill="1" applyBorder="1"/>
    <xf numFmtId="165" fontId="0" fillId="35" borderId="1" xfId="0" applyNumberFormat="1" applyFont="1" applyFill="1" applyBorder="1"/>
    <xf numFmtId="166" fontId="2" fillId="36" borderId="1" xfId="0" applyNumberFormat="1" applyFont="1" applyFill="1" applyBorder="1"/>
    <xf numFmtId="166" fontId="0" fillId="36" borderId="1" xfId="0" applyNumberFormat="1" applyFont="1" applyFill="1" applyBorder="1"/>
    <xf numFmtId="165" fontId="0" fillId="36" borderId="1" xfId="0" applyNumberFormat="1" applyFill="1" applyBorder="1"/>
    <xf numFmtId="169" fontId="2" fillId="35" borderId="1" xfId="0" applyNumberFormat="1" applyFont="1" applyFill="1" applyBorder="1"/>
    <xf numFmtId="4" fontId="2" fillId="35" borderId="1" xfId="0" applyNumberFormat="1" applyFont="1" applyFill="1" applyBorder="1"/>
    <xf numFmtId="0" fontId="11" fillId="35" borderId="1" xfId="0" applyFont="1" applyFill="1" applyBorder="1"/>
    <xf numFmtId="166" fontId="0" fillId="35" borderId="3" xfId="0" applyNumberFormat="1" applyFont="1" applyFill="1" applyBorder="1"/>
    <xf numFmtId="0" fontId="0" fillId="35" borderId="3" xfId="0" applyFill="1" applyBorder="1"/>
    <xf numFmtId="0" fontId="13" fillId="35" borderId="1" xfId="0" applyFont="1" applyFill="1" applyBorder="1"/>
    <xf numFmtId="0" fontId="10" fillId="27" borderId="1" xfId="0" applyFont="1" applyFill="1" applyBorder="1"/>
    <xf numFmtId="166" fontId="4" fillId="35" borderId="1" xfId="0" applyNumberFormat="1" applyFont="1" applyFill="1" applyBorder="1"/>
    <xf numFmtId="0" fontId="2" fillId="37" borderId="1" xfId="0" applyFont="1" applyFill="1" applyBorder="1"/>
    <xf numFmtId="166" fontId="2" fillId="25" borderId="1" xfId="0" applyNumberFormat="1" applyFont="1" applyFill="1" applyBorder="1"/>
    <xf numFmtId="169" fontId="6" fillId="3" borderId="1" xfId="0" applyNumberFormat="1" applyFont="1" applyFill="1" applyBorder="1"/>
    <xf numFmtId="0" fontId="0" fillId="16" borderId="1" xfId="0" applyFill="1" applyBorder="1"/>
    <xf numFmtId="170" fontId="2" fillId="35" borderId="1" xfId="0" applyNumberFormat="1" applyFont="1" applyFill="1" applyBorder="1"/>
    <xf numFmtId="170" fontId="2" fillId="22" borderId="1" xfId="0" applyNumberFormat="1" applyFont="1" applyFill="1" applyBorder="1"/>
    <xf numFmtId="170" fontId="2" fillId="24" borderId="1" xfId="0" applyNumberFormat="1" applyFont="1" applyFill="1" applyBorder="1"/>
    <xf numFmtId="165" fontId="2" fillId="26" borderId="1" xfId="0" applyNumberFormat="1" applyFont="1" applyFill="1" applyBorder="1"/>
    <xf numFmtId="172" fontId="2" fillId="26" borderId="1" xfId="0" applyNumberFormat="1" applyFont="1" applyFill="1" applyBorder="1"/>
    <xf numFmtId="167" fontId="2" fillId="26" borderId="1" xfId="0" applyNumberFormat="1" applyFont="1" applyFill="1" applyBorder="1"/>
    <xf numFmtId="167" fontId="2" fillId="22" borderId="1" xfId="0" applyNumberFormat="1" applyFont="1" applyFill="1" applyBorder="1"/>
    <xf numFmtId="171" fontId="2" fillId="15" borderId="1" xfId="0" applyNumberFormat="1" applyFont="1" applyFill="1" applyBorder="1"/>
    <xf numFmtId="172" fontId="2" fillId="15" borderId="1" xfId="0" applyNumberFormat="1" applyFont="1" applyFill="1" applyBorder="1"/>
    <xf numFmtId="0" fontId="0" fillId="3" borderId="0" xfId="0" applyFont="1" applyFill="1" applyBorder="1"/>
    <xf numFmtId="0" fontId="0" fillId="3" borderId="10" xfId="0" applyFont="1" applyFill="1" applyBorder="1"/>
    <xf numFmtId="167" fontId="2" fillId="0" borderId="10" xfId="0" applyNumberFormat="1" applyFont="1" applyBorder="1"/>
    <xf numFmtId="165" fontId="2" fillId="0" borderId="3" xfId="0" applyNumberFormat="1" applyFont="1" applyBorder="1"/>
    <xf numFmtId="167" fontId="2" fillId="24" borderId="1" xfId="0" applyNumberFormat="1" applyFont="1" applyFill="1" applyBorder="1"/>
    <xf numFmtId="0" fontId="2" fillId="0" borderId="30" xfId="0" applyFont="1" applyBorder="1"/>
    <xf numFmtId="166" fontId="2" fillId="6" borderId="10" xfId="0" applyNumberFormat="1" applyFont="1" applyFill="1" applyBorder="1"/>
    <xf numFmtId="167" fontId="2" fillId="15" borderId="1" xfId="0" applyNumberFormat="1" applyFont="1" applyFill="1" applyBorder="1"/>
    <xf numFmtId="3" fontId="0" fillId="24" borderId="1" xfId="0" applyNumberFormat="1" applyFont="1" applyFill="1" applyBorder="1"/>
    <xf numFmtId="3" fontId="0" fillId="27" borderId="1" xfId="0" applyNumberFormat="1" applyFont="1" applyFill="1" applyBorder="1"/>
    <xf numFmtId="3" fontId="2" fillId="15" borderId="1" xfId="0" applyNumberFormat="1" applyFont="1" applyFill="1" applyBorder="1"/>
    <xf numFmtId="4" fontId="2" fillId="27" borderId="1" xfId="0" applyNumberFormat="1" applyFont="1" applyFill="1" applyBorder="1"/>
    <xf numFmtId="4" fontId="2" fillId="3" borderId="3" xfId="0" applyNumberFormat="1" applyFont="1" applyFill="1" applyBorder="1"/>
    <xf numFmtId="0" fontId="2" fillId="0" borderId="6" xfId="0" applyFont="1" applyBorder="1"/>
    <xf numFmtId="168" fontId="2" fillId="0" borderId="11" xfId="0" applyNumberFormat="1" applyFont="1" applyBorder="1"/>
    <xf numFmtId="1" fontId="2" fillId="0" borderId="11" xfId="0" applyNumberFormat="1" applyFont="1" applyBorder="1"/>
    <xf numFmtId="0" fontId="0" fillId="35" borderId="2" xfId="0" applyFill="1" applyBorder="1"/>
    <xf numFmtId="0" fontId="4" fillId="2" borderId="2" xfId="0" applyFont="1" applyFill="1" applyBorder="1"/>
    <xf numFmtId="0" fontId="2" fillId="6" borderId="2" xfId="0" applyFont="1" applyFill="1" applyBorder="1"/>
    <xf numFmtId="0" fontId="4" fillId="26" borderId="2" xfId="0" applyFont="1" applyFill="1" applyBorder="1"/>
    <xf numFmtId="0" fontId="0" fillId="24" borderId="2" xfId="0" applyFill="1" applyBorder="1"/>
    <xf numFmtId="0" fontId="0" fillId="11" borderId="2" xfId="0" applyFont="1" applyFill="1" applyBorder="1"/>
    <xf numFmtId="0" fontId="0" fillId="22" borderId="2" xfId="0" applyFill="1" applyBorder="1"/>
    <xf numFmtId="0" fontId="4" fillId="4" borderId="2" xfId="0" applyFont="1" applyFill="1" applyBorder="1"/>
    <xf numFmtId="0" fontId="4" fillId="27" borderId="2" xfId="0" applyFont="1" applyFill="1" applyBorder="1"/>
    <xf numFmtId="0" fontId="4" fillId="35" borderId="2" xfId="0" applyFont="1" applyFill="1" applyBorder="1"/>
    <xf numFmtId="0" fontId="0" fillId="26" borderId="2" xfId="0" applyFill="1" applyBorder="1"/>
    <xf numFmtId="0" fontId="4" fillId="36" borderId="2" xfId="0" applyFont="1" applyFill="1" applyBorder="1"/>
    <xf numFmtId="0" fontId="2" fillId="28" borderId="2" xfId="0" applyFont="1" applyFill="1" applyBorder="1"/>
    <xf numFmtId="0" fontId="0" fillId="0" borderId="6" xfId="0" applyBorder="1"/>
    <xf numFmtId="0" fontId="0" fillId="26" borderId="2" xfId="0" applyFont="1" applyFill="1" applyBorder="1"/>
    <xf numFmtId="0" fontId="0" fillId="2" borderId="2" xfId="0" applyFont="1" applyFill="1" applyBorder="1"/>
    <xf numFmtId="0" fontId="0" fillId="4" borderId="2" xfId="0" applyFill="1" applyBorder="1"/>
    <xf numFmtId="0" fontId="0" fillId="3" borderId="6" xfId="0" applyFill="1" applyBorder="1"/>
    <xf numFmtId="0" fontId="0" fillId="3" borderId="30" xfId="0" applyFont="1" applyFill="1" applyBorder="1"/>
    <xf numFmtId="166" fontId="2" fillId="3" borderId="36" xfId="0" applyNumberFormat="1" applyFont="1" applyFill="1" applyBorder="1"/>
    <xf numFmtId="0" fontId="0" fillId="3" borderId="30" xfId="0" applyFill="1" applyBorder="1"/>
    <xf numFmtId="4" fontId="2" fillId="0" borderId="10" xfId="0" applyNumberFormat="1" applyFont="1" applyBorder="1"/>
    <xf numFmtId="166" fontId="2" fillId="0" borderId="6" xfId="0" applyNumberFormat="1" applyFont="1" applyBorder="1"/>
    <xf numFmtId="0" fontId="0" fillId="28" borderId="2" xfId="0" applyFont="1" applyFill="1" applyBorder="1"/>
    <xf numFmtId="0" fontId="2" fillId="6" borderId="4" xfId="0" applyFont="1" applyFill="1" applyBorder="1"/>
    <xf numFmtId="0" fontId="2" fillId="28" borderId="10" xfId="0" applyFont="1" applyFill="1" applyBorder="1"/>
    <xf numFmtId="0" fontId="0" fillId="28" borderId="11" xfId="0" applyFont="1" applyFill="1" applyBorder="1"/>
    <xf numFmtId="0" fontId="20" fillId="0" borderId="3" xfId="0" applyFont="1" applyBorder="1" applyAlignment="1">
      <alignment textRotation="90"/>
    </xf>
    <xf numFmtId="0" fontId="20" fillId="0" borderId="6" xfId="0" applyFont="1" applyBorder="1" applyAlignment="1">
      <alignment horizontal="center" textRotation="90"/>
    </xf>
    <xf numFmtId="0" fontId="0" fillId="15" borderId="2" xfId="0" applyFont="1" applyFill="1" applyBorder="1"/>
    <xf numFmtId="0" fontId="0" fillId="4" borderId="2" xfId="0" applyFont="1" applyFill="1" applyBorder="1"/>
    <xf numFmtId="0" fontId="0" fillId="27" borderId="2" xfId="0" applyFont="1" applyFill="1" applyBorder="1"/>
    <xf numFmtId="0" fontId="0" fillId="35" borderId="2" xfId="0" applyFont="1" applyFill="1" applyBorder="1"/>
    <xf numFmtId="0" fontId="0" fillId="0" borderId="30" xfId="0" applyFont="1" applyBorder="1"/>
    <xf numFmtId="0" fontId="0" fillId="0" borderId="16" xfId="0" applyFont="1" applyBorder="1"/>
    <xf numFmtId="0" fontId="20" fillId="0" borderId="33" xfId="0" applyFont="1" applyBorder="1" applyAlignment="1">
      <alignment horizontal="center" textRotation="90"/>
    </xf>
    <xf numFmtId="0" fontId="20" fillId="3" borderId="3" xfId="0" applyFont="1" applyFill="1" applyBorder="1" applyAlignment="1">
      <alignment horizontal="center" textRotation="90"/>
    </xf>
    <xf numFmtId="0" fontId="0" fillId="0" borderId="30" xfId="0" applyBorder="1"/>
    <xf numFmtId="0" fontId="0" fillId="15" borderId="12" xfId="0" applyFont="1" applyFill="1" applyBorder="1"/>
    <xf numFmtId="3" fontId="2" fillId="15" borderId="3" xfId="0" applyNumberFormat="1" applyFont="1" applyFill="1" applyBorder="1"/>
    <xf numFmtId="0" fontId="20" fillId="3" borderId="1" xfId="0" applyFont="1" applyFill="1" applyBorder="1" applyAlignment="1">
      <alignment horizontal="center" textRotation="90"/>
    </xf>
    <xf numFmtId="0" fontId="9" fillId="18" borderId="2" xfId="0" applyFont="1" applyFill="1" applyBorder="1"/>
    <xf numFmtId="0" fontId="4" fillId="3" borderId="2" xfId="0" applyFont="1" applyFill="1" applyBorder="1"/>
    <xf numFmtId="0" fontId="0" fillId="7" borderId="2" xfId="0" applyFont="1" applyFill="1" applyBorder="1"/>
    <xf numFmtId="0" fontId="0" fillId="0" borderId="2" xfId="0" applyFont="1" applyBorder="1"/>
    <xf numFmtId="0" fontId="0" fillId="0" borderId="12" xfId="0" applyFont="1" applyBorder="1"/>
    <xf numFmtId="0" fontId="0" fillId="22" borderId="2" xfId="0" applyFont="1" applyFill="1" applyBorder="1"/>
    <xf numFmtId="0" fontId="0" fillId="27" borderId="2" xfId="0" applyFill="1" applyBorder="1"/>
    <xf numFmtId="166" fontId="0" fillId="2" borderId="2" xfId="0" applyNumberFormat="1" applyFont="1" applyFill="1" applyBorder="1"/>
    <xf numFmtId="0" fontId="0" fillId="3" borderId="16" xfId="0" applyFont="1" applyFill="1" applyBorder="1"/>
    <xf numFmtId="0" fontId="0" fillId="2" borderId="2" xfId="0" applyFill="1" applyBorder="1"/>
    <xf numFmtId="0" fontId="0" fillId="0" borderId="16" xfId="0" applyBorder="1"/>
    <xf numFmtId="166" fontId="0" fillId="24" borderId="2" xfId="0" applyNumberFormat="1" applyFont="1" applyFill="1" applyBorder="1"/>
    <xf numFmtId="0" fontId="24" fillId="0" borderId="3" xfId="0" applyFont="1" applyBorder="1" applyAlignment="1">
      <alignment horizontal="center" textRotation="90"/>
    </xf>
    <xf numFmtId="0" fontId="24" fillId="3" borderId="3" xfId="0" applyFont="1" applyFill="1" applyBorder="1" applyAlignment="1">
      <alignment horizontal="center" textRotation="90"/>
    </xf>
    <xf numFmtId="166" fontId="2" fillId="0" borderId="2" xfId="0" applyNumberFormat="1" applyFont="1" applyBorder="1"/>
    <xf numFmtId="166" fontId="0" fillId="3" borderId="3" xfId="0" applyNumberFormat="1" applyFill="1" applyBorder="1"/>
    <xf numFmtId="0" fontId="24" fillId="3" borderId="1" xfId="0" applyFont="1" applyFill="1" applyBorder="1" applyAlignment="1">
      <alignment horizontal="center" textRotation="90"/>
    </xf>
    <xf numFmtId="0" fontId="0" fillId="3" borderId="12" xfId="0" applyFont="1" applyFill="1" applyBorder="1"/>
    <xf numFmtId="0" fontId="2" fillId="27" borderId="2" xfId="0" applyFont="1" applyFill="1" applyBorder="1"/>
    <xf numFmtId="0" fontId="24" fillId="3" borderId="1" xfId="0" applyFont="1" applyFill="1" applyBorder="1" applyAlignment="1"/>
    <xf numFmtId="166" fontId="2" fillId="0" borderId="7" xfId="0" applyNumberFormat="1" applyFont="1" applyBorder="1"/>
    <xf numFmtId="0" fontId="24" fillId="3" borderId="6" xfId="0" applyFont="1" applyFill="1" applyBorder="1" applyAlignment="1">
      <alignment textRotation="90"/>
    </xf>
    <xf numFmtId="0" fontId="24" fillId="3" borderId="3" xfId="0" applyFont="1" applyFill="1" applyBorder="1" applyAlignment="1">
      <alignment textRotation="90"/>
    </xf>
    <xf numFmtId="0" fontId="24" fillId="3" borderId="1" xfId="0" applyFont="1" applyFill="1" applyBorder="1" applyAlignment="1">
      <alignment textRotation="90"/>
    </xf>
    <xf numFmtId="0" fontId="24" fillId="3" borderId="6" xfId="0" applyFont="1" applyFill="1" applyBorder="1" applyAlignment="1">
      <alignment horizontal="center" textRotation="90"/>
    </xf>
    <xf numFmtId="0" fontId="24" fillId="0" borderId="9" xfId="0" applyFont="1" applyBorder="1" applyAlignment="1">
      <alignment horizontal="center" textRotation="90"/>
    </xf>
    <xf numFmtId="0" fontId="0" fillId="32" borderId="2" xfId="0" applyFont="1" applyFill="1" applyBorder="1"/>
    <xf numFmtId="0" fontId="0" fillId="3" borderId="3" xfId="0" applyFill="1" applyBorder="1" applyAlignment="1">
      <alignment horizontal="center"/>
    </xf>
    <xf numFmtId="0" fontId="24" fillId="0" borderId="0" xfId="0" applyFont="1" applyBorder="1" applyAlignment="1">
      <alignment horizontal="center" textRotation="90"/>
    </xf>
    <xf numFmtId="0" fontId="0" fillId="21" borderId="2" xfId="0" applyFill="1" applyBorder="1"/>
    <xf numFmtId="0" fontId="2" fillId="22" borderId="2" xfId="0" applyFont="1" applyFill="1" applyBorder="1"/>
    <xf numFmtId="0" fontId="2" fillId="3" borderId="3" xfId="0" applyFont="1" applyFill="1" applyBorder="1" applyAlignment="1">
      <alignment horizontal="center" textRotation="90"/>
    </xf>
    <xf numFmtId="0" fontId="0" fillId="3" borderId="12" xfId="0" applyFill="1" applyBorder="1"/>
    <xf numFmtId="0" fontId="0" fillId="3" borderId="10" xfId="0" applyFill="1" applyBorder="1"/>
    <xf numFmtId="0" fontId="2" fillId="3" borderId="17" xfId="0" applyFont="1" applyFill="1" applyBorder="1"/>
    <xf numFmtId="0" fontId="0" fillId="6" borderId="16" xfId="0" applyFont="1" applyFill="1" applyBorder="1"/>
    <xf numFmtId="0" fontId="2" fillId="17" borderId="1" xfId="0" applyFont="1" applyFill="1" applyBorder="1"/>
    <xf numFmtId="0" fontId="24" fillId="3" borderId="7" xfId="0" applyFont="1" applyFill="1" applyBorder="1" applyAlignment="1">
      <alignment textRotation="90"/>
    </xf>
    <xf numFmtId="0" fontId="0" fillId="17" borderId="2" xfId="0" applyFont="1" applyFill="1" applyBorder="1"/>
    <xf numFmtId="0" fontId="0" fillId="3" borderId="16" xfId="0" applyFill="1" applyBorder="1"/>
    <xf numFmtId="0" fontId="24" fillId="3" borderId="7" xfId="0" applyFont="1" applyFill="1" applyBorder="1" applyAlignment="1">
      <alignment horizontal="center" textRotation="90"/>
    </xf>
    <xf numFmtId="3" fontId="2" fillId="3" borderId="10" xfId="0" applyNumberFormat="1" applyFont="1" applyFill="1" applyBorder="1"/>
    <xf numFmtId="0" fontId="0" fillId="15" borderId="18" xfId="0" applyFont="1" applyFill="1" applyBorder="1"/>
    <xf numFmtId="166" fontId="2" fillId="15" borderId="19" xfId="0" applyNumberFormat="1" applyFont="1" applyFill="1" applyBorder="1"/>
    <xf numFmtId="0" fontId="0" fillId="15" borderId="23" xfId="0" applyFill="1" applyBorder="1"/>
    <xf numFmtId="0" fontId="0" fillId="15" borderId="8" xfId="0" applyFont="1" applyFill="1" applyBorder="1"/>
    <xf numFmtId="0" fontId="0" fillId="15" borderId="25" xfId="0" applyFill="1" applyBorder="1"/>
    <xf numFmtId="0" fontId="0" fillId="24" borderId="8" xfId="0" applyFont="1" applyFill="1" applyBorder="1"/>
    <xf numFmtId="0" fontId="0" fillId="24" borderId="25" xfId="0" applyFill="1" applyBorder="1"/>
    <xf numFmtId="0" fontId="0" fillId="22" borderId="8" xfId="0" applyFill="1" applyBorder="1"/>
    <xf numFmtId="0" fontId="0" fillId="22" borderId="25" xfId="0" applyFill="1" applyBorder="1"/>
    <xf numFmtId="0" fontId="0" fillId="4" borderId="8" xfId="0" applyFont="1" applyFill="1" applyBorder="1"/>
    <xf numFmtId="0" fontId="0" fillId="4" borderId="25" xfId="0" applyFill="1" applyBorder="1"/>
    <xf numFmtId="0" fontId="0" fillId="27" borderId="8" xfId="0" applyFont="1" applyFill="1" applyBorder="1"/>
    <xf numFmtId="0" fontId="0" fillId="27" borderId="25" xfId="0" applyFill="1" applyBorder="1"/>
    <xf numFmtId="0" fontId="0" fillId="2" borderId="8" xfId="0" applyFont="1" applyFill="1" applyBorder="1"/>
    <xf numFmtId="0" fontId="0" fillId="2" borderId="25" xfId="0" applyFill="1" applyBorder="1"/>
    <xf numFmtId="0" fontId="0" fillId="3" borderId="8" xfId="0" applyFont="1" applyFill="1" applyBorder="1"/>
    <xf numFmtId="0" fontId="0" fillId="3" borderId="25" xfId="0" applyFill="1" applyBorder="1"/>
    <xf numFmtId="0" fontId="6" fillId="22" borderId="1" xfId="0" applyFont="1" applyFill="1" applyBorder="1"/>
    <xf numFmtId="169" fontId="2" fillId="15" borderId="1" xfId="0" applyNumberFormat="1" applyFont="1" applyFill="1" applyBorder="1"/>
    <xf numFmtId="0" fontId="28" fillId="23" borderId="6" xfId="0" applyFont="1" applyFill="1" applyBorder="1" applyAlignment="1">
      <alignment horizontal="center" textRotation="90"/>
    </xf>
    <xf numFmtId="0" fontId="0" fillId="2" borderId="30" xfId="0" applyFont="1" applyFill="1" applyBorder="1"/>
    <xf numFmtId="166" fontId="0" fillId="2" borderId="9" xfId="0" applyNumberFormat="1" applyFont="1" applyFill="1" applyBorder="1"/>
    <xf numFmtId="0" fontId="0" fillId="20" borderId="2" xfId="0" applyFont="1" applyFill="1" applyBorder="1"/>
    <xf numFmtId="0" fontId="0" fillId="25" borderId="2" xfId="0" applyFont="1" applyFill="1" applyBorder="1"/>
    <xf numFmtId="0" fontId="0" fillId="12" borderId="2" xfId="0" applyFont="1" applyFill="1" applyBorder="1"/>
    <xf numFmtId="0" fontId="9" fillId="8" borderId="2" xfId="0" applyFont="1" applyFill="1" applyBorder="1"/>
    <xf numFmtId="0" fontId="4" fillId="19" borderId="2" xfId="0" applyFont="1" applyFill="1" applyBorder="1"/>
    <xf numFmtId="0" fontId="0" fillId="35" borderId="8" xfId="0" applyFont="1" applyFill="1" applyBorder="1"/>
    <xf numFmtId="0" fontId="0" fillId="35" borderId="25" xfId="0" applyFill="1" applyBorder="1"/>
    <xf numFmtId="0" fontId="2" fillId="15" borderId="2" xfId="0" applyFont="1" applyFill="1" applyBorder="1"/>
    <xf numFmtId="0" fontId="0" fillId="36" borderId="2" xfId="0" applyFill="1" applyBorder="1"/>
    <xf numFmtId="0" fontId="0" fillId="21" borderId="2" xfId="0" applyFont="1" applyFill="1" applyBorder="1"/>
    <xf numFmtId="0" fontId="0" fillId="36" borderId="2" xfId="0" applyFont="1" applyFill="1" applyBorder="1"/>
    <xf numFmtId="0" fontId="10" fillId="0" borderId="9" xfId="0" applyFont="1" applyBorder="1"/>
    <xf numFmtId="0" fontId="12" fillId="0" borderId="3" xfId="0" applyFont="1" applyBorder="1"/>
    <xf numFmtId="0" fontId="12" fillId="0" borderId="10" xfId="0" applyFont="1" applyBorder="1"/>
    <xf numFmtId="1" fontId="10" fillId="0" borderId="9" xfId="0" applyNumberFormat="1" applyFont="1" applyBorder="1"/>
    <xf numFmtId="1" fontId="12" fillId="0" borderId="10" xfId="0" applyNumberFormat="1" applyFont="1" applyBorder="1"/>
    <xf numFmtId="1" fontId="12" fillId="0" borderId="3" xfId="0" applyNumberFormat="1" applyFont="1" applyBorder="1"/>
    <xf numFmtId="1" fontId="0" fillId="0" borderId="9" xfId="0" applyNumberFormat="1" applyBorder="1"/>
    <xf numFmtId="0" fontId="5" fillId="0" borderId="3" xfId="0" applyFont="1" applyBorder="1"/>
    <xf numFmtId="0" fontId="0" fillId="2" borderId="30" xfId="0" applyFill="1" applyBorder="1"/>
    <xf numFmtId="0" fontId="2" fillId="3" borderId="16" xfId="0" applyFont="1" applyFill="1" applyBorder="1"/>
    <xf numFmtId="0" fontId="2" fillId="3" borderId="5" xfId="0" applyFont="1" applyFill="1" applyBorder="1"/>
    <xf numFmtId="0" fontId="2" fillId="0" borderId="0" xfId="0" applyFont="1" applyBorder="1"/>
    <xf numFmtId="0" fontId="2" fillId="0" borderId="0" xfId="0" applyFont="1" applyAlignment="1">
      <alignment textRotation="90" wrapText="1"/>
    </xf>
    <xf numFmtId="0" fontId="2" fillId="0" borderId="0" xfId="0" applyFont="1" applyAlignment="1">
      <alignment textRotation="90"/>
    </xf>
    <xf numFmtId="0" fontId="0" fillId="0" borderId="13" xfId="0" applyBorder="1"/>
    <xf numFmtId="0" fontId="0" fillId="0" borderId="36" xfId="0" applyBorder="1"/>
    <xf numFmtId="0" fontId="0" fillId="5" borderId="22" xfId="0" applyFill="1" applyBorder="1"/>
    <xf numFmtId="0" fontId="0" fillId="0" borderId="24" xfId="0" applyBorder="1"/>
    <xf numFmtId="0" fontId="0" fillId="23" borderId="24" xfId="0" applyFill="1" applyBorder="1"/>
    <xf numFmtId="0" fontId="0" fillId="9" borderId="24" xfId="0" applyFill="1" applyBorder="1"/>
    <xf numFmtId="0" fontId="2" fillId="0" borderId="29" xfId="0" applyFont="1" applyBorder="1"/>
    <xf numFmtId="0" fontId="0" fillId="20" borderId="24" xfId="0" applyFill="1" applyBorder="1"/>
    <xf numFmtId="2" fontId="2" fillId="23" borderId="8" xfId="0" applyNumberFormat="1" applyFont="1" applyFill="1" applyBorder="1"/>
    <xf numFmtId="2" fontId="2" fillId="23" borderId="1" xfId="0" applyNumberFormat="1" applyFont="1" applyFill="1" applyBorder="1"/>
    <xf numFmtId="167" fontId="2" fillId="23" borderId="8" xfId="0" applyNumberFormat="1" applyFont="1" applyFill="1" applyBorder="1"/>
    <xf numFmtId="167" fontId="2" fillId="23" borderId="25" xfId="0" applyNumberFormat="1" applyFont="1" applyFill="1" applyBorder="1"/>
    <xf numFmtId="0" fontId="0" fillId="38" borderId="24" xfId="0" applyFont="1" applyFill="1" applyBorder="1"/>
    <xf numFmtId="3" fontId="18" fillId="11" borderId="1" xfId="0" applyNumberFormat="1" applyFont="1" applyFill="1" applyBorder="1" applyAlignment="1">
      <alignment horizontal="right"/>
    </xf>
    <xf numFmtId="2" fontId="18" fillId="11" borderId="1" xfId="0" applyNumberFormat="1" applyFont="1" applyFill="1" applyBorder="1" applyAlignment="1">
      <alignment horizontal="right"/>
    </xf>
    <xf numFmtId="2" fontId="18" fillId="11" borderId="13" xfId="0" applyNumberFormat="1" applyFont="1" applyFill="1" applyBorder="1" applyAlignment="1">
      <alignment horizontal="right"/>
    </xf>
    <xf numFmtId="3" fontId="18" fillId="2" borderId="1" xfId="0" applyNumberFormat="1" applyFont="1" applyFill="1" applyBorder="1" applyAlignment="1">
      <alignment horizontal="right"/>
    </xf>
    <xf numFmtId="2" fontId="18" fillId="2" borderId="1" xfId="0" applyNumberFormat="1" applyFont="1" applyFill="1" applyBorder="1" applyAlignment="1">
      <alignment horizontal="right"/>
    </xf>
    <xf numFmtId="2" fontId="18" fillId="2" borderId="13" xfId="0" applyNumberFormat="1" applyFont="1" applyFill="1" applyBorder="1" applyAlignment="1">
      <alignment horizontal="right"/>
    </xf>
    <xf numFmtId="2" fontId="2" fillId="36" borderId="9" xfId="0" applyNumberFormat="1" applyFont="1" applyFill="1" applyBorder="1"/>
    <xf numFmtId="169" fontId="2" fillId="26" borderId="2" xfId="0" applyNumberFormat="1" applyFont="1" applyFill="1" applyBorder="1"/>
    <xf numFmtId="169" fontId="18" fillId="11" borderId="2" xfId="0" applyNumberFormat="1" applyFont="1" applyFill="1" applyBorder="1" applyAlignment="1">
      <alignment horizontal="right"/>
    </xf>
    <xf numFmtId="169" fontId="18" fillId="2" borderId="2" xfId="0" applyNumberFormat="1" applyFont="1" applyFill="1" applyBorder="1" applyAlignment="1">
      <alignment horizontal="right"/>
    </xf>
    <xf numFmtId="169" fontId="2" fillId="2" borderId="2" xfId="0" applyNumberFormat="1" applyFont="1" applyFill="1" applyBorder="1"/>
    <xf numFmtId="169" fontId="2" fillId="36" borderId="39" xfId="0" applyNumberFormat="1" applyFont="1" applyFill="1" applyBorder="1"/>
    <xf numFmtId="0" fontId="0" fillId="33" borderId="24" xfId="0" applyFill="1" applyBorder="1"/>
    <xf numFmtId="0" fontId="0" fillId="26" borderId="24" xfId="0" applyFill="1" applyBorder="1"/>
    <xf numFmtId="0" fontId="0" fillId="21" borderId="24" xfId="0" applyFill="1" applyBorder="1"/>
    <xf numFmtId="0" fontId="0" fillId="11" borderId="24" xfId="0" applyFont="1" applyFill="1" applyBorder="1"/>
    <xf numFmtId="0" fontId="0" fillId="2" borderId="24" xfId="0" applyFont="1" applyFill="1" applyBorder="1"/>
    <xf numFmtId="0" fontId="0" fillId="4" borderId="24" xfId="0" applyFill="1" applyBorder="1"/>
    <xf numFmtId="0" fontId="0" fillId="27" borderId="24" xfId="0" applyFill="1" applyBorder="1"/>
    <xf numFmtId="0" fontId="0" fillId="35" borderId="24" xfId="0" applyFill="1" applyBorder="1"/>
    <xf numFmtId="0" fontId="0" fillId="5" borderId="24" xfId="0" applyFill="1" applyBorder="1"/>
    <xf numFmtId="0" fontId="4" fillId="26" borderId="24" xfId="0" applyFont="1" applyFill="1" applyBorder="1"/>
    <xf numFmtId="0" fontId="0" fillId="2" borderId="24" xfId="0" applyFill="1" applyBorder="1"/>
    <xf numFmtId="0" fontId="0" fillId="36" borderId="26" xfId="0" applyFill="1" applyBorder="1"/>
    <xf numFmtId="0" fontId="0" fillId="0" borderId="40" xfId="0" applyBorder="1"/>
    <xf numFmtId="169" fontId="0" fillId="0" borderId="12" xfId="0" applyNumberFormat="1" applyBorder="1"/>
    <xf numFmtId="3" fontId="0" fillId="0" borderId="3" xfId="0" applyNumberFormat="1" applyBorder="1"/>
    <xf numFmtId="2" fontId="0" fillId="0" borderId="3" xfId="0" applyNumberFormat="1" applyBorder="1"/>
    <xf numFmtId="2" fontId="0" fillId="0" borderId="38" xfId="0" applyNumberFormat="1" applyBorder="1"/>
    <xf numFmtId="169" fontId="2" fillId="0" borderId="29" xfId="0" applyNumberFormat="1" applyFont="1" applyBorder="1"/>
    <xf numFmtId="3" fontId="2" fillId="0" borderId="29" xfId="0" applyNumberFormat="1" applyFont="1" applyBorder="1"/>
    <xf numFmtId="2" fontId="2" fillId="0" borderId="29" xfId="0" applyNumberFormat="1" applyFont="1" applyBorder="1"/>
    <xf numFmtId="0" fontId="0" fillId="0" borderId="6" xfId="0" applyFill="1" applyBorder="1"/>
    <xf numFmtId="4" fontId="4" fillId="3" borderId="6" xfId="0" applyNumberFormat="1" applyFont="1" applyFill="1" applyBorder="1"/>
    <xf numFmtId="3" fontId="0" fillId="15" borderId="1" xfId="0" applyNumberFormat="1" applyFont="1" applyFill="1" applyBorder="1"/>
    <xf numFmtId="4" fontId="0" fillId="22" borderId="1" xfId="0" applyNumberFormat="1" applyFont="1" applyFill="1" applyBorder="1"/>
    <xf numFmtId="0" fontId="0" fillId="11" borderId="1" xfId="0" applyFont="1" applyFill="1" applyBorder="1" applyAlignment="1">
      <alignment horizontal="right"/>
    </xf>
    <xf numFmtId="166" fontId="0" fillId="2" borderId="1" xfId="0" applyNumberFormat="1" applyFont="1" applyFill="1" applyBorder="1" applyAlignment="1">
      <alignment horizontal="right"/>
    </xf>
    <xf numFmtId="0" fontId="4" fillId="2" borderId="1" xfId="0" applyFont="1" applyFill="1" applyBorder="1" applyAlignment="1">
      <alignment horizontal="right"/>
    </xf>
    <xf numFmtId="0" fontId="0" fillId="2" borderId="1" xfId="0" applyFill="1" applyBorder="1" applyAlignment="1">
      <alignment horizontal="right"/>
    </xf>
    <xf numFmtId="166" fontId="0" fillId="26" borderId="1" xfId="0" applyNumberFormat="1" applyFont="1" applyFill="1" applyBorder="1" applyAlignment="1">
      <alignment horizontal="right"/>
    </xf>
    <xf numFmtId="166" fontId="0" fillId="11" borderId="1" xfId="0" applyNumberFormat="1" applyFont="1" applyFill="1" applyBorder="1" applyAlignment="1">
      <alignment horizontal="right"/>
    </xf>
    <xf numFmtId="166" fontId="0" fillId="35" borderId="1" xfId="0" applyNumberFormat="1" applyFont="1" applyFill="1" applyBorder="1" applyAlignment="1">
      <alignment horizontal="right"/>
    </xf>
    <xf numFmtId="166" fontId="0" fillId="15" borderId="1" xfId="0" applyNumberFormat="1" applyFont="1" applyFill="1" applyBorder="1" applyAlignment="1">
      <alignment horizontal="right"/>
    </xf>
    <xf numFmtId="166" fontId="0" fillId="24" borderId="1" xfId="0" applyNumberFormat="1" applyFont="1" applyFill="1" applyBorder="1" applyAlignment="1">
      <alignment horizontal="right"/>
    </xf>
    <xf numFmtId="166" fontId="0" fillId="4" borderId="1" xfId="0" applyNumberFormat="1" applyFont="1" applyFill="1" applyBorder="1" applyAlignment="1">
      <alignment horizontal="right"/>
    </xf>
    <xf numFmtId="166" fontId="0" fillId="27" borderId="1" xfId="0" applyNumberFormat="1" applyFont="1" applyFill="1" applyBorder="1" applyAlignment="1">
      <alignment horizontal="right"/>
    </xf>
    <xf numFmtId="166" fontId="0" fillId="2" borderId="9" xfId="0" applyNumberFormat="1" applyFont="1" applyFill="1" applyBorder="1" applyAlignment="1">
      <alignment horizontal="right"/>
    </xf>
    <xf numFmtId="0" fontId="0" fillId="24" borderId="1" xfId="0" applyFont="1" applyFill="1" applyBorder="1" applyAlignment="1">
      <alignment horizontal="right"/>
    </xf>
    <xf numFmtId="166" fontId="0" fillId="2" borderId="1" xfId="0" applyNumberFormat="1" applyFill="1" applyBorder="1" applyAlignment="1">
      <alignment horizontal="right"/>
    </xf>
    <xf numFmtId="166" fontId="0" fillId="32" borderId="1" xfId="0" applyNumberFormat="1" applyFont="1" applyFill="1" applyBorder="1" applyAlignment="1">
      <alignment horizontal="right"/>
    </xf>
    <xf numFmtId="166" fontId="0" fillId="24" borderId="1" xfId="0" applyNumberFormat="1" applyFont="1" applyFill="1" applyBorder="1" applyAlignment="1">
      <alignment horizontal="left"/>
    </xf>
    <xf numFmtId="0" fontId="0" fillId="27" borderId="1" xfId="0" applyFont="1" applyFill="1" applyBorder="1" applyAlignment="1">
      <alignment horizontal="right"/>
    </xf>
    <xf numFmtId="166" fontId="2" fillId="15" borderId="1" xfId="0" applyNumberFormat="1" applyFont="1" applyFill="1" applyBorder="1" applyAlignment="1">
      <alignment horizontal="right"/>
    </xf>
    <xf numFmtId="166" fontId="4" fillId="35" borderId="1" xfId="0" applyNumberFormat="1" applyFont="1" applyFill="1" applyBorder="1" applyAlignment="1">
      <alignment horizontal="right"/>
    </xf>
    <xf numFmtId="0" fontId="0" fillId="2" borderId="1" xfId="0" applyFont="1" applyFill="1" applyBorder="1" applyAlignment="1">
      <alignment horizontal="right"/>
    </xf>
    <xf numFmtId="3" fontId="0" fillId="15" borderId="1" xfId="0" applyNumberFormat="1" applyFont="1" applyFill="1" applyBorder="1" applyAlignment="1">
      <alignment horizontal="right"/>
    </xf>
    <xf numFmtId="3" fontId="0" fillId="11" borderId="1" xfId="0" applyNumberFormat="1" applyFont="1" applyFill="1" applyBorder="1" applyAlignment="1">
      <alignment horizontal="right"/>
    </xf>
    <xf numFmtId="3" fontId="0" fillId="35" borderId="1" xfId="0" applyNumberFormat="1" applyFont="1" applyFill="1" applyBorder="1" applyAlignment="1">
      <alignment horizontal="right"/>
    </xf>
    <xf numFmtId="0" fontId="4" fillId="26" borderId="1" xfId="0" applyFont="1" applyFill="1" applyBorder="1"/>
    <xf numFmtId="0" fontId="0" fillId="0" borderId="42" xfId="0" applyBorder="1"/>
    <xf numFmtId="0" fontId="0" fillId="26" borderId="9" xfId="0" applyFill="1" applyBorder="1"/>
    <xf numFmtId="2" fontId="2" fillId="0" borderId="3" xfId="0" applyNumberFormat="1" applyFont="1" applyBorder="1"/>
    <xf numFmtId="0" fontId="0" fillId="0" borderId="44" xfId="0" applyBorder="1"/>
    <xf numFmtId="0" fontId="0" fillId="26" borderId="45" xfId="0" applyFill="1" applyBorder="1"/>
    <xf numFmtId="0" fontId="4" fillId="0" borderId="46" xfId="0" applyFont="1" applyBorder="1"/>
    <xf numFmtId="0" fontId="4" fillId="0" borderId="3" xfId="0" applyFont="1" applyBorder="1"/>
    <xf numFmtId="0" fontId="0" fillId="22" borderId="47" xfId="0" applyFill="1" applyBorder="1"/>
    <xf numFmtId="0" fontId="0" fillId="0" borderId="48" xfId="0" applyBorder="1"/>
    <xf numFmtId="0" fontId="0" fillId="0" borderId="49" xfId="0" applyBorder="1"/>
    <xf numFmtId="0" fontId="4" fillId="0" borderId="50" xfId="0" applyFont="1" applyBorder="1"/>
    <xf numFmtId="0" fontId="0" fillId="0" borderId="51" xfId="0" applyBorder="1"/>
    <xf numFmtId="0" fontId="4" fillId="0" borderId="52" xfId="0" applyFont="1" applyBorder="1"/>
    <xf numFmtId="0" fontId="4" fillId="0" borderId="53" xfId="0" applyFont="1" applyBorder="1"/>
    <xf numFmtId="0" fontId="4" fillId="0" borderId="54" xfId="0" applyFont="1" applyBorder="1"/>
    <xf numFmtId="0" fontId="0" fillId="21" borderId="13" xfId="0" applyFill="1" applyBorder="1"/>
    <xf numFmtId="0" fontId="0" fillId="11" borderId="13" xfId="0" applyFill="1" applyBorder="1"/>
    <xf numFmtId="0" fontId="0" fillId="4" borderId="13" xfId="0" applyFill="1" applyBorder="1"/>
    <xf numFmtId="0" fontId="0" fillId="35" borderId="13" xfId="0" applyFill="1" applyBorder="1"/>
    <xf numFmtId="0" fontId="0" fillId="2" borderId="13" xfId="0" applyFill="1" applyBorder="1"/>
    <xf numFmtId="0" fontId="0" fillId="11" borderId="3" xfId="0" applyFill="1" applyBorder="1"/>
    <xf numFmtId="0" fontId="0" fillId="27" borderId="13" xfId="0" applyFill="1" applyBorder="1"/>
    <xf numFmtId="0" fontId="0" fillId="21" borderId="9" xfId="0" applyFill="1" applyBorder="1"/>
    <xf numFmtId="0" fontId="0" fillId="21" borderId="42" xfId="0" applyFill="1" applyBorder="1"/>
    <xf numFmtId="0" fontId="2" fillId="0" borderId="13" xfId="0" applyFont="1" applyBorder="1"/>
    <xf numFmtId="0" fontId="0" fillId="2" borderId="14" xfId="0" applyFill="1" applyBorder="1"/>
    <xf numFmtId="0" fontId="0" fillId="4" borderId="9" xfId="0" applyFill="1" applyBorder="1"/>
    <xf numFmtId="0" fontId="0" fillId="36" borderId="14" xfId="0" applyFill="1" applyBorder="1"/>
    <xf numFmtId="0" fontId="10" fillId="3" borderId="3" xfId="0" applyFont="1" applyFill="1" applyBorder="1"/>
    <xf numFmtId="0" fontId="0" fillId="2" borderId="13" xfId="0" applyFont="1" applyFill="1" applyBorder="1"/>
    <xf numFmtId="0" fontId="0" fillId="11" borderId="13" xfId="0" applyFont="1" applyFill="1" applyBorder="1"/>
    <xf numFmtId="0" fontId="0" fillId="0" borderId="57" xfId="0" applyBorder="1"/>
    <xf numFmtId="0" fontId="4" fillId="4" borderId="61" xfId="0" applyFont="1" applyFill="1" applyBorder="1"/>
    <xf numFmtId="0" fontId="0" fillId="21" borderId="62" xfId="0" applyFill="1" applyBorder="1"/>
    <xf numFmtId="0" fontId="4" fillId="27" borderId="64" xfId="0" applyFont="1" applyFill="1" applyBorder="1"/>
    <xf numFmtId="0" fontId="4" fillId="35" borderId="13" xfId="0" applyFont="1" applyFill="1" applyBorder="1"/>
    <xf numFmtId="0" fontId="4" fillId="35" borderId="63" xfId="0" applyFont="1" applyFill="1" applyBorder="1"/>
    <xf numFmtId="0" fontId="0" fillId="36" borderId="13" xfId="0" applyFont="1" applyFill="1" applyBorder="1"/>
    <xf numFmtId="0" fontId="4" fillId="2" borderId="63" xfId="0" applyFont="1" applyFill="1" applyBorder="1"/>
    <xf numFmtId="0" fontId="4" fillId="2" borderId="61" xfId="0" applyFont="1" applyFill="1" applyBorder="1"/>
    <xf numFmtId="0" fontId="0" fillId="4" borderId="14" xfId="0" applyFill="1" applyBorder="1"/>
    <xf numFmtId="0" fontId="12" fillId="4" borderId="2" xfId="0" applyFont="1" applyFill="1" applyBorder="1"/>
    <xf numFmtId="0" fontId="0" fillId="11" borderId="9" xfId="0" applyFont="1" applyFill="1" applyBorder="1"/>
    <xf numFmtId="0" fontId="12" fillId="4" borderId="67" xfId="0" applyFont="1" applyFill="1" applyBorder="1"/>
    <xf numFmtId="0" fontId="4" fillId="35" borderId="14" xfId="0" applyFont="1" applyFill="1" applyBorder="1"/>
    <xf numFmtId="0" fontId="6" fillId="35" borderId="2" xfId="0" applyFont="1" applyFill="1" applyBorder="1"/>
    <xf numFmtId="0" fontId="0" fillId="11" borderId="14" xfId="0" applyFont="1" applyFill="1" applyBorder="1"/>
    <xf numFmtId="0" fontId="2" fillId="21" borderId="9" xfId="0" applyFont="1" applyFill="1" applyBorder="1"/>
    <xf numFmtId="0" fontId="0" fillId="11" borderId="55" xfId="0" applyFont="1" applyFill="1" applyBorder="1"/>
    <xf numFmtId="0" fontId="0" fillId="11" borderId="52" xfId="0" applyFont="1" applyFill="1" applyBorder="1"/>
    <xf numFmtId="0" fontId="0" fillId="27" borderId="14" xfId="0" applyFill="1" applyBorder="1"/>
    <xf numFmtId="0" fontId="4" fillId="35" borderId="3" xfId="0" applyFont="1" applyFill="1" applyBorder="1"/>
    <xf numFmtId="0" fontId="2" fillId="0" borderId="60" xfId="0" applyFont="1" applyBorder="1"/>
    <xf numFmtId="0" fontId="0" fillId="0" borderId="14" xfId="0" applyBorder="1"/>
    <xf numFmtId="1" fontId="6" fillId="4" borderId="1" xfId="0" applyNumberFormat="1" applyFont="1" applyFill="1" applyBorder="1"/>
    <xf numFmtId="1" fontId="6" fillId="27" borderId="1" xfId="0" applyNumberFormat="1" applyFont="1" applyFill="1" applyBorder="1"/>
    <xf numFmtId="1" fontId="6" fillId="35" borderId="1" xfId="0" applyNumberFormat="1" applyFont="1" applyFill="1" applyBorder="1"/>
    <xf numFmtId="1" fontId="6" fillId="2" borderId="1" xfId="0" applyNumberFormat="1" applyFont="1" applyFill="1" applyBorder="1"/>
    <xf numFmtId="1" fontId="6" fillId="36" borderId="1" xfId="0" applyNumberFormat="1" applyFont="1" applyFill="1" applyBorder="1"/>
    <xf numFmtId="0" fontId="4" fillId="21" borderId="41" xfId="0" applyFont="1" applyFill="1" applyBorder="1"/>
    <xf numFmtId="0" fontId="0" fillId="21" borderId="60" xfId="0" applyFill="1" applyBorder="1"/>
    <xf numFmtId="0" fontId="0" fillId="3" borderId="60" xfId="0" applyFill="1" applyBorder="1"/>
    <xf numFmtId="0" fontId="14" fillId="0" borderId="13" xfId="0" applyFont="1" applyBorder="1"/>
    <xf numFmtId="0" fontId="10" fillId="0" borderId="6" xfId="0" applyFont="1" applyBorder="1"/>
    <xf numFmtId="0" fontId="0" fillId="26" borderId="3" xfId="0" applyFill="1" applyBorder="1"/>
    <xf numFmtId="0" fontId="0" fillId="26" borderId="60" xfId="0" applyFill="1" applyBorder="1"/>
    <xf numFmtId="0" fontId="0" fillId="3" borderId="71" xfId="0" applyFill="1" applyBorder="1"/>
    <xf numFmtId="0" fontId="0" fillId="3" borderId="63" xfId="0" applyFill="1" applyBorder="1"/>
    <xf numFmtId="0" fontId="2" fillId="28" borderId="9" xfId="0" applyFont="1" applyFill="1" applyBorder="1"/>
    <xf numFmtId="0" fontId="0" fillId="0" borderId="58" xfId="0" applyBorder="1"/>
    <xf numFmtId="0" fontId="0" fillId="3" borderId="66" xfId="0" applyFill="1" applyBorder="1"/>
    <xf numFmtId="0" fontId="0" fillId="0" borderId="61" xfId="0" applyBorder="1"/>
    <xf numFmtId="166" fontId="2" fillId="28" borderId="9" xfId="0" applyNumberFormat="1" applyFont="1" applyFill="1" applyBorder="1"/>
    <xf numFmtId="0" fontId="0" fillId="3" borderId="14" xfId="0" applyFont="1" applyFill="1" applyBorder="1"/>
    <xf numFmtId="0" fontId="0" fillId="0" borderId="74" xfId="0" applyFont="1" applyBorder="1"/>
    <xf numFmtId="169" fontId="6" fillId="25" borderId="75" xfId="0" applyNumberFormat="1" applyFont="1" applyFill="1" applyBorder="1"/>
    <xf numFmtId="0" fontId="0" fillId="25" borderId="14" xfId="0" applyFill="1" applyBorder="1"/>
    <xf numFmtId="3" fontId="6" fillId="25" borderId="75" xfId="0" applyNumberFormat="1" applyFont="1" applyFill="1" applyBorder="1"/>
    <xf numFmtId="4" fontId="6" fillId="25" borderId="75" xfId="0" applyNumberFormat="1" applyFont="1" applyFill="1" applyBorder="1"/>
    <xf numFmtId="0" fontId="0" fillId="3" borderId="78" xfId="0" applyFont="1" applyFill="1" applyBorder="1"/>
    <xf numFmtId="0" fontId="0" fillId="25" borderId="79" xfId="0" applyFill="1" applyBorder="1"/>
    <xf numFmtId="0" fontId="29" fillId="0" borderId="46" xfId="0" applyFont="1" applyBorder="1"/>
    <xf numFmtId="0" fontId="17" fillId="0" borderId="2" xfId="0" applyFont="1" applyBorder="1"/>
    <xf numFmtId="0" fontId="0" fillId="22" borderId="9" xfId="0" applyFill="1" applyBorder="1"/>
    <xf numFmtId="0" fontId="0" fillId="3" borderId="80" xfId="0" applyFill="1" applyBorder="1"/>
    <xf numFmtId="0" fontId="0" fillId="22" borderId="62" xfId="0" applyFill="1" applyBorder="1"/>
    <xf numFmtId="0" fontId="0" fillId="0" borderId="66" xfId="0" applyBorder="1"/>
    <xf numFmtId="0" fontId="0" fillId="3" borderId="72" xfId="0" applyFill="1" applyBorder="1"/>
    <xf numFmtId="0" fontId="2" fillId="0" borderId="62" xfId="0" applyFont="1" applyBorder="1"/>
    <xf numFmtId="0" fontId="2" fillId="3" borderId="65" xfId="0" applyFont="1" applyFill="1" applyBorder="1"/>
    <xf numFmtId="0" fontId="0" fillId="0" borderId="81" xfId="0" applyBorder="1"/>
    <xf numFmtId="0" fontId="2" fillId="3" borderId="61" xfId="0" applyFont="1" applyFill="1" applyBorder="1"/>
    <xf numFmtId="0" fontId="2" fillId="3" borderId="57" xfId="0" applyFont="1" applyFill="1" applyBorder="1"/>
    <xf numFmtId="0" fontId="6" fillId="3" borderId="65" xfId="0" applyFont="1" applyFill="1" applyBorder="1"/>
    <xf numFmtId="0" fontId="0" fillId="2" borderId="66" xfId="0" applyFill="1" applyBorder="1"/>
    <xf numFmtId="0" fontId="2" fillId="0" borderId="87" xfId="0" applyFont="1" applyBorder="1"/>
    <xf numFmtId="0" fontId="0" fillId="0" borderId="88" xfId="0" applyBorder="1"/>
    <xf numFmtId="0" fontId="0" fillId="0" borderId="63" xfId="0" applyBorder="1"/>
    <xf numFmtId="0" fontId="4" fillId="21" borderId="56" xfId="0" applyFont="1" applyFill="1" applyBorder="1"/>
    <xf numFmtId="0" fontId="4" fillId="11" borderId="89" xfId="0" applyFont="1" applyFill="1" applyBorder="1"/>
    <xf numFmtId="0" fontId="0" fillId="0" borderId="32" xfId="0" applyBorder="1"/>
    <xf numFmtId="0" fontId="4" fillId="35" borderId="57" xfId="0" applyFont="1" applyFill="1" applyBorder="1"/>
    <xf numFmtId="0" fontId="10" fillId="2" borderId="63" xfId="0" applyFont="1" applyFill="1" applyBorder="1"/>
    <xf numFmtId="0" fontId="0" fillId="11" borderId="83" xfId="0" applyFill="1" applyBorder="1"/>
    <xf numFmtId="0" fontId="4" fillId="11" borderId="65" xfId="0" applyFont="1" applyFill="1" applyBorder="1"/>
    <xf numFmtId="0" fontId="4" fillId="4" borderId="57" xfId="0" applyFont="1" applyFill="1" applyBorder="1"/>
    <xf numFmtId="0" fontId="4" fillId="2" borderId="90" xfId="0" applyFont="1" applyFill="1" applyBorder="1"/>
    <xf numFmtId="0" fontId="0" fillId="0" borderId="73" xfId="0" applyBorder="1"/>
    <xf numFmtId="0" fontId="0" fillId="11" borderId="87" xfId="0" applyFill="1" applyBorder="1"/>
    <xf numFmtId="0" fontId="0" fillId="4" borderId="87" xfId="0" applyFill="1" applyBorder="1"/>
    <xf numFmtId="0" fontId="4" fillId="27" borderId="61" xfId="0" applyFont="1" applyFill="1" applyBorder="1"/>
    <xf numFmtId="0" fontId="0" fillId="27" borderId="82" xfId="0" applyFill="1" applyBorder="1"/>
    <xf numFmtId="0" fontId="0" fillId="35" borderId="61" xfId="0" applyFill="1" applyBorder="1"/>
    <xf numFmtId="0" fontId="0" fillId="35" borderId="60" xfId="0" applyFill="1" applyBorder="1"/>
    <xf numFmtId="0" fontId="0" fillId="2" borderId="60" xfId="0" applyFill="1" applyBorder="1"/>
    <xf numFmtId="0" fontId="0" fillId="2" borderId="0" xfId="0" applyFill="1" applyBorder="1"/>
    <xf numFmtId="0" fontId="0" fillId="2" borderId="62" xfId="0" applyFill="1" applyBorder="1"/>
    <xf numFmtId="0" fontId="2" fillId="0" borderId="66" xfId="0" applyFont="1" applyBorder="1"/>
    <xf numFmtId="0" fontId="0" fillId="0" borderId="91" xfId="0" applyBorder="1"/>
    <xf numFmtId="0" fontId="0" fillId="0" borderId="64" xfId="0" applyBorder="1"/>
    <xf numFmtId="0" fontId="0" fillId="11" borderId="66" xfId="0" applyFill="1" applyBorder="1"/>
    <xf numFmtId="0" fontId="0" fillId="11" borderId="61" xfId="0" applyFill="1" applyBorder="1"/>
    <xf numFmtId="0" fontId="0" fillId="4" borderId="65" xfId="0" applyFill="1" applyBorder="1"/>
    <xf numFmtId="0" fontId="0" fillId="27" borderId="57" xfId="0" applyFill="1" applyBorder="1"/>
    <xf numFmtId="0" fontId="0" fillId="2" borderId="61" xfId="0" applyFill="1" applyBorder="1"/>
    <xf numFmtId="0" fontId="0" fillId="11" borderId="93" xfId="0" applyFont="1" applyFill="1" applyBorder="1"/>
    <xf numFmtId="0" fontId="0" fillId="11" borderId="41" xfId="0" applyFont="1" applyFill="1" applyBorder="1"/>
    <xf numFmtId="0" fontId="0" fillId="0" borderId="94" xfId="0" applyBorder="1"/>
    <xf numFmtId="0" fontId="0" fillId="21" borderId="93" xfId="0" applyFill="1" applyBorder="1"/>
    <xf numFmtId="0" fontId="4" fillId="11" borderId="41" xfId="0" applyFont="1" applyFill="1" applyBorder="1"/>
    <xf numFmtId="0" fontId="4" fillId="4" borderId="95" xfId="0" applyFont="1" applyFill="1" applyBorder="1"/>
    <xf numFmtId="0" fontId="4" fillId="27" borderId="96" xfId="0" applyFont="1" applyFill="1" applyBorder="1"/>
    <xf numFmtId="0" fontId="4" fillId="35" borderId="97" xfId="0" applyFont="1" applyFill="1" applyBorder="1"/>
    <xf numFmtId="0" fontId="0" fillId="35" borderId="93" xfId="0" applyFill="1" applyBorder="1"/>
    <xf numFmtId="0" fontId="0" fillId="2" borderId="98" xfId="0" applyFill="1" applyBorder="1"/>
    <xf numFmtId="0" fontId="4" fillId="2" borderId="99" xfId="0" applyFont="1" applyFill="1" applyBorder="1"/>
    <xf numFmtId="0" fontId="0" fillId="2" borderId="93" xfId="0" applyFill="1" applyBorder="1"/>
    <xf numFmtId="0" fontId="0" fillId="36" borderId="93" xfId="0" applyFill="1" applyBorder="1"/>
    <xf numFmtId="0" fontId="0" fillId="36" borderId="13" xfId="0" applyFill="1" applyBorder="1"/>
    <xf numFmtId="0" fontId="4" fillId="36" borderId="41" xfId="0" applyFont="1" applyFill="1" applyBorder="1"/>
    <xf numFmtId="0" fontId="0" fillId="3" borderId="93" xfId="0" applyFill="1" applyBorder="1"/>
    <xf numFmtId="0" fontId="4" fillId="3" borderId="41" xfId="0" applyFont="1" applyFill="1" applyBorder="1"/>
    <xf numFmtId="0" fontId="0" fillId="27" borderId="98" xfId="0" applyFill="1" applyBorder="1"/>
    <xf numFmtId="0" fontId="0" fillId="2" borderId="3" xfId="0" applyFill="1" applyBorder="1"/>
    <xf numFmtId="0" fontId="0" fillId="35" borderId="98" xfId="0" applyFill="1" applyBorder="1"/>
    <xf numFmtId="0" fontId="0" fillId="27" borderId="93" xfId="0" applyFill="1" applyBorder="1"/>
    <xf numFmtId="0" fontId="0" fillId="4" borderId="93" xfId="0" applyFill="1" applyBorder="1"/>
    <xf numFmtId="0" fontId="0" fillId="4" borderId="41" xfId="0" applyFill="1" applyBorder="1"/>
    <xf numFmtId="0" fontId="0" fillId="27" borderId="0" xfId="0" applyFill="1" applyBorder="1"/>
    <xf numFmtId="0" fontId="0" fillId="35" borderId="41" xfId="0" applyFill="1" applyBorder="1"/>
    <xf numFmtId="0" fontId="0" fillId="2" borderId="41" xfId="0" applyFill="1" applyBorder="1"/>
    <xf numFmtId="0" fontId="0" fillId="36" borderId="100" xfId="0" applyFill="1" applyBorder="1"/>
    <xf numFmtId="0" fontId="0" fillId="3" borderId="92" xfId="0" applyFill="1" applyBorder="1"/>
    <xf numFmtId="0" fontId="0" fillId="11" borderId="3" xfId="0" applyFont="1" applyFill="1" applyBorder="1"/>
    <xf numFmtId="0" fontId="0" fillId="21" borderId="14" xfId="0" applyFill="1" applyBorder="1"/>
    <xf numFmtId="0" fontId="0" fillId="3" borderId="0" xfId="0" applyFill="1" applyBorder="1"/>
    <xf numFmtId="0" fontId="0" fillId="27" borderId="101" xfId="0" applyFill="1" applyBorder="1"/>
    <xf numFmtId="0" fontId="0" fillId="35" borderId="101" xfId="0" applyFill="1" applyBorder="1"/>
    <xf numFmtId="0" fontId="0" fillId="2" borderId="101" xfId="0" applyFill="1" applyBorder="1"/>
    <xf numFmtId="0" fontId="0" fillId="36" borderId="101" xfId="0" applyFont="1" applyFill="1" applyBorder="1"/>
    <xf numFmtId="0" fontId="0" fillId="35" borderId="14" xfId="0" applyFont="1" applyFill="1" applyBorder="1"/>
    <xf numFmtId="0" fontId="0" fillId="35" borderId="14" xfId="0" applyFill="1" applyBorder="1"/>
    <xf numFmtId="0" fontId="12" fillId="27" borderId="2" xfId="0" applyFont="1" applyFill="1" applyBorder="1"/>
    <xf numFmtId="0" fontId="12" fillId="35" borderId="2" xfId="0" applyFont="1" applyFill="1" applyBorder="1"/>
    <xf numFmtId="0" fontId="0" fillId="0" borderId="104" xfId="0" applyBorder="1"/>
    <xf numFmtId="0" fontId="0" fillId="27" borderId="105" xfId="0" applyFill="1" applyBorder="1"/>
    <xf numFmtId="0" fontId="0" fillId="4" borderId="105" xfId="0" applyFill="1" applyBorder="1"/>
    <xf numFmtId="0" fontId="0" fillId="11" borderId="102" xfId="0" applyFont="1" applyFill="1" applyBorder="1"/>
    <xf numFmtId="2" fontId="6" fillId="35" borderId="80" xfId="0" applyNumberFormat="1" applyFont="1" applyFill="1" applyBorder="1"/>
    <xf numFmtId="2" fontId="2" fillId="35" borderId="3" xfId="0" applyNumberFormat="1" applyFont="1" applyFill="1" applyBorder="1"/>
    <xf numFmtId="1" fontId="6" fillId="4" borderId="80" xfId="0" applyNumberFormat="1" applyFont="1" applyFill="1" applyBorder="1"/>
    <xf numFmtId="0" fontId="0" fillId="27" borderId="107" xfId="0" applyFill="1" applyBorder="1"/>
    <xf numFmtId="1" fontId="6" fillId="27" borderId="0" xfId="0" applyNumberFormat="1" applyFont="1" applyFill="1" applyBorder="1"/>
    <xf numFmtId="0" fontId="12" fillId="27" borderId="109" xfId="0" applyFont="1" applyFill="1" applyBorder="1"/>
    <xf numFmtId="0" fontId="12" fillId="35" borderId="109" xfId="0" applyFont="1" applyFill="1" applyBorder="1"/>
    <xf numFmtId="1" fontId="6" fillId="35" borderId="110" xfId="0" applyNumberFormat="1" applyFont="1" applyFill="1" applyBorder="1"/>
    <xf numFmtId="1" fontId="6" fillId="2" borderId="111" xfId="0" applyNumberFormat="1" applyFont="1" applyFill="1" applyBorder="1"/>
    <xf numFmtId="0" fontId="12" fillId="2" borderId="109" xfId="0" applyFont="1" applyFill="1" applyBorder="1"/>
    <xf numFmtId="0" fontId="12" fillId="36" borderId="109" xfId="0" applyFont="1" applyFill="1" applyBorder="1"/>
    <xf numFmtId="1" fontId="12" fillId="36" borderId="108" xfId="0" applyNumberFormat="1" applyFont="1" applyFill="1" applyBorder="1"/>
    <xf numFmtId="1" fontId="6" fillId="36" borderId="110" xfId="0" applyNumberFormat="1" applyFont="1" applyFill="1" applyBorder="1"/>
    <xf numFmtId="1" fontId="6" fillId="0" borderId="10" xfId="0" applyNumberFormat="1" applyFont="1" applyBorder="1"/>
    <xf numFmtId="1" fontId="4" fillId="0" borderId="9" xfId="0" applyNumberFormat="1" applyFont="1" applyBorder="1"/>
    <xf numFmtId="165" fontId="6" fillId="4" borderId="1" xfId="0" applyNumberFormat="1" applyFont="1" applyFill="1" applyBorder="1"/>
    <xf numFmtId="165" fontId="6" fillId="27" borderId="1" xfId="0" applyNumberFormat="1" applyFont="1" applyFill="1" applyBorder="1"/>
    <xf numFmtId="165" fontId="6" fillId="35" borderId="1" xfId="0" applyNumberFormat="1" applyFont="1" applyFill="1" applyBorder="1"/>
    <xf numFmtId="165" fontId="6" fillId="2" borderId="1" xfId="0" applyNumberFormat="1" applyFont="1" applyFill="1" applyBorder="1"/>
    <xf numFmtId="165" fontId="6" fillId="36" borderId="1" xfId="0" applyNumberFormat="1" applyFont="1" applyFill="1" applyBorder="1"/>
    <xf numFmtId="165" fontId="6" fillId="0" borderId="1" xfId="0" applyNumberFormat="1" applyFont="1" applyBorder="1"/>
    <xf numFmtId="0" fontId="4" fillId="0" borderId="0" xfId="0" applyFont="1" applyBorder="1"/>
    <xf numFmtId="0" fontId="4" fillId="0" borderId="111" xfId="0" applyFont="1" applyBorder="1"/>
    <xf numFmtId="0" fontId="4" fillId="0" borderId="112" xfId="0" applyFont="1" applyBorder="1"/>
    <xf numFmtId="0" fontId="4" fillId="0" borderId="113" xfId="0" applyFont="1" applyBorder="1"/>
    <xf numFmtId="0" fontId="4" fillId="0" borderId="97" xfId="0" applyFont="1" applyBorder="1"/>
    <xf numFmtId="0" fontId="4" fillId="0" borderId="114" xfId="0" applyFont="1" applyBorder="1"/>
    <xf numFmtId="0" fontId="0" fillId="0" borderId="37" xfId="0" applyBorder="1"/>
    <xf numFmtId="0" fontId="2" fillId="0" borderId="115" xfId="0" applyFont="1" applyBorder="1"/>
    <xf numFmtId="0" fontId="0" fillId="26" borderId="13" xfId="0" applyFont="1" applyFill="1" applyBorder="1"/>
    <xf numFmtId="166" fontId="2" fillId="26" borderId="2" xfId="0" applyNumberFormat="1" applyFont="1" applyFill="1" applyBorder="1"/>
    <xf numFmtId="166" fontId="0" fillId="5" borderId="9" xfId="0" applyNumberFormat="1" applyFont="1" applyFill="1" applyBorder="1"/>
    <xf numFmtId="169" fontId="2" fillId="26" borderId="3" xfId="0" applyNumberFormat="1" applyFont="1" applyFill="1" applyBorder="1"/>
    <xf numFmtId="169" fontId="2" fillId="26" borderId="116" xfId="0" applyNumberFormat="1" applyFont="1" applyFill="1" applyBorder="1"/>
    <xf numFmtId="0" fontId="0" fillId="26" borderId="98" xfId="0" applyFont="1" applyFill="1" applyBorder="1"/>
    <xf numFmtId="169" fontId="2" fillId="26" borderId="97" xfId="0" applyNumberFormat="1" applyFont="1" applyFill="1" applyBorder="1"/>
    <xf numFmtId="166" fontId="2" fillId="26" borderId="93" xfId="0" applyNumberFormat="1" applyFont="1" applyFill="1" applyBorder="1"/>
    <xf numFmtId="0" fontId="0" fillId="5" borderId="9" xfId="0" applyFont="1" applyFill="1" applyBorder="1"/>
    <xf numFmtId="0" fontId="0" fillId="26" borderId="41" xfId="0" applyFill="1" applyBorder="1"/>
    <xf numFmtId="0" fontId="0" fillId="26" borderId="30" xfId="0" applyFill="1" applyBorder="1"/>
    <xf numFmtId="0" fontId="0" fillId="3" borderId="13" xfId="0" applyFont="1" applyFill="1" applyBorder="1"/>
    <xf numFmtId="0" fontId="0" fillId="26" borderId="100" xfId="0" applyFill="1" applyBorder="1"/>
    <xf numFmtId="0" fontId="4" fillId="26" borderId="41" xfId="0" applyFont="1" applyFill="1" applyBorder="1"/>
    <xf numFmtId="0" fontId="4" fillId="2" borderId="100" xfId="0" applyFont="1" applyFill="1" applyBorder="1"/>
    <xf numFmtId="0" fontId="4" fillId="27" borderId="117" xfId="0" applyFont="1" applyFill="1" applyBorder="1"/>
    <xf numFmtId="0" fontId="4" fillId="4" borderId="41" xfId="0" applyFont="1" applyFill="1" applyBorder="1"/>
    <xf numFmtId="0" fontId="4" fillId="35" borderId="41" xfId="0" applyFont="1" applyFill="1" applyBorder="1"/>
    <xf numFmtId="0" fontId="4" fillId="2" borderId="41" xfId="0" applyFont="1" applyFill="1" applyBorder="1"/>
    <xf numFmtId="0" fontId="0" fillId="2" borderId="41" xfId="0" applyFont="1" applyFill="1" applyBorder="1"/>
    <xf numFmtId="0" fontId="0" fillId="36" borderId="41" xfId="0" applyFont="1" applyFill="1" applyBorder="1"/>
    <xf numFmtId="168" fontId="2" fillId="0" borderId="3" xfId="0" applyNumberFormat="1" applyFont="1" applyBorder="1"/>
    <xf numFmtId="0" fontId="2" fillId="0" borderId="41" xfId="0" applyFont="1" applyBorder="1"/>
    <xf numFmtId="0" fontId="0" fillId="2" borderId="118" xfId="0" applyFill="1" applyBorder="1"/>
    <xf numFmtId="0" fontId="0" fillId="21" borderId="118" xfId="0" applyFont="1" applyFill="1" applyBorder="1"/>
    <xf numFmtId="1" fontId="4" fillId="21" borderId="41" xfId="0" applyNumberFormat="1" applyFont="1" applyFill="1" applyBorder="1"/>
    <xf numFmtId="1" fontId="6" fillId="11" borderId="41" xfId="0" applyNumberFormat="1" applyFont="1" applyFill="1" applyBorder="1"/>
    <xf numFmtId="1" fontId="6" fillId="4" borderId="41" xfId="0" applyNumberFormat="1" applyFont="1" applyFill="1" applyBorder="1"/>
    <xf numFmtId="1" fontId="6" fillId="27" borderId="41" xfId="0" applyNumberFormat="1" applyFont="1" applyFill="1" applyBorder="1"/>
    <xf numFmtId="0" fontId="0" fillId="35" borderId="118" xfId="0" applyFill="1" applyBorder="1"/>
    <xf numFmtId="0" fontId="10" fillId="35" borderId="2" xfId="0" applyFont="1" applyFill="1" applyBorder="1"/>
    <xf numFmtId="1" fontId="6" fillId="35" borderId="41" xfId="0" applyNumberFormat="1" applyFont="1" applyFill="1" applyBorder="1"/>
    <xf numFmtId="0" fontId="10" fillId="2" borderId="2" xfId="0" applyFont="1" applyFill="1" applyBorder="1"/>
    <xf numFmtId="1" fontId="6" fillId="2" borderId="41" xfId="0" applyNumberFormat="1" applyFont="1" applyFill="1" applyBorder="1"/>
    <xf numFmtId="0" fontId="0" fillId="36" borderId="118" xfId="0" applyFill="1" applyBorder="1"/>
    <xf numFmtId="0" fontId="10" fillId="36" borderId="2" xfId="0" applyFont="1" applyFill="1" applyBorder="1"/>
    <xf numFmtId="1" fontId="6" fillId="36" borderId="41" xfId="0" applyNumberFormat="1" applyFont="1" applyFill="1" applyBorder="1"/>
    <xf numFmtId="0" fontId="0" fillId="0" borderId="118" xfId="0" applyBorder="1"/>
    <xf numFmtId="0" fontId="4" fillId="0" borderId="2" xfId="0" applyFont="1" applyBorder="1"/>
    <xf numFmtId="0" fontId="0" fillId="27" borderId="9" xfId="0" applyFill="1" applyBorder="1"/>
    <xf numFmtId="0" fontId="0" fillId="0" borderId="41" xfId="0" applyBorder="1"/>
    <xf numFmtId="2" fontId="0" fillId="0" borderId="2" xfId="0" applyNumberFormat="1" applyBorder="1"/>
    <xf numFmtId="2" fontId="0" fillId="0" borderId="41" xfId="0" applyNumberFormat="1" applyBorder="1"/>
    <xf numFmtId="0" fontId="0" fillId="22" borderId="13" xfId="0" applyFill="1" applyBorder="1"/>
    <xf numFmtId="0" fontId="0" fillId="22" borderId="41" xfId="0" applyFill="1" applyBorder="1"/>
    <xf numFmtId="166" fontId="2" fillId="22" borderId="2" xfId="0" applyNumberFormat="1" applyFont="1" applyFill="1" applyBorder="1"/>
    <xf numFmtId="3" fontId="2" fillId="22" borderId="41" xfId="0" applyNumberFormat="1" applyFont="1" applyFill="1" applyBorder="1"/>
    <xf numFmtId="0" fontId="0" fillId="11" borderId="9" xfId="0" applyFill="1" applyBorder="1"/>
    <xf numFmtId="0" fontId="0" fillId="22" borderId="13" xfId="0" applyFont="1" applyFill="1" applyBorder="1"/>
    <xf numFmtId="0" fontId="0" fillId="11" borderId="9" xfId="0" applyFill="1" applyBorder="1" applyAlignment="1">
      <alignment horizontal="right"/>
    </xf>
    <xf numFmtId="169" fontId="2" fillId="4" borderId="3" xfId="0" applyNumberFormat="1" applyFont="1" applyFill="1" applyBorder="1"/>
    <xf numFmtId="166" fontId="2" fillId="22" borderId="101" xfId="0" applyNumberFormat="1" applyFont="1" applyFill="1" applyBorder="1"/>
    <xf numFmtId="0" fontId="0" fillId="22" borderId="30" xfId="0" applyFill="1" applyBorder="1"/>
    <xf numFmtId="3" fontId="2" fillId="22" borderId="119" xfId="0" applyNumberFormat="1" applyFont="1" applyFill="1" applyBorder="1"/>
    <xf numFmtId="0" fontId="0" fillId="26" borderId="14" xfId="0" applyFont="1" applyFill="1" applyBorder="1"/>
    <xf numFmtId="166" fontId="0" fillId="26" borderId="2" xfId="0" applyNumberFormat="1" applyFont="1" applyFill="1" applyBorder="1"/>
    <xf numFmtId="3" fontId="0" fillId="26" borderId="3" xfId="0" applyNumberFormat="1" applyFont="1" applyFill="1" applyBorder="1"/>
    <xf numFmtId="3" fontId="0" fillId="26" borderId="41" xfId="0" applyNumberFormat="1" applyFont="1" applyFill="1" applyBorder="1"/>
    <xf numFmtId="0" fontId="0" fillId="35" borderId="9" xfId="0" applyFill="1" applyBorder="1"/>
    <xf numFmtId="0" fontId="0" fillId="22" borderId="14" xfId="0" applyFill="1" applyBorder="1"/>
    <xf numFmtId="166" fontId="0" fillId="11" borderId="9" xfId="0" applyNumberFormat="1" applyFont="1" applyFill="1" applyBorder="1" applyAlignment="1">
      <alignment horizontal="right"/>
    </xf>
    <xf numFmtId="3" fontId="0" fillId="4" borderId="3" xfId="0" applyNumberFormat="1" applyFont="1" applyFill="1" applyBorder="1"/>
    <xf numFmtId="166" fontId="0" fillId="35" borderId="9" xfId="0" applyNumberFormat="1" applyFont="1" applyFill="1" applyBorder="1" applyAlignment="1">
      <alignment horizontal="right"/>
    </xf>
    <xf numFmtId="169" fontId="2" fillId="2" borderId="3" xfId="0" applyNumberFormat="1" applyFont="1" applyFill="1" applyBorder="1"/>
    <xf numFmtId="166" fontId="0" fillId="26" borderId="3" xfId="0" applyNumberFormat="1" applyFont="1" applyFill="1" applyBorder="1" applyAlignment="1">
      <alignment horizontal="right"/>
    </xf>
    <xf numFmtId="0" fontId="0" fillId="2" borderId="14" xfId="0" applyFont="1" applyFill="1" applyBorder="1"/>
    <xf numFmtId="166" fontId="0" fillId="26" borderId="9" xfId="0" applyNumberFormat="1" applyFont="1" applyFill="1" applyBorder="1" applyAlignment="1">
      <alignment horizontal="right"/>
    </xf>
    <xf numFmtId="3" fontId="0" fillId="2" borderId="41" xfId="0" applyNumberFormat="1" applyFont="1" applyFill="1" applyBorder="1"/>
    <xf numFmtId="0" fontId="0" fillId="0" borderId="14" xfId="0" applyFont="1" applyBorder="1"/>
    <xf numFmtId="166" fontId="0" fillId="7" borderId="9" xfId="0" applyNumberFormat="1" applyFont="1" applyFill="1" applyBorder="1"/>
    <xf numFmtId="169" fontId="2" fillId="3" borderId="3" xfId="0" applyNumberFormat="1" applyFont="1" applyFill="1" applyBorder="1"/>
    <xf numFmtId="169" fontId="4" fillId="0" borderId="121" xfId="0" applyNumberFormat="1" applyFont="1" applyBorder="1"/>
    <xf numFmtId="0" fontId="4" fillId="3" borderId="14" xfId="0" applyFont="1" applyFill="1" applyBorder="1"/>
    <xf numFmtId="166" fontId="2" fillId="3" borderId="2" xfId="0" applyNumberFormat="1" applyFont="1" applyFill="1" applyBorder="1"/>
    <xf numFmtId="166" fontId="4" fillId="19" borderId="9" xfId="0" applyNumberFormat="1" applyFont="1" applyFill="1" applyBorder="1"/>
    <xf numFmtId="166" fontId="0" fillId="3" borderId="2" xfId="0" applyNumberFormat="1" applyFont="1" applyFill="1" applyBorder="1"/>
    <xf numFmtId="166" fontId="9" fillId="8" borderId="9" xfId="0" applyNumberFormat="1" applyFont="1" applyFill="1" applyBorder="1"/>
    <xf numFmtId="4" fontId="0" fillId="3" borderId="121" xfId="0" applyNumberFormat="1" applyFont="1" applyFill="1" applyBorder="1"/>
    <xf numFmtId="0" fontId="0" fillId="12" borderId="9" xfId="0" applyFont="1" applyFill="1" applyBorder="1"/>
    <xf numFmtId="0" fontId="0" fillId="0" borderId="41" xfId="0" applyBorder="1" applyAlignment="1">
      <alignment vertical="center"/>
    </xf>
    <xf numFmtId="166" fontId="0" fillId="12" borderId="9" xfId="0" applyNumberFormat="1" applyFont="1" applyFill="1" applyBorder="1"/>
    <xf numFmtId="166" fontId="2" fillId="25" borderId="9" xfId="0" applyNumberFormat="1" applyFont="1" applyFill="1" applyBorder="1"/>
    <xf numFmtId="166" fontId="0" fillId="20" borderId="9" xfId="0" applyNumberFormat="1" applyFont="1" applyFill="1" applyBorder="1"/>
    <xf numFmtId="169" fontId="2" fillId="3" borderId="41" xfId="0" applyNumberFormat="1" applyFont="1" applyFill="1" applyBorder="1"/>
    <xf numFmtId="0" fontId="0" fillId="15" borderId="13" xfId="0" applyFill="1" applyBorder="1"/>
    <xf numFmtId="0" fontId="0" fillId="15" borderId="41" xfId="0" applyFill="1" applyBorder="1"/>
    <xf numFmtId="0" fontId="0" fillId="24" borderId="9" xfId="0" applyFill="1" applyBorder="1"/>
    <xf numFmtId="166" fontId="0" fillId="22" borderId="2" xfId="0" applyNumberFormat="1" applyFont="1" applyFill="1" applyBorder="1"/>
    <xf numFmtId="166" fontId="0" fillId="24" borderId="9" xfId="0" applyNumberFormat="1" applyFont="1" applyFill="1" applyBorder="1" applyAlignment="1">
      <alignment horizontal="right"/>
    </xf>
    <xf numFmtId="166" fontId="0" fillId="15" borderId="3" xfId="0" applyNumberFormat="1" applyFont="1" applyFill="1" applyBorder="1" applyAlignment="1">
      <alignment horizontal="right"/>
    </xf>
    <xf numFmtId="0" fontId="0" fillId="15" borderId="13" xfId="0" applyFont="1" applyFill="1" applyBorder="1"/>
    <xf numFmtId="166" fontId="0" fillId="15" borderId="2" xfId="0" applyNumberFormat="1" applyFont="1" applyFill="1" applyBorder="1"/>
    <xf numFmtId="3" fontId="0" fillId="15" borderId="41" xfId="0" applyNumberFormat="1" applyFont="1" applyFill="1" applyBorder="1"/>
    <xf numFmtId="166" fontId="0" fillId="4" borderId="3" xfId="0" applyNumberFormat="1" applyFont="1" applyFill="1" applyBorder="1" applyAlignment="1">
      <alignment horizontal="right"/>
    </xf>
    <xf numFmtId="4" fontId="0" fillId="22" borderId="41" xfId="0" applyNumberFormat="1" applyFont="1" applyFill="1" applyBorder="1"/>
    <xf numFmtId="0" fontId="0" fillId="15" borderId="3" xfId="0" applyFont="1" applyFill="1" applyBorder="1"/>
    <xf numFmtId="0" fontId="0" fillId="14" borderId="13" xfId="0" applyFont="1" applyFill="1" applyBorder="1"/>
    <xf numFmtId="2" fontId="0" fillId="14" borderId="2" xfId="0" applyNumberFormat="1" applyFont="1" applyFill="1" applyBorder="1"/>
    <xf numFmtId="0" fontId="0" fillId="15" borderId="14" xfId="0" applyFont="1" applyFill="1" applyBorder="1"/>
    <xf numFmtId="166" fontId="11" fillId="3" borderId="9" xfId="0" applyNumberFormat="1" applyFont="1" applyFill="1" applyBorder="1"/>
    <xf numFmtId="166" fontId="2" fillId="15" borderId="2" xfId="0" applyNumberFormat="1" applyFont="1" applyFill="1" applyBorder="1"/>
    <xf numFmtId="0" fontId="0" fillId="24" borderId="14" xfId="0" applyFill="1" applyBorder="1"/>
    <xf numFmtId="166" fontId="2" fillId="24" borderId="2" xfId="0" applyNumberFormat="1" applyFont="1" applyFill="1" applyBorder="1"/>
    <xf numFmtId="169" fontId="0" fillId="15" borderId="41" xfId="0" applyNumberFormat="1" applyFont="1" applyFill="1" applyBorder="1"/>
    <xf numFmtId="4" fontId="2" fillId="4" borderId="3" xfId="0" applyNumberFormat="1" applyFont="1" applyFill="1" applyBorder="1"/>
    <xf numFmtId="0" fontId="0" fillId="15" borderId="9" xfId="0" applyFill="1" applyBorder="1"/>
    <xf numFmtId="0" fontId="0" fillId="15" borderId="43" xfId="0" applyFill="1" applyBorder="1"/>
    <xf numFmtId="166" fontId="0" fillId="2" borderId="3" xfId="0" applyNumberFormat="1" applyFont="1" applyFill="1" applyBorder="1" applyAlignment="1">
      <alignment horizontal="right"/>
    </xf>
    <xf numFmtId="3" fontId="2" fillId="22" borderId="9" xfId="0" applyNumberFormat="1" applyFont="1" applyFill="1" applyBorder="1"/>
    <xf numFmtId="0" fontId="0" fillId="15" borderId="59" xfId="0" applyFill="1" applyBorder="1"/>
    <xf numFmtId="0" fontId="0" fillId="15" borderId="30" xfId="0" applyFill="1" applyBorder="1"/>
    <xf numFmtId="0" fontId="0" fillId="15" borderId="122" xfId="0" applyFill="1" applyBorder="1"/>
    <xf numFmtId="0" fontId="0" fillId="15" borderId="123" xfId="0" applyFill="1" applyBorder="1"/>
    <xf numFmtId="0" fontId="0" fillId="26" borderId="100" xfId="0" applyFont="1" applyFill="1" applyBorder="1"/>
    <xf numFmtId="0" fontId="0" fillId="24" borderId="43" xfId="0" applyFill="1" applyBorder="1"/>
    <xf numFmtId="169" fontId="2" fillId="36" borderId="1" xfId="0" applyNumberFormat="1" applyFont="1" applyFill="1" applyBorder="1"/>
    <xf numFmtId="4" fontId="2" fillId="36" borderId="1" xfId="0" applyNumberFormat="1" applyFont="1" applyFill="1" applyBorder="1"/>
    <xf numFmtId="0" fontId="4" fillId="35" borderId="71" xfId="0" applyFont="1" applyFill="1" applyBorder="1"/>
    <xf numFmtId="0" fontId="2" fillId="0" borderId="51" xfId="0" applyFont="1" applyBorder="1"/>
    <xf numFmtId="0" fontId="4" fillId="4" borderId="127" xfId="0" applyFont="1" applyFill="1" applyBorder="1"/>
    <xf numFmtId="0" fontId="0" fillId="4" borderId="128" xfId="0" applyFill="1" applyBorder="1"/>
    <xf numFmtId="0" fontId="4" fillId="27" borderId="130" xfId="0" applyFont="1" applyFill="1" applyBorder="1"/>
    <xf numFmtId="0" fontId="0" fillId="27" borderId="129" xfId="0" applyFill="1" applyBorder="1"/>
    <xf numFmtId="169" fontId="4" fillId="0" borderId="1" xfId="0" applyNumberFormat="1" applyFont="1" applyBorder="1"/>
    <xf numFmtId="3" fontId="0" fillId="0" borderId="1" xfId="0" applyNumberFormat="1" applyFont="1" applyBorder="1"/>
    <xf numFmtId="4" fontId="0" fillId="0" borderId="1" xfId="0" applyNumberFormat="1" applyFont="1" applyBorder="1"/>
    <xf numFmtId="0" fontId="0" fillId="0" borderId="9" xfId="0" applyFill="1" applyBorder="1"/>
    <xf numFmtId="3" fontId="2" fillId="0" borderId="0" xfId="0" applyNumberFormat="1" applyFont="1"/>
    <xf numFmtId="1" fontId="2" fillId="0" borderId="0" xfId="0" applyNumberFormat="1" applyFont="1"/>
    <xf numFmtId="168" fontId="2" fillId="0" borderId="0" xfId="0" applyNumberFormat="1" applyFont="1"/>
    <xf numFmtId="166" fontId="2" fillId="0" borderId="0" xfId="0" applyNumberFormat="1" applyFont="1"/>
    <xf numFmtId="169" fontId="0" fillId="24" borderId="1" xfId="0" applyNumberFormat="1" applyFont="1" applyFill="1" applyBorder="1"/>
    <xf numFmtId="3" fontId="0" fillId="26" borderId="9" xfId="0" applyNumberFormat="1" applyFont="1" applyFill="1" applyBorder="1"/>
    <xf numFmtId="0" fontId="0" fillId="0" borderId="0" xfId="0" applyFill="1" applyBorder="1"/>
    <xf numFmtId="0" fontId="0" fillId="21" borderId="55" xfId="0" applyFill="1" applyBorder="1"/>
    <xf numFmtId="0" fontId="0" fillId="11" borderId="131" xfId="0" applyFont="1" applyFill="1" applyBorder="1"/>
    <xf numFmtId="0" fontId="0" fillId="21" borderId="118" xfId="0" applyFill="1" applyBorder="1"/>
    <xf numFmtId="0" fontId="0" fillId="40" borderId="1" xfId="0" applyFill="1" applyBorder="1"/>
    <xf numFmtId="3" fontId="0" fillId="40" borderId="1" xfId="0" applyNumberFormat="1" applyFill="1" applyBorder="1"/>
    <xf numFmtId="3" fontId="2" fillId="0" borderId="0" xfId="0" applyNumberFormat="1" applyFont="1" applyBorder="1"/>
    <xf numFmtId="2" fontId="0" fillId="3" borderId="1" xfId="0" applyNumberFormat="1" applyFill="1" applyBorder="1"/>
    <xf numFmtId="0" fontId="0" fillId="33" borderId="2" xfId="0" applyFill="1" applyBorder="1"/>
    <xf numFmtId="0" fontId="2" fillId="33" borderId="1" xfId="0" applyFont="1" applyFill="1" applyBorder="1"/>
    <xf numFmtId="0" fontId="0" fillId="33" borderId="0" xfId="0" applyFill="1"/>
    <xf numFmtId="0" fontId="2" fillId="33" borderId="2" xfId="0" applyFont="1" applyFill="1" applyBorder="1"/>
    <xf numFmtId="0" fontId="2" fillId="0" borderId="32" xfId="0" applyFont="1" applyBorder="1"/>
    <xf numFmtId="0" fontId="2" fillId="0" borderId="0" xfId="0" applyFont="1" applyBorder="1" applyAlignment="1">
      <alignment horizontal="center" textRotation="90"/>
    </xf>
    <xf numFmtId="0" fontId="2" fillId="0" borderId="0" xfId="0" applyFont="1" applyBorder="1" applyAlignment="1">
      <alignment textRotation="90"/>
    </xf>
    <xf numFmtId="169" fontId="0" fillId="24" borderId="2" xfId="0" applyNumberFormat="1" applyFont="1" applyFill="1" applyBorder="1"/>
    <xf numFmtId="0" fontId="4" fillId="2" borderId="132" xfId="0" applyFont="1" applyFill="1" applyBorder="1"/>
    <xf numFmtId="0" fontId="4" fillId="36" borderId="132" xfId="0" applyFont="1" applyFill="1" applyBorder="1"/>
    <xf numFmtId="1" fontId="2" fillId="22" borderId="1" xfId="0" applyNumberFormat="1" applyFont="1" applyFill="1" applyBorder="1"/>
    <xf numFmtId="3" fontId="2" fillId="0" borderId="1" xfId="0" applyNumberFormat="1" applyFont="1" applyFill="1" applyBorder="1"/>
    <xf numFmtId="3" fontId="0" fillId="33" borderId="2" xfId="0" applyNumberFormat="1" applyFill="1" applyBorder="1"/>
    <xf numFmtId="3" fontId="2" fillId="26" borderId="9" xfId="0" applyNumberFormat="1" applyFont="1" applyFill="1" applyBorder="1"/>
    <xf numFmtId="0" fontId="2" fillId="26" borderId="9" xfId="0" applyFont="1" applyFill="1" applyBorder="1"/>
    <xf numFmtId="0" fontId="6" fillId="26" borderId="1" xfId="0" applyFont="1" applyFill="1" applyBorder="1"/>
    <xf numFmtId="0" fontId="0" fillId="26" borderId="12" xfId="0" applyFill="1" applyBorder="1"/>
    <xf numFmtId="169" fontId="2" fillId="24" borderId="2" xfId="0" applyNumberFormat="1" applyFont="1" applyFill="1" applyBorder="1"/>
    <xf numFmtId="0" fontId="0" fillId="27" borderId="12" xfId="0" applyFill="1" applyBorder="1"/>
    <xf numFmtId="3" fontId="0" fillId="36" borderId="1" xfId="0" applyNumberFormat="1" applyFont="1" applyFill="1" applyBorder="1"/>
    <xf numFmtId="3" fontId="2" fillId="0" borderId="6" xfId="0" applyNumberFormat="1" applyFont="1" applyFill="1" applyBorder="1"/>
    <xf numFmtId="0" fontId="23" fillId="0" borderId="6" xfId="0" applyFont="1" applyBorder="1" applyAlignment="1">
      <alignment textRotation="90"/>
    </xf>
    <xf numFmtId="0" fontId="28" fillId="0" borderId="0" xfId="0" applyFont="1" applyBorder="1" applyAlignment="1">
      <alignment textRotation="90"/>
    </xf>
    <xf numFmtId="0" fontId="0" fillId="11" borderId="12" xfId="0" applyFont="1" applyFill="1" applyBorder="1"/>
    <xf numFmtId="0" fontId="24" fillId="0" borderId="1" xfId="0" applyFont="1" applyBorder="1" applyAlignment="1">
      <alignment textRotation="90"/>
    </xf>
    <xf numFmtId="0" fontId="24" fillId="0" borderId="3" xfId="0" applyFont="1" applyBorder="1" applyAlignment="1">
      <alignment textRotation="90"/>
    </xf>
    <xf numFmtId="0" fontId="0" fillId="0" borderId="2" xfId="0" applyFill="1" applyBorder="1"/>
    <xf numFmtId="0" fontId="0" fillId="0" borderId="31" xfId="0" applyBorder="1"/>
    <xf numFmtId="0" fontId="2" fillId="9" borderId="1" xfId="0" applyFont="1" applyFill="1" applyBorder="1"/>
    <xf numFmtId="0" fontId="2" fillId="9" borderId="2" xfId="0" applyFont="1" applyFill="1" applyBorder="1"/>
    <xf numFmtId="0" fontId="2" fillId="5" borderId="2" xfId="0" applyFont="1" applyFill="1" applyBorder="1"/>
    <xf numFmtId="3" fontId="0" fillId="3" borderId="2" xfId="0" applyNumberFormat="1" applyFill="1" applyBorder="1"/>
    <xf numFmtId="3" fontId="0" fillId="3" borderId="1" xfId="0" applyNumberFormat="1" applyFill="1" applyBorder="1"/>
    <xf numFmtId="3" fontId="2" fillId="3" borderId="9" xfId="0" applyNumberFormat="1" applyFont="1" applyFill="1" applyBorder="1"/>
    <xf numFmtId="0" fontId="24" fillId="0" borderId="0" xfId="0" applyFont="1"/>
    <xf numFmtId="0" fontId="0" fillId="3" borderId="14" xfId="0" applyFill="1" applyBorder="1"/>
    <xf numFmtId="168" fontId="2" fillId="3" borderId="1" xfId="0" applyNumberFormat="1" applyFont="1" applyFill="1" applyBorder="1"/>
    <xf numFmtId="3" fontId="2" fillId="4" borderId="2" xfId="0" applyNumberFormat="1" applyFont="1" applyFill="1" applyBorder="1"/>
    <xf numFmtId="3" fontId="2" fillId="27" borderId="2" xfId="0" applyNumberFormat="1" applyFont="1" applyFill="1" applyBorder="1"/>
    <xf numFmtId="3" fontId="2" fillId="35" borderId="2" xfId="0" applyNumberFormat="1" applyFont="1" applyFill="1" applyBorder="1"/>
    <xf numFmtId="3" fontId="2" fillId="2" borderId="2" xfId="0" applyNumberFormat="1" applyFont="1" applyFill="1" applyBorder="1"/>
    <xf numFmtId="0" fontId="33" fillId="0" borderId="3" xfId="0" applyFont="1" applyBorder="1" applyAlignment="1">
      <alignment textRotation="90"/>
    </xf>
    <xf numFmtId="0" fontId="0" fillId="36" borderId="6" xfId="0" applyFill="1" applyBorder="1"/>
    <xf numFmtId="3" fontId="2" fillId="36" borderId="2" xfId="0" applyNumberFormat="1" applyFont="1" applyFill="1" applyBorder="1"/>
    <xf numFmtId="0" fontId="33" fillId="0" borderId="12" xfId="0" applyFont="1" applyBorder="1" applyAlignment="1">
      <alignment textRotation="90"/>
    </xf>
    <xf numFmtId="166" fontId="2" fillId="4" borderId="3" xfId="0" applyNumberFormat="1" applyFont="1" applyFill="1" applyBorder="1"/>
    <xf numFmtId="0" fontId="24" fillId="0" borderId="0" xfId="0" applyFont="1" applyBorder="1" applyAlignment="1">
      <alignment textRotation="90" wrapText="1"/>
    </xf>
    <xf numFmtId="0" fontId="24" fillId="0" borderId="134" xfId="0" applyFont="1" applyBorder="1" applyAlignment="1">
      <alignment textRotation="90" wrapText="1"/>
    </xf>
    <xf numFmtId="3" fontId="2" fillId="3" borderId="80" xfId="0" applyNumberFormat="1" applyFont="1" applyFill="1" applyBorder="1"/>
    <xf numFmtId="3" fontId="2" fillId="3" borderId="38" xfId="0" applyNumberFormat="1" applyFont="1" applyFill="1" applyBorder="1"/>
    <xf numFmtId="0" fontId="2" fillId="16" borderId="2" xfId="0" applyFont="1" applyFill="1" applyBorder="1"/>
    <xf numFmtId="4" fontId="0" fillId="0" borderId="0" xfId="0" applyNumberFormat="1" applyBorder="1"/>
    <xf numFmtId="0" fontId="0" fillId="33" borderId="2" xfId="0" applyFont="1" applyFill="1" applyBorder="1"/>
    <xf numFmtId="0" fontId="0" fillId="0" borderId="0" xfId="0" applyFont="1"/>
    <xf numFmtId="4" fontId="2" fillId="35" borderId="2" xfId="0" applyNumberFormat="1" applyFont="1" applyFill="1" applyBorder="1"/>
    <xf numFmtId="4" fontId="2" fillId="27" borderId="2" xfId="0" applyNumberFormat="1" applyFont="1" applyFill="1" applyBorder="1"/>
    <xf numFmtId="4" fontId="2" fillId="4" borderId="2" xfId="0" applyNumberFormat="1" applyFont="1" applyFill="1" applyBorder="1"/>
    <xf numFmtId="169" fontId="0" fillId="3" borderId="1" xfId="0" applyNumberFormat="1" applyFont="1" applyFill="1" applyBorder="1"/>
    <xf numFmtId="168" fontId="2" fillId="33" borderId="1" xfId="0" applyNumberFormat="1" applyFont="1" applyFill="1" applyBorder="1"/>
    <xf numFmtId="168" fontId="2" fillId="5" borderId="1" xfId="0" applyNumberFormat="1" applyFont="1" applyFill="1" applyBorder="1"/>
    <xf numFmtId="168" fontId="2" fillId="26" borderId="13" xfId="0" applyNumberFormat="1" applyFont="1" applyFill="1" applyBorder="1"/>
    <xf numFmtId="168" fontId="2" fillId="4" borderId="13" xfId="0" applyNumberFormat="1" applyFont="1" applyFill="1" applyBorder="1"/>
    <xf numFmtId="168" fontId="2" fillId="27" borderId="13" xfId="0" applyNumberFormat="1" applyFont="1" applyFill="1" applyBorder="1"/>
    <xf numFmtId="168" fontId="2" fillId="2" borderId="13" xfId="0" applyNumberFormat="1" applyFont="1" applyFill="1" applyBorder="1"/>
    <xf numFmtId="168" fontId="2" fillId="15" borderId="1" xfId="0" applyNumberFormat="1" applyFont="1" applyFill="1" applyBorder="1"/>
    <xf numFmtId="0" fontId="2" fillId="15" borderId="3" xfId="0" applyFont="1" applyFill="1" applyBorder="1"/>
    <xf numFmtId="4" fontId="2" fillId="35" borderId="9" xfId="0" applyNumberFormat="1" applyFont="1" applyFill="1" applyBorder="1"/>
    <xf numFmtId="0" fontId="2" fillId="0" borderId="11" xfId="0" applyFont="1" applyBorder="1" applyAlignment="1">
      <alignment horizontal="center"/>
    </xf>
    <xf numFmtId="0" fontId="2" fillId="0" borderId="26" xfId="0" applyFont="1" applyBorder="1"/>
    <xf numFmtId="0" fontId="0" fillId="0" borderId="8" xfId="0" applyBorder="1"/>
    <xf numFmtId="0" fontId="0" fillId="0" borderId="25" xfId="0" applyBorder="1"/>
    <xf numFmtId="0" fontId="0" fillId="0" borderId="0" xfId="0" applyBorder="1" applyAlignment="1">
      <alignment wrapText="1"/>
    </xf>
    <xf numFmtId="0" fontId="2" fillId="0" borderId="0" xfId="0" applyFont="1" applyBorder="1" applyAlignment="1">
      <alignment wrapText="1"/>
    </xf>
    <xf numFmtId="1" fontId="2" fillId="0" borderId="21" xfId="0" applyNumberFormat="1" applyFont="1" applyBorder="1"/>
    <xf numFmtId="1" fontId="2" fillId="0" borderId="27" xfId="0" applyNumberFormat="1" applyFont="1" applyBorder="1"/>
    <xf numFmtId="1" fontId="2" fillId="0" borderId="28" xfId="0" applyNumberFormat="1" applyFont="1" applyBorder="1"/>
    <xf numFmtId="2" fontId="2" fillId="20" borderId="25" xfId="0" applyNumberFormat="1" applyFont="1" applyFill="1" applyBorder="1"/>
    <xf numFmtId="168" fontId="2" fillId="5" borderId="18" xfId="0" applyNumberFormat="1" applyFont="1" applyFill="1" applyBorder="1"/>
    <xf numFmtId="168" fontId="2" fillId="23" borderId="1" xfId="0" applyNumberFormat="1" applyFont="1" applyFill="1" applyBorder="1"/>
    <xf numFmtId="168" fontId="2" fillId="9" borderId="25" xfId="0" applyNumberFormat="1" applyFont="1" applyFill="1" applyBorder="1"/>
    <xf numFmtId="2" fontId="2" fillId="38" borderId="8" xfId="0" applyNumberFormat="1" applyFont="1" applyFill="1" applyBorder="1"/>
    <xf numFmtId="1" fontId="2" fillId="0" borderId="0" xfId="0" applyNumberFormat="1" applyFont="1" applyBorder="1"/>
    <xf numFmtId="167" fontId="0" fillId="0" borderId="0" xfId="0" applyNumberFormat="1"/>
    <xf numFmtId="168" fontId="0" fillId="0" borderId="0" xfId="0" applyNumberFormat="1"/>
    <xf numFmtId="169" fontId="0" fillId="26" borderId="1" xfId="0" applyNumberFormat="1" applyFill="1" applyBorder="1"/>
    <xf numFmtId="4" fontId="0" fillId="2" borderId="1" xfId="0" applyNumberFormat="1" applyFont="1" applyFill="1" applyBorder="1"/>
    <xf numFmtId="0" fontId="0" fillId="24" borderId="49" xfId="0" applyFill="1" applyBorder="1"/>
    <xf numFmtId="0" fontId="0" fillId="27" borderId="41" xfId="0" applyFill="1" applyBorder="1"/>
    <xf numFmtId="4" fontId="0" fillId="26" borderId="1" xfId="0" applyNumberFormat="1" applyFill="1" applyBorder="1"/>
    <xf numFmtId="4" fontId="0" fillId="22" borderId="1" xfId="0" applyNumberFormat="1" applyFill="1" applyBorder="1"/>
    <xf numFmtId="4" fontId="0" fillId="16" borderId="1" xfId="0" applyNumberFormat="1" applyFont="1" applyFill="1" applyBorder="1"/>
    <xf numFmtId="169" fontId="0" fillId="16" borderId="1" xfId="0" applyNumberFormat="1" applyFill="1" applyBorder="1"/>
    <xf numFmtId="3" fontId="0" fillId="40" borderId="1" xfId="0" applyNumberFormat="1" applyFont="1" applyFill="1" applyBorder="1"/>
    <xf numFmtId="3" fontId="0" fillId="26" borderId="2" xfId="0" applyNumberFormat="1" applyFont="1" applyFill="1" applyBorder="1"/>
    <xf numFmtId="3" fontId="2" fillId="15" borderId="41" xfId="0" applyNumberFormat="1" applyFont="1" applyFill="1" applyBorder="1"/>
    <xf numFmtId="0" fontId="34" fillId="3" borderId="1" xfId="0" applyFont="1" applyFill="1" applyBorder="1"/>
    <xf numFmtId="3" fontId="34" fillId="0" borderId="1" xfId="0" applyNumberFormat="1" applyFont="1" applyBorder="1"/>
    <xf numFmtId="0" fontId="34" fillId="0" borderId="1" xfId="0" applyFont="1" applyBorder="1"/>
    <xf numFmtId="0" fontId="35" fillId="0" borderId="1" xfId="0" applyFont="1" applyBorder="1"/>
    <xf numFmtId="3" fontId="0" fillId="9" borderId="1" xfId="0" applyNumberFormat="1" applyFont="1" applyFill="1" applyBorder="1"/>
    <xf numFmtId="3" fontId="2" fillId="15" borderId="43" xfId="0" applyNumberFormat="1" applyFont="1" applyFill="1" applyBorder="1"/>
    <xf numFmtId="3" fontId="0" fillId="15" borderId="110" xfId="0" applyNumberFormat="1" applyFont="1" applyFill="1" applyBorder="1"/>
    <xf numFmtId="3" fontId="2" fillId="15" borderId="9" xfId="0" applyNumberFormat="1" applyFont="1" applyFill="1" applyBorder="1"/>
    <xf numFmtId="3" fontId="2" fillId="4" borderId="3" xfId="0" applyNumberFormat="1" applyFont="1" applyFill="1" applyBorder="1"/>
    <xf numFmtId="3" fontId="2" fillId="24" borderId="110" xfId="0" applyNumberFormat="1" applyFont="1" applyFill="1" applyBorder="1"/>
    <xf numFmtId="3" fontId="2" fillId="22" borderId="110" xfId="0" applyNumberFormat="1" applyFont="1" applyFill="1" applyBorder="1"/>
    <xf numFmtId="169" fontId="2" fillId="15" borderId="41" xfId="0" applyNumberFormat="1" applyFont="1" applyFill="1" applyBorder="1"/>
    <xf numFmtId="169" fontId="2" fillId="15" borderId="3" xfId="0" applyNumberFormat="1" applyFont="1" applyFill="1" applyBorder="1"/>
    <xf numFmtId="4" fontId="2" fillId="15" borderId="3" xfId="0" applyNumberFormat="1" applyFont="1" applyFill="1" applyBorder="1"/>
    <xf numFmtId="3" fontId="4" fillId="0" borderId="121" xfId="0" applyNumberFormat="1" applyFont="1" applyBorder="1"/>
    <xf numFmtId="1" fontId="2" fillId="26" borderId="1" xfId="0" applyNumberFormat="1" applyFont="1" applyFill="1" applyBorder="1"/>
    <xf numFmtId="169" fontId="6" fillId="25" borderId="0" xfId="0" applyNumberFormat="1" applyFont="1" applyFill="1" applyBorder="1"/>
    <xf numFmtId="169" fontId="6" fillId="25" borderId="76" xfId="0" applyNumberFormat="1" applyFont="1" applyFill="1" applyBorder="1"/>
    <xf numFmtId="168" fontId="2" fillId="35" borderId="103" xfId="0" applyNumberFormat="1" applyFont="1" applyFill="1" applyBorder="1"/>
    <xf numFmtId="168" fontId="2" fillId="36" borderId="80" xfId="0" applyNumberFormat="1" applyFont="1" applyFill="1" applyBorder="1"/>
    <xf numFmtId="3" fontId="2" fillId="22" borderId="80" xfId="0" applyNumberFormat="1" applyFont="1" applyFill="1" applyBorder="1"/>
    <xf numFmtId="168" fontId="2" fillId="4" borderId="2" xfId="0" applyNumberFormat="1" applyFont="1" applyFill="1" applyBorder="1"/>
    <xf numFmtId="168" fontId="2" fillId="27" borderId="2" xfId="0" applyNumberFormat="1" applyFont="1" applyFill="1" applyBorder="1"/>
    <xf numFmtId="168" fontId="2" fillId="35" borderId="2" xfId="0" applyNumberFormat="1" applyFont="1" applyFill="1" applyBorder="1"/>
    <xf numFmtId="168" fontId="2" fillId="2" borderId="2" xfId="0" applyNumberFormat="1" applyFont="1" applyFill="1" applyBorder="1"/>
    <xf numFmtId="168" fontId="2" fillId="36" borderId="2" xfId="0" applyNumberFormat="1" applyFont="1" applyFill="1" applyBorder="1"/>
    <xf numFmtId="1" fontId="2" fillId="4" borderId="3" xfId="0" applyNumberFormat="1" applyFont="1" applyFill="1" applyBorder="1"/>
    <xf numFmtId="1" fontId="2" fillId="0" borderId="10" xfId="0" applyNumberFormat="1" applyFont="1" applyBorder="1"/>
    <xf numFmtId="168" fontId="2" fillId="5" borderId="23" xfId="0" applyNumberFormat="1" applyFont="1" applyFill="1" applyBorder="1"/>
    <xf numFmtId="1" fontId="2" fillId="5" borderId="19" xfId="0" applyNumberFormat="1" applyFont="1" applyFill="1" applyBorder="1"/>
    <xf numFmtId="168" fontId="2" fillId="0" borderId="25" xfId="0" applyNumberFormat="1" applyFont="1" applyBorder="1"/>
    <xf numFmtId="168" fontId="2" fillId="23" borderId="25" xfId="0" applyNumberFormat="1" applyFont="1" applyFill="1" applyBorder="1"/>
    <xf numFmtId="1" fontId="2" fillId="9" borderId="1" xfId="0" applyNumberFormat="1" applyFont="1" applyFill="1" applyBorder="1"/>
    <xf numFmtId="168" fontId="2" fillId="20" borderId="1" xfId="0" applyNumberFormat="1" applyFont="1" applyFill="1" applyBorder="1"/>
    <xf numFmtId="1" fontId="2" fillId="4" borderId="8" xfId="0" applyNumberFormat="1" applyFont="1" applyFill="1" applyBorder="1"/>
    <xf numFmtId="168" fontId="2" fillId="38" borderId="1" xfId="0" applyNumberFormat="1" applyFont="1" applyFill="1" applyBorder="1"/>
    <xf numFmtId="2" fontId="2" fillId="38" borderId="25" xfId="0" applyNumberFormat="1" applyFont="1" applyFill="1" applyBorder="1"/>
    <xf numFmtId="168" fontId="2" fillId="9" borderId="8" xfId="0" applyNumberFormat="1" applyFont="1" applyFill="1" applyBorder="1"/>
    <xf numFmtId="168" fontId="2" fillId="0" borderId="8" xfId="0" applyNumberFormat="1" applyFont="1" applyBorder="1"/>
    <xf numFmtId="168" fontId="2" fillId="4" borderId="25" xfId="0" applyNumberFormat="1" applyFont="1" applyFill="1" applyBorder="1"/>
    <xf numFmtId="168" fontId="2" fillId="24" borderId="1" xfId="0" applyNumberFormat="1" applyFont="1" applyFill="1" applyBorder="1"/>
    <xf numFmtId="2" fontId="2" fillId="20" borderId="8" xfId="0" applyNumberFormat="1" applyFont="1" applyFill="1" applyBorder="1"/>
    <xf numFmtId="1" fontId="2" fillId="22" borderId="13" xfId="0" applyNumberFormat="1" applyFont="1" applyFill="1" applyBorder="1"/>
    <xf numFmtId="1" fontId="2" fillId="5" borderId="1" xfId="0" applyNumberFormat="1" applyFont="1" applyFill="1" applyBorder="1"/>
    <xf numFmtId="1" fontId="2" fillId="5" borderId="13" xfId="0" applyNumberFormat="1" applyFont="1" applyFill="1" applyBorder="1"/>
    <xf numFmtId="1" fontId="2" fillId="22" borderId="25" xfId="0" applyNumberFormat="1" applyFont="1" applyFill="1" applyBorder="1"/>
    <xf numFmtId="1" fontId="2" fillId="26" borderId="23" xfId="0" applyNumberFormat="1" applyFont="1" applyFill="1" applyBorder="1"/>
    <xf numFmtId="1" fontId="2" fillId="26" borderId="19" xfId="0" applyNumberFormat="1" applyFont="1" applyFill="1" applyBorder="1"/>
    <xf numFmtId="1" fontId="2" fillId="4" borderId="27" xfId="0" applyNumberFormat="1" applyFont="1" applyFill="1" applyBorder="1"/>
    <xf numFmtId="0" fontId="2" fillId="14" borderId="1" xfId="0" applyFont="1" applyFill="1" applyBorder="1"/>
    <xf numFmtId="3" fontId="2" fillId="3" borderId="121" xfId="0" applyNumberFormat="1" applyFont="1" applyFill="1" applyBorder="1"/>
    <xf numFmtId="14" fontId="0" fillId="3" borderId="1" xfId="0" applyNumberFormat="1" applyFill="1" applyBorder="1"/>
    <xf numFmtId="4" fontId="2" fillId="27" borderId="1" xfId="0" applyNumberFormat="1" applyFont="1" applyFill="1" applyBorder="1" applyAlignment="1">
      <alignment horizontal="right"/>
    </xf>
    <xf numFmtId="4" fontId="0" fillId="22" borderId="2" xfId="0" applyNumberFormat="1" applyFont="1" applyFill="1" applyBorder="1"/>
    <xf numFmtId="169" fontId="0" fillId="15" borderId="2" xfId="0" applyNumberFormat="1" applyFont="1" applyFill="1" applyBorder="1"/>
    <xf numFmtId="4" fontId="0" fillId="15" borderId="2" xfId="0" applyNumberFormat="1" applyFont="1" applyFill="1" applyBorder="1"/>
    <xf numFmtId="169" fontId="2" fillId="2" borderId="1" xfId="0" applyNumberFormat="1" applyFont="1" applyFill="1" applyBorder="1" applyAlignment="1">
      <alignment horizontal="right"/>
    </xf>
    <xf numFmtId="169" fontId="2" fillId="36" borderId="1" xfId="0" applyNumberFormat="1" applyFont="1" applyFill="1" applyBorder="1" applyAlignment="1">
      <alignment horizontal="right"/>
    </xf>
    <xf numFmtId="169" fontId="0" fillId="3" borderId="61" xfId="0" applyNumberFormat="1" applyFont="1" applyFill="1" applyBorder="1"/>
    <xf numFmtId="169" fontId="0" fillId="3" borderId="60" xfId="0" applyNumberFormat="1" applyFont="1" applyFill="1" applyBorder="1"/>
    <xf numFmtId="3" fontId="6" fillId="25" borderId="77" xfId="0" applyNumberFormat="1" applyFont="1" applyFill="1" applyBorder="1"/>
    <xf numFmtId="1" fontId="2" fillId="25" borderId="1" xfId="0" applyNumberFormat="1" applyFont="1" applyFill="1" applyBorder="1"/>
    <xf numFmtId="169" fontId="4" fillId="0" borderId="120" xfId="0" applyNumberFormat="1" applyFont="1" applyBorder="1"/>
    <xf numFmtId="169" fontId="2" fillId="3" borderId="121" xfId="0" applyNumberFormat="1" applyFont="1" applyFill="1" applyBorder="1"/>
    <xf numFmtId="3" fontId="0" fillId="15" borderId="2" xfId="0" applyNumberFormat="1" applyFont="1" applyFill="1" applyBorder="1"/>
    <xf numFmtId="169" fontId="0" fillId="22" borderId="2" xfId="0" applyNumberFormat="1" applyFont="1" applyFill="1" applyBorder="1"/>
    <xf numFmtId="169" fontId="0" fillId="22" borderId="41" xfId="0" applyNumberFormat="1" applyFont="1" applyFill="1" applyBorder="1"/>
    <xf numFmtId="1" fontId="6" fillId="14" borderId="41" xfId="0" applyNumberFormat="1" applyFont="1" applyFill="1" applyBorder="1"/>
    <xf numFmtId="3" fontId="0" fillId="15" borderId="100" xfId="0" applyNumberFormat="1" applyFont="1" applyFill="1" applyBorder="1"/>
    <xf numFmtId="3" fontId="2" fillId="15" borderId="110" xfId="0" applyNumberFormat="1" applyFont="1" applyFill="1" applyBorder="1"/>
    <xf numFmtId="169" fontId="0" fillId="3" borderId="41" xfId="0" applyNumberFormat="1" applyFont="1" applyFill="1" applyBorder="1"/>
    <xf numFmtId="3" fontId="0" fillId="15" borderId="43" xfId="0" applyNumberFormat="1" applyFont="1" applyFill="1" applyBorder="1"/>
    <xf numFmtId="1" fontId="4" fillId="0" borderId="41" xfId="0" applyNumberFormat="1" applyFont="1" applyBorder="1"/>
    <xf numFmtId="1" fontId="2" fillId="4" borderId="80" xfId="0" applyNumberFormat="1" applyFont="1" applyFill="1" applyBorder="1"/>
    <xf numFmtId="1" fontId="2" fillId="27" borderId="80" xfId="0" applyNumberFormat="1" applyFont="1" applyFill="1" applyBorder="1"/>
    <xf numFmtId="1" fontId="2" fillId="2" borderId="103" xfId="0" applyNumberFormat="1" applyFont="1" applyFill="1" applyBorder="1"/>
    <xf numFmtId="1" fontId="2" fillId="21" borderId="80" xfId="0" applyNumberFormat="1" applyFont="1" applyFill="1" applyBorder="1"/>
    <xf numFmtId="1" fontId="0" fillId="4" borderId="1" xfId="0" applyNumberFormat="1" applyFill="1" applyBorder="1"/>
    <xf numFmtId="1" fontId="0" fillId="27" borderId="1" xfId="0" applyNumberFormat="1" applyFill="1" applyBorder="1"/>
    <xf numFmtId="1" fontId="0" fillId="2" borderId="1" xfId="0" applyNumberFormat="1" applyFill="1" applyBorder="1"/>
    <xf numFmtId="1" fontId="4" fillId="2" borderId="1" xfId="0" applyNumberFormat="1" applyFont="1" applyFill="1" applyBorder="1"/>
    <xf numFmtId="168" fontId="6" fillId="4" borderId="80" xfId="0" applyNumberFormat="1" applyFont="1" applyFill="1" applyBorder="1"/>
    <xf numFmtId="168" fontId="6" fillId="27" borderId="106" xfId="0" applyNumberFormat="1" applyFont="1" applyFill="1" applyBorder="1"/>
    <xf numFmtId="168" fontId="2" fillId="2" borderId="3" xfId="0" applyNumberFormat="1" applyFont="1" applyFill="1" applyBorder="1"/>
    <xf numFmtId="3" fontId="0" fillId="24" borderId="1" xfId="0" applyNumberFormat="1" applyFill="1" applyBorder="1"/>
    <xf numFmtId="2" fontId="2" fillId="3" borderId="10" xfId="0" applyNumberFormat="1" applyFont="1" applyFill="1" applyBorder="1"/>
    <xf numFmtId="3" fontId="4" fillId="26" borderId="61" xfId="0" applyNumberFormat="1" applyFont="1" applyFill="1" applyBorder="1"/>
    <xf numFmtId="169" fontId="0" fillId="3" borderId="2" xfId="0" applyNumberFormat="1" applyFont="1" applyFill="1" applyBorder="1"/>
    <xf numFmtId="169" fontId="6" fillId="25" borderId="2" xfId="0" applyNumberFormat="1" applyFont="1" applyFill="1" applyBorder="1"/>
    <xf numFmtId="3" fontId="6" fillId="25" borderId="2" xfId="0" applyNumberFormat="1" applyFont="1" applyFill="1" applyBorder="1"/>
    <xf numFmtId="4" fontId="6" fillId="25" borderId="2" xfId="0" applyNumberFormat="1" applyFont="1" applyFill="1" applyBorder="1"/>
    <xf numFmtId="166" fontId="2" fillId="3" borderId="30" xfId="0" applyNumberFormat="1" applyFont="1" applyFill="1" applyBorder="1"/>
    <xf numFmtId="0" fontId="2" fillId="28" borderId="15" xfId="0" applyFont="1" applyFill="1" applyBorder="1"/>
    <xf numFmtId="169" fontId="4" fillId="0" borderId="2" xfId="0" applyNumberFormat="1" applyFont="1" applyBorder="1"/>
    <xf numFmtId="166" fontId="2" fillId="15" borderId="135" xfId="0" applyNumberFormat="1" applyFont="1" applyFill="1" applyBorder="1"/>
    <xf numFmtId="166" fontId="2" fillId="15" borderId="13" xfId="0" applyNumberFormat="1" applyFont="1" applyFill="1" applyBorder="1"/>
    <xf numFmtId="166" fontId="2" fillId="24" borderId="13" xfId="0" applyNumberFormat="1" applyFont="1" applyFill="1" applyBorder="1"/>
    <xf numFmtId="166" fontId="2" fillId="22" borderId="13" xfId="0" applyNumberFormat="1" applyFont="1" applyFill="1" applyBorder="1"/>
    <xf numFmtId="166" fontId="2" fillId="4" borderId="13" xfId="0" applyNumberFormat="1" applyFont="1" applyFill="1" applyBorder="1"/>
    <xf numFmtId="166" fontId="2" fillId="27" borderId="13" xfId="0" applyNumberFormat="1" applyFont="1" applyFill="1" applyBorder="1"/>
    <xf numFmtId="166" fontId="2" fillId="35" borderId="13" xfId="0" applyNumberFormat="1" applyFont="1" applyFill="1" applyBorder="1"/>
    <xf numFmtId="166" fontId="2" fillId="2" borderId="13" xfId="0" applyNumberFormat="1" applyFont="1" applyFill="1" applyBorder="1"/>
    <xf numFmtId="166" fontId="2" fillId="0" borderId="13" xfId="0" applyNumberFormat="1" applyFont="1" applyBorder="1"/>
    <xf numFmtId="0" fontId="0" fillId="3" borderId="15" xfId="0" applyFont="1" applyFill="1" applyBorder="1"/>
    <xf numFmtId="3" fontId="4" fillId="26" borderId="65" xfId="0" applyNumberFormat="1" applyFont="1" applyFill="1" applyBorder="1"/>
    <xf numFmtId="3" fontId="0" fillId="26" borderId="136" xfId="0" applyNumberFormat="1" applyFont="1" applyFill="1" applyBorder="1"/>
    <xf numFmtId="169" fontId="4" fillId="26" borderId="1" xfId="0" applyNumberFormat="1" applyFont="1" applyFill="1" applyBorder="1"/>
    <xf numFmtId="166" fontId="0" fillId="26" borderId="83" xfId="0" applyNumberFormat="1" applyFill="1" applyBorder="1"/>
    <xf numFmtId="0" fontId="12" fillId="2" borderId="2" xfId="0" applyFont="1" applyFill="1" applyBorder="1"/>
    <xf numFmtId="0" fontId="12" fillId="36" borderId="2" xfId="0" applyFont="1" applyFill="1" applyBorder="1"/>
    <xf numFmtId="0" fontId="12" fillId="0" borderId="15" xfId="0" applyFont="1" applyBorder="1"/>
    <xf numFmtId="1" fontId="12" fillId="0" borderId="15" xfId="0" applyNumberFormat="1" applyFont="1" applyBorder="1"/>
    <xf numFmtId="0" fontId="9" fillId="29" borderId="13" xfId="0" applyFont="1" applyFill="1" applyBorder="1"/>
    <xf numFmtId="0" fontId="0" fillId="6" borderId="13" xfId="0" applyFill="1" applyBorder="1"/>
    <xf numFmtId="0" fontId="0" fillId="3" borderId="13" xfId="0" applyFill="1" applyBorder="1"/>
    <xf numFmtId="166" fontId="2" fillId="28" borderId="13" xfId="0" applyNumberFormat="1" applyFont="1" applyFill="1" applyBorder="1"/>
    <xf numFmtId="0" fontId="0" fillId="33" borderId="13" xfId="0" applyFill="1" applyBorder="1"/>
    <xf numFmtId="0" fontId="2" fillId="5" borderId="13" xfId="0" applyFont="1" applyFill="1" applyBorder="1"/>
    <xf numFmtId="0" fontId="10" fillId="3" borderId="13" xfId="0" applyFont="1" applyFill="1" applyBorder="1"/>
    <xf numFmtId="0" fontId="9" fillId="8" borderId="13" xfId="0" applyFont="1" applyFill="1" applyBorder="1"/>
    <xf numFmtId="0" fontId="0" fillId="20" borderId="13" xfId="0" applyFont="1" applyFill="1" applyBorder="1"/>
    <xf numFmtId="0" fontId="0" fillId="9" borderId="13" xfId="0" applyFont="1" applyFill="1" applyBorder="1"/>
    <xf numFmtId="0" fontId="35" fillId="0" borderId="13" xfId="0" applyFont="1" applyBorder="1"/>
    <xf numFmtId="0" fontId="0" fillId="4" borderId="13" xfId="0" applyFont="1" applyFill="1" applyBorder="1"/>
    <xf numFmtId="0" fontId="0" fillId="13" borderId="13" xfId="0" applyFill="1" applyBorder="1"/>
    <xf numFmtId="0" fontId="0" fillId="25" borderId="13" xfId="0" applyFill="1" applyBorder="1"/>
    <xf numFmtId="0" fontId="0" fillId="0" borderId="13" xfId="0" applyFill="1" applyBorder="1"/>
    <xf numFmtId="0" fontId="10" fillId="3" borderId="0" xfId="0" applyFont="1" applyFill="1" applyBorder="1"/>
    <xf numFmtId="0" fontId="11" fillId="0" borderId="0" xfId="0" applyFont="1" applyBorder="1"/>
    <xf numFmtId="0" fontId="35" fillId="0" borderId="0" xfId="0" applyFont="1" applyBorder="1"/>
    <xf numFmtId="0" fontId="11" fillId="0" borderId="13" xfId="0" applyFont="1" applyBorder="1"/>
    <xf numFmtId="1" fontId="2" fillId="21" borderId="0" xfId="0" applyNumberFormat="1" applyFont="1" applyFill="1" applyBorder="1"/>
    <xf numFmtId="3" fontId="2" fillId="26" borderId="2" xfId="0" applyNumberFormat="1" applyFont="1" applyFill="1" applyBorder="1"/>
    <xf numFmtId="3" fontId="2" fillId="22" borderId="2" xfId="0" applyNumberFormat="1" applyFont="1" applyFill="1" applyBorder="1"/>
    <xf numFmtId="3" fontId="2" fillId="5" borderId="2" xfId="0" applyNumberFormat="1" applyFont="1" applyFill="1" applyBorder="1"/>
    <xf numFmtId="3" fontId="2" fillId="33" borderId="2" xfId="0" applyNumberFormat="1" applyFont="1" applyFill="1" applyBorder="1"/>
    <xf numFmtId="3" fontId="2" fillId="21" borderId="2" xfId="0" applyNumberFormat="1" applyFont="1" applyFill="1" applyBorder="1"/>
    <xf numFmtId="168" fontId="2" fillId="36" borderId="13" xfId="0" applyNumberFormat="1" applyFont="1" applyFill="1" applyBorder="1"/>
    <xf numFmtId="3" fontId="6" fillId="3" borderId="1" xfId="0" applyNumberFormat="1" applyFont="1" applyFill="1" applyBorder="1"/>
    <xf numFmtId="166" fontId="6" fillId="3" borderId="1" xfId="0" applyNumberFormat="1" applyFont="1" applyFill="1" applyBorder="1"/>
    <xf numFmtId="168" fontId="6" fillId="0" borderId="54" xfId="0" applyNumberFormat="1" applyFont="1" applyBorder="1"/>
    <xf numFmtId="168" fontId="2" fillId="33" borderId="2" xfId="0" applyNumberFormat="1" applyFont="1" applyFill="1" applyBorder="1"/>
    <xf numFmtId="1" fontId="0" fillId="21" borderId="1" xfId="0" applyNumberFormat="1" applyFill="1" applyBorder="1"/>
    <xf numFmtId="1" fontId="6" fillId="4" borderId="69" xfId="0" applyNumberFormat="1" applyFont="1" applyFill="1" applyBorder="1"/>
    <xf numFmtId="1" fontId="6" fillId="27" borderId="68" xfId="0" applyNumberFormat="1" applyFont="1" applyFill="1" applyBorder="1"/>
    <xf numFmtId="1" fontId="6" fillId="35" borderId="70" xfId="0" applyNumberFormat="1" applyFont="1" applyFill="1" applyBorder="1"/>
    <xf numFmtId="0" fontId="0" fillId="28" borderId="10" xfId="0" applyFont="1" applyFill="1" applyBorder="1"/>
    <xf numFmtId="3" fontId="5" fillId="27" borderId="1" xfId="0" applyNumberFormat="1" applyFont="1" applyFill="1" applyBorder="1"/>
    <xf numFmtId="1" fontId="2" fillId="33" borderId="1" xfId="0" applyNumberFormat="1" applyFont="1" applyFill="1" applyBorder="1"/>
    <xf numFmtId="1" fontId="2" fillId="26" borderId="13" xfId="0" applyNumberFormat="1" applyFont="1" applyFill="1" applyBorder="1"/>
    <xf numFmtId="0" fontId="24" fillId="9" borderId="9" xfId="0" applyFont="1" applyFill="1" applyBorder="1" applyAlignment="1">
      <alignment horizontal="center" textRotation="90"/>
    </xf>
    <xf numFmtId="0" fontId="24" fillId="9" borderId="6" xfId="0" applyFont="1" applyFill="1" applyBorder="1" applyAlignment="1">
      <alignment horizontal="center" textRotation="90"/>
    </xf>
    <xf numFmtId="0" fontId="24" fillId="9" borderId="3" xfId="0" applyFont="1" applyFill="1" applyBorder="1" applyAlignment="1">
      <alignment horizontal="center" textRotation="90"/>
    </xf>
    <xf numFmtId="0" fontId="24" fillId="9" borderId="33" xfId="0" applyFont="1" applyFill="1" applyBorder="1" applyAlignment="1">
      <alignment horizontal="center" textRotation="90"/>
    </xf>
    <xf numFmtId="0" fontId="24" fillId="9" borderId="35" xfId="0" applyFont="1" applyFill="1" applyBorder="1" applyAlignment="1">
      <alignment horizontal="center" textRotation="90"/>
    </xf>
    <xf numFmtId="0" fontId="24" fillId="9" borderId="34" xfId="0" applyFont="1" applyFill="1" applyBorder="1" applyAlignment="1">
      <alignment horizontal="center" textRotation="90"/>
    </xf>
    <xf numFmtId="0" fontId="24" fillId="23" borderId="33" xfId="0" applyFont="1" applyFill="1" applyBorder="1" applyAlignment="1">
      <alignment horizontal="center" textRotation="90"/>
    </xf>
    <xf numFmtId="0" fontId="24" fillId="23" borderId="35" xfId="0" applyFont="1" applyFill="1" applyBorder="1" applyAlignment="1">
      <alignment horizontal="center" textRotation="90"/>
    </xf>
    <xf numFmtId="0" fontId="24" fillId="23" borderId="34" xfId="0" applyFont="1" applyFill="1" applyBorder="1" applyAlignment="1">
      <alignment horizontal="center" textRotation="90"/>
    </xf>
    <xf numFmtId="0" fontId="24" fillId="16" borderId="9" xfId="0" applyFont="1" applyFill="1" applyBorder="1" applyAlignment="1">
      <alignment horizontal="center" textRotation="90"/>
    </xf>
    <xf numFmtId="0" fontId="24" fillId="16" borderId="6" xfId="0" applyFont="1" applyFill="1" applyBorder="1" applyAlignment="1">
      <alignment horizontal="center" textRotation="90"/>
    </xf>
    <xf numFmtId="0" fontId="24" fillId="16" borderId="3" xfId="0" applyFont="1" applyFill="1" applyBorder="1" applyAlignment="1">
      <alignment horizontal="center" textRotation="90"/>
    </xf>
    <xf numFmtId="0" fontId="24" fillId="9" borderId="31" xfId="0" applyFont="1" applyFill="1" applyBorder="1" applyAlignment="1">
      <alignment horizontal="center" textRotation="90"/>
    </xf>
    <xf numFmtId="0" fontId="24" fillId="9" borderId="0" xfId="0" applyFont="1" applyFill="1" applyBorder="1" applyAlignment="1">
      <alignment horizontal="center" textRotation="90"/>
    </xf>
    <xf numFmtId="0" fontId="25" fillId="9" borderId="9" xfId="0" applyFont="1" applyFill="1" applyBorder="1" applyAlignment="1">
      <alignment horizontal="center" textRotation="90" wrapText="1"/>
    </xf>
    <xf numFmtId="0" fontId="25" fillId="9" borderId="6" xfId="0" applyFont="1" applyFill="1" applyBorder="1" applyAlignment="1">
      <alignment horizontal="center" textRotation="90"/>
    </xf>
    <xf numFmtId="0" fontId="25" fillId="9" borderId="3" xfId="0" applyFont="1" applyFill="1" applyBorder="1" applyAlignment="1">
      <alignment horizontal="center" textRotation="90"/>
    </xf>
    <xf numFmtId="0" fontId="24" fillId="14" borderId="36" xfId="0" applyFont="1" applyFill="1" applyBorder="1" applyAlignment="1">
      <alignment horizontal="center" textRotation="90"/>
    </xf>
    <xf numFmtId="0" fontId="24" fillId="14" borderId="7" xfId="0" applyFont="1" applyFill="1" applyBorder="1" applyAlignment="1">
      <alignment horizontal="center" textRotation="90"/>
    </xf>
    <xf numFmtId="0" fontId="24" fillId="14" borderId="38" xfId="0" applyFont="1" applyFill="1" applyBorder="1" applyAlignment="1">
      <alignment horizontal="center" textRotation="90"/>
    </xf>
    <xf numFmtId="0" fontId="24" fillId="27" borderId="33" xfId="0" applyFont="1" applyFill="1" applyBorder="1" applyAlignment="1">
      <alignment horizontal="center" textRotation="90"/>
    </xf>
    <xf numFmtId="0" fontId="24" fillId="27" borderId="35" xfId="0" applyFont="1" applyFill="1" applyBorder="1" applyAlignment="1">
      <alignment horizontal="center" textRotation="90"/>
    </xf>
    <xf numFmtId="0" fontId="24" fillId="27" borderId="34" xfId="0" applyFont="1" applyFill="1" applyBorder="1" applyAlignment="1">
      <alignment horizontal="center" textRotation="90"/>
    </xf>
    <xf numFmtId="0" fontId="20" fillId="27" borderId="33" xfId="0" applyFont="1" applyFill="1" applyBorder="1" applyAlignment="1">
      <alignment horizontal="center" textRotation="90"/>
    </xf>
    <xf numFmtId="0" fontId="20" fillId="27" borderId="35" xfId="0" applyFont="1" applyFill="1" applyBorder="1" applyAlignment="1">
      <alignment horizontal="center" textRotation="90"/>
    </xf>
    <xf numFmtId="0" fontId="20" fillId="27" borderId="34" xfId="0" applyFont="1" applyFill="1" applyBorder="1" applyAlignment="1">
      <alignment horizontal="center" textRotation="90"/>
    </xf>
    <xf numFmtId="0" fontId="26" fillId="3" borderId="9" xfId="0" applyFont="1" applyFill="1" applyBorder="1" applyAlignment="1">
      <alignment horizontal="center" textRotation="90"/>
    </xf>
    <xf numFmtId="0" fontId="26" fillId="3" borderId="6" xfId="0" applyFont="1" applyFill="1" applyBorder="1" applyAlignment="1">
      <alignment horizontal="center" textRotation="90"/>
    </xf>
    <xf numFmtId="0" fontId="26" fillId="3" borderId="3" xfId="0" applyFont="1" applyFill="1" applyBorder="1" applyAlignment="1">
      <alignment horizontal="center" textRotation="90"/>
    </xf>
    <xf numFmtId="0" fontId="24" fillId="16" borderId="33" xfId="0" applyFont="1" applyFill="1" applyBorder="1" applyAlignment="1">
      <alignment horizontal="center" textRotation="90"/>
    </xf>
    <xf numFmtId="0" fontId="24" fillId="16" borderId="35" xfId="0" applyFont="1" applyFill="1" applyBorder="1" applyAlignment="1">
      <alignment horizontal="center" textRotation="90"/>
    </xf>
    <xf numFmtId="0" fontId="24" fillId="16" borderId="34" xfId="0" applyFont="1" applyFill="1" applyBorder="1" applyAlignment="1">
      <alignment horizontal="center" textRotation="90"/>
    </xf>
    <xf numFmtId="0" fontId="28" fillId="16" borderId="33" xfId="0" applyFont="1" applyFill="1" applyBorder="1" applyAlignment="1">
      <alignment horizontal="center" textRotation="90"/>
    </xf>
    <xf numFmtId="0" fontId="28" fillId="16" borderId="35" xfId="0" applyFont="1" applyFill="1" applyBorder="1" applyAlignment="1">
      <alignment horizontal="center" textRotation="90"/>
    </xf>
    <xf numFmtId="0" fontId="28" fillId="16" borderId="34" xfId="0" applyFont="1" applyFill="1" applyBorder="1" applyAlignment="1">
      <alignment horizontal="center" textRotation="90"/>
    </xf>
    <xf numFmtId="0" fontId="24" fillId="17" borderId="33" xfId="0" applyFont="1" applyFill="1" applyBorder="1" applyAlignment="1">
      <alignment horizontal="center" textRotation="90"/>
    </xf>
    <xf numFmtId="0" fontId="24" fillId="17" borderId="35" xfId="0" applyFont="1" applyFill="1" applyBorder="1" applyAlignment="1">
      <alignment horizontal="center" textRotation="90"/>
    </xf>
    <xf numFmtId="0" fontId="24" fillId="17" borderId="34" xfId="0" applyFont="1" applyFill="1" applyBorder="1" applyAlignment="1">
      <alignment horizontal="center" textRotation="90"/>
    </xf>
    <xf numFmtId="0" fontId="24" fillId="23" borderId="20" xfId="0" applyFont="1" applyFill="1" applyBorder="1" applyAlignment="1">
      <alignment horizontal="center" textRotation="90"/>
    </xf>
    <xf numFmtId="0" fontId="24" fillId="23" borderId="124" xfId="0" applyFont="1" applyFill="1" applyBorder="1" applyAlignment="1">
      <alignment horizontal="center" textRotation="90"/>
    </xf>
    <xf numFmtId="0" fontId="23" fillId="23" borderId="33" xfId="0" applyFont="1" applyFill="1" applyBorder="1" applyAlignment="1">
      <alignment horizontal="center" textRotation="90"/>
    </xf>
    <xf numFmtId="0" fontId="23" fillId="23" borderId="35" xfId="0" applyFont="1" applyFill="1" applyBorder="1" applyAlignment="1">
      <alignment horizontal="center" textRotation="90"/>
    </xf>
    <xf numFmtId="0" fontId="23" fillId="23" borderId="34" xfId="0" applyFont="1" applyFill="1" applyBorder="1" applyAlignment="1">
      <alignment horizontal="center" textRotation="90"/>
    </xf>
    <xf numFmtId="0" fontId="28" fillId="23" borderId="9" xfId="0" applyFont="1" applyFill="1" applyBorder="1" applyAlignment="1">
      <alignment horizontal="center" textRotation="90"/>
    </xf>
    <xf numFmtId="0" fontId="28" fillId="23" borderId="6" xfId="0" applyFont="1" applyFill="1" applyBorder="1" applyAlignment="1">
      <alignment horizontal="center" textRotation="90"/>
    </xf>
    <xf numFmtId="0" fontId="28" fillId="23" borderId="3" xfId="0" applyFont="1" applyFill="1" applyBorder="1" applyAlignment="1">
      <alignment horizontal="center" textRotation="90"/>
    </xf>
    <xf numFmtId="0" fontId="20" fillId="20" borderId="33" xfId="0" applyFont="1" applyFill="1" applyBorder="1" applyAlignment="1">
      <alignment horizontal="center" textRotation="90"/>
    </xf>
    <xf numFmtId="0" fontId="20" fillId="20" borderId="35" xfId="0" applyFont="1" applyFill="1" applyBorder="1" applyAlignment="1">
      <alignment horizontal="center" textRotation="90"/>
    </xf>
    <xf numFmtId="0" fontId="20" fillId="20" borderId="34" xfId="0" applyFont="1" applyFill="1" applyBorder="1" applyAlignment="1">
      <alignment horizontal="center" textRotation="90"/>
    </xf>
    <xf numFmtId="0" fontId="24" fillId="0" borderId="33" xfId="0" applyFont="1" applyBorder="1" applyAlignment="1">
      <alignment horizontal="center" textRotation="90"/>
    </xf>
    <xf numFmtId="0" fontId="24" fillId="0" borderId="35" xfId="0" applyFont="1" applyBorder="1" applyAlignment="1">
      <alignment horizontal="center" textRotation="90"/>
    </xf>
    <xf numFmtId="0" fontId="24" fillId="0" borderId="34" xfId="0" applyFont="1" applyBorder="1" applyAlignment="1">
      <alignment horizontal="center" textRotation="90"/>
    </xf>
    <xf numFmtId="0" fontId="24" fillId="0" borderId="9" xfId="0" applyFont="1" applyBorder="1" applyAlignment="1">
      <alignment horizontal="center"/>
    </xf>
    <xf numFmtId="0" fontId="24" fillId="0" borderId="6" xfId="0" applyFont="1" applyBorder="1" applyAlignment="1">
      <alignment horizontal="center"/>
    </xf>
    <xf numFmtId="0" fontId="24" fillId="0" borderId="3" xfId="0" applyFont="1" applyBorder="1" applyAlignment="1">
      <alignment horizontal="center"/>
    </xf>
    <xf numFmtId="0" fontId="9" fillId="8" borderId="33" xfId="0" applyFont="1" applyFill="1" applyBorder="1" applyAlignment="1">
      <alignment horizontal="center" textRotation="90"/>
    </xf>
    <xf numFmtId="0" fontId="9" fillId="8" borderId="35" xfId="0" applyFont="1" applyFill="1" applyBorder="1" applyAlignment="1">
      <alignment horizontal="center" textRotation="90"/>
    </xf>
    <xf numFmtId="0" fontId="9" fillId="8" borderId="34" xfId="0" applyFont="1" applyFill="1" applyBorder="1" applyAlignment="1">
      <alignment horizontal="center" textRotation="90"/>
    </xf>
    <xf numFmtId="0" fontId="19" fillId="12" borderId="33" xfId="0" applyFont="1" applyFill="1" applyBorder="1" applyAlignment="1">
      <alignment horizontal="center" textRotation="90"/>
    </xf>
    <xf numFmtId="0" fontId="19" fillId="12" borderId="35" xfId="0" applyFont="1" applyFill="1" applyBorder="1" applyAlignment="1">
      <alignment horizontal="center" textRotation="90"/>
    </xf>
    <xf numFmtId="0" fontId="19" fillId="12" borderId="34" xfId="0" applyFont="1" applyFill="1" applyBorder="1" applyAlignment="1">
      <alignment horizontal="center" textRotation="90"/>
    </xf>
    <xf numFmtId="0" fontId="20" fillId="25" borderId="33" xfId="0" applyFont="1" applyFill="1" applyBorder="1" applyAlignment="1">
      <alignment horizontal="center" textRotation="90"/>
    </xf>
    <xf numFmtId="0" fontId="20" fillId="25" borderId="35" xfId="0" applyFont="1" applyFill="1" applyBorder="1" applyAlignment="1">
      <alignment horizontal="center" textRotation="90"/>
    </xf>
    <xf numFmtId="0" fontId="20" fillId="25" borderId="34" xfId="0" applyFont="1" applyFill="1" applyBorder="1" applyAlignment="1">
      <alignment horizontal="center" textRotation="90"/>
    </xf>
    <xf numFmtId="0" fontId="24" fillId="15" borderId="9" xfId="0" applyFont="1" applyFill="1" applyBorder="1" applyAlignment="1">
      <alignment horizontal="center"/>
    </xf>
    <xf numFmtId="0" fontId="24" fillId="15" borderId="6" xfId="0" applyFont="1" applyFill="1" applyBorder="1" applyAlignment="1">
      <alignment horizontal="center"/>
    </xf>
    <xf numFmtId="0" fontId="24" fillId="15" borderId="3" xfId="0" applyFont="1" applyFill="1" applyBorder="1" applyAlignment="1">
      <alignment horizontal="center"/>
    </xf>
    <xf numFmtId="0" fontId="28" fillId="5" borderId="33" xfId="0" applyFont="1" applyFill="1" applyBorder="1" applyAlignment="1">
      <alignment horizontal="center" textRotation="90"/>
    </xf>
    <xf numFmtId="0" fontId="28" fillId="5" borderId="35" xfId="0" applyFont="1" applyFill="1" applyBorder="1" applyAlignment="1">
      <alignment horizontal="center" textRotation="90"/>
    </xf>
    <xf numFmtId="0" fontId="28" fillId="5" borderId="34" xfId="0" applyFont="1" applyFill="1" applyBorder="1" applyAlignment="1">
      <alignment horizontal="center" textRotation="90"/>
    </xf>
    <xf numFmtId="0" fontId="24" fillId="5" borderId="33" xfId="0" applyFont="1" applyFill="1" applyBorder="1" applyAlignment="1">
      <alignment horizontal="center" textRotation="90"/>
    </xf>
    <xf numFmtId="0" fontId="24" fillId="5" borderId="35" xfId="0" applyFont="1" applyFill="1" applyBorder="1" applyAlignment="1">
      <alignment horizontal="center" textRotation="90"/>
    </xf>
    <xf numFmtId="0" fontId="24" fillId="5" borderId="34" xfId="0" applyFont="1" applyFill="1" applyBorder="1" applyAlignment="1">
      <alignment horizontal="center" textRotation="90"/>
    </xf>
    <xf numFmtId="0" fontId="20" fillId="7" borderId="33" xfId="0" applyFont="1" applyFill="1" applyBorder="1" applyAlignment="1">
      <alignment horizontal="center" textRotation="90"/>
    </xf>
    <xf numFmtId="0" fontId="20" fillId="7" borderId="35" xfId="0" applyFont="1" applyFill="1" applyBorder="1" applyAlignment="1">
      <alignment horizontal="center" textRotation="90"/>
    </xf>
    <xf numFmtId="0" fontId="20" fillId="7" borderId="34" xfId="0" applyFont="1" applyFill="1" applyBorder="1" applyAlignment="1">
      <alignment horizontal="center" textRotation="90"/>
    </xf>
    <xf numFmtId="0" fontId="27" fillId="18" borderId="33" xfId="0" applyFont="1" applyFill="1" applyBorder="1" applyAlignment="1">
      <alignment horizontal="center" textRotation="90"/>
    </xf>
    <xf numFmtId="0" fontId="27" fillId="18" borderId="35" xfId="0" applyFont="1" applyFill="1" applyBorder="1" applyAlignment="1">
      <alignment horizontal="center" textRotation="90"/>
    </xf>
    <xf numFmtId="0" fontId="27" fillId="18" borderId="34" xfId="0" applyFont="1" applyFill="1" applyBorder="1" applyAlignment="1">
      <alignment horizontal="center" textRotation="90"/>
    </xf>
    <xf numFmtId="0" fontId="23" fillId="5" borderId="125" xfId="0" applyFont="1" applyFill="1" applyBorder="1" applyAlignment="1">
      <alignment horizontal="center" textRotation="90"/>
    </xf>
    <xf numFmtId="0" fontId="23" fillId="5" borderId="7" xfId="0" applyFont="1" applyFill="1" applyBorder="1" applyAlignment="1">
      <alignment horizontal="center" textRotation="90"/>
    </xf>
    <xf numFmtId="0" fontId="23" fillId="5" borderId="38" xfId="0" applyFont="1" applyFill="1" applyBorder="1" applyAlignment="1">
      <alignment horizontal="center" textRotation="90"/>
    </xf>
    <xf numFmtId="0" fontId="24" fillId="5" borderId="9" xfId="0" applyFont="1" applyFill="1" applyBorder="1" applyAlignment="1">
      <alignment horizontal="center" textRotation="90"/>
    </xf>
    <xf numFmtId="0" fontId="24" fillId="5" borderId="6" xfId="0" applyFont="1" applyFill="1" applyBorder="1" applyAlignment="1">
      <alignment horizontal="center" textRotation="90"/>
    </xf>
    <xf numFmtId="0" fontId="24" fillId="5" borderId="3" xfId="0" applyFont="1" applyFill="1" applyBorder="1" applyAlignment="1">
      <alignment horizontal="center" textRotation="90"/>
    </xf>
    <xf numFmtId="0" fontId="24" fillId="5" borderId="125" xfId="0" applyFont="1" applyFill="1" applyBorder="1" applyAlignment="1">
      <alignment horizontal="center" textRotation="90"/>
    </xf>
    <xf numFmtId="0" fontId="24" fillId="5" borderId="7" xfId="0" applyFont="1" applyFill="1" applyBorder="1" applyAlignment="1">
      <alignment horizontal="center" textRotation="90"/>
    </xf>
    <xf numFmtId="0" fontId="24" fillId="5" borderId="126" xfId="0" applyFont="1" applyFill="1" applyBorder="1" applyAlignment="1">
      <alignment horizontal="center" textRotation="90"/>
    </xf>
    <xf numFmtId="0" fontId="24" fillId="0" borderId="9" xfId="0" applyFont="1" applyBorder="1" applyAlignment="1">
      <alignment horizontal="center" textRotation="90"/>
    </xf>
    <xf numFmtId="0" fontId="24" fillId="0" borderId="6" xfId="0" applyFont="1" applyBorder="1" applyAlignment="1">
      <alignment horizontal="center" textRotation="90"/>
    </xf>
    <xf numFmtId="0" fontId="24" fillId="0" borderId="3" xfId="0" applyFont="1" applyBorder="1" applyAlignment="1">
      <alignment horizontal="center" textRotation="90"/>
    </xf>
    <xf numFmtId="0" fontId="24" fillId="6" borderId="9" xfId="0" applyFont="1" applyFill="1" applyBorder="1" applyAlignment="1">
      <alignment horizontal="center" textRotation="90"/>
    </xf>
    <xf numFmtId="0" fontId="24" fillId="6" borderId="6" xfId="0" applyFont="1" applyFill="1" applyBorder="1" applyAlignment="1">
      <alignment horizontal="center" textRotation="90"/>
    </xf>
    <xf numFmtId="0" fontId="24" fillId="6" borderId="3" xfId="0" applyFont="1" applyFill="1" applyBorder="1" applyAlignment="1">
      <alignment horizontal="center" textRotation="90"/>
    </xf>
    <xf numFmtId="166" fontId="24" fillId="6" borderId="9" xfId="0" applyNumberFormat="1" applyFont="1" applyFill="1" applyBorder="1" applyAlignment="1">
      <alignment horizontal="center" textRotation="90"/>
    </xf>
    <xf numFmtId="166" fontId="24" fillId="6" borderId="6" xfId="0" applyNumberFormat="1" applyFont="1" applyFill="1" applyBorder="1" applyAlignment="1">
      <alignment horizontal="center" textRotation="90"/>
    </xf>
    <xf numFmtId="166" fontId="24" fillId="6" borderId="3" xfId="0" applyNumberFormat="1" applyFont="1" applyFill="1" applyBorder="1" applyAlignment="1">
      <alignment horizontal="center" textRotation="90"/>
    </xf>
    <xf numFmtId="0" fontId="20" fillId="19" borderId="33" xfId="0" applyFont="1" applyFill="1" applyBorder="1" applyAlignment="1">
      <alignment horizontal="center" textRotation="90"/>
    </xf>
    <xf numFmtId="0" fontId="20" fillId="19" borderId="35" xfId="0" applyFont="1" applyFill="1" applyBorder="1" applyAlignment="1">
      <alignment horizontal="center" textRotation="90"/>
    </xf>
    <xf numFmtId="0" fontId="20" fillId="19" borderId="34" xfId="0" applyFont="1" applyFill="1" applyBorder="1" applyAlignment="1">
      <alignment horizontal="center" textRotation="90"/>
    </xf>
    <xf numFmtId="0" fontId="24" fillId="6" borderId="33" xfId="0" applyFont="1" applyFill="1" applyBorder="1" applyAlignment="1">
      <alignment horizontal="center" textRotation="90"/>
    </xf>
    <xf numFmtId="0" fontId="24" fillId="6" borderId="35" xfId="0" applyFont="1" applyFill="1" applyBorder="1" applyAlignment="1">
      <alignment horizontal="center" textRotation="90"/>
    </xf>
    <xf numFmtId="0" fontId="24" fillId="6" borderId="34" xfId="0" applyFont="1" applyFill="1" applyBorder="1" applyAlignment="1">
      <alignment horizontal="center" textRotation="90"/>
    </xf>
    <xf numFmtId="0" fontId="2" fillId="6" borderId="9" xfId="0" applyFont="1" applyFill="1" applyBorder="1" applyAlignment="1">
      <alignment horizontal="center"/>
    </xf>
    <xf numFmtId="0" fontId="2" fillId="6" borderId="3"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5" xfId="0" applyFont="1" applyFill="1" applyBorder="1" applyAlignment="1">
      <alignment horizontal="center"/>
    </xf>
    <xf numFmtId="0" fontId="2" fillId="25" borderId="33" xfId="0" applyFont="1" applyFill="1" applyBorder="1" applyAlignment="1">
      <alignment horizontal="center"/>
    </xf>
    <xf numFmtId="0" fontId="2" fillId="25" borderId="35" xfId="0" applyFont="1" applyFill="1" applyBorder="1" applyAlignment="1">
      <alignment horizontal="center"/>
    </xf>
    <xf numFmtId="0" fontId="2" fillId="25" borderId="34" xfId="0" applyFont="1" applyFill="1" applyBorder="1" applyAlignment="1">
      <alignment horizontal="center"/>
    </xf>
    <xf numFmtId="0" fontId="24" fillId="6" borderId="37" xfId="0" applyFont="1" applyFill="1" applyBorder="1" applyAlignment="1">
      <alignment horizontal="center" textRotation="90"/>
    </xf>
    <xf numFmtId="0" fontId="24" fillId="6" borderId="0" xfId="0" applyFont="1" applyFill="1" applyBorder="1" applyAlignment="1">
      <alignment horizontal="center" textRotation="90"/>
    </xf>
    <xf numFmtId="0" fontId="24" fillId="6" borderId="32" xfId="0" applyFont="1" applyFill="1" applyBorder="1" applyAlignment="1">
      <alignment horizontal="center" textRotation="90"/>
    </xf>
    <xf numFmtId="0" fontId="24" fillId="0" borderId="33" xfId="0" applyFont="1" applyBorder="1" applyAlignment="1">
      <alignment horizontal="center" textRotation="90" wrapText="1"/>
    </xf>
    <xf numFmtId="0" fontId="24" fillId="0" borderId="35" xfId="0" applyFont="1" applyBorder="1" applyAlignment="1">
      <alignment horizontal="center" textRotation="90" wrapText="1"/>
    </xf>
    <xf numFmtId="0" fontId="24" fillId="0" borderId="34" xfId="0" applyFont="1" applyBorder="1" applyAlignment="1">
      <alignment horizontal="center" textRotation="90" wrapText="1"/>
    </xf>
    <xf numFmtId="0" fontId="24" fillId="0" borderId="40" xfId="0" applyFont="1" applyBorder="1" applyAlignment="1">
      <alignment horizontal="center" textRotation="90" wrapText="1"/>
    </xf>
    <xf numFmtId="0" fontId="23" fillId="0" borderId="33" xfId="0" applyFont="1" applyBorder="1" applyAlignment="1">
      <alignment horizontal="center" textRotation="90" wrapText="1"/>
    </xf>
    <xf numFmtId="0" fontId="23" fillId="0" borderId="35" xfId="0" applyFont="1" applyBorder="1" applyAlignment="1">
      <alignment horizontal="center" textRotation="90" wrapText="1"/>
    </xf>
    <xf numFmtId="0" fontId="23" fillId="0" borderId="34" xfId="0" applyFont="1" applyBorder="1" applyAlignment="1">
      <alignment horizontal="center" textRotation="90" wrapText="1"/>
    </xf>
    <xf numFmtId="0" fontId="20" fillId="0" borderId="33" xfId="0" applyFont="1" applyBorder="1" applyAlignment="1">
      <alignment horizontal="center" textRotation="90"/>
    </xf>
    <xf numFmtId="0" fontId="0" fillId="0" borderId="35" xfId="0" applyBorder="1" applyAlignment="1">
      <alignment horizontal="center" textRotation="90"/>
    </xf>
    <xf numFmtId="0" fontId="0" fillId="0" borderId="34" xfId="0" applyBorder="1" applyAlignment="1">
      <alignment horizontal="center" textRotation="90"/>
    </xf>
    <xf numFmtId="0" fontId="20" fillId="0" borderId="22" xfId="0" applyFont="1" applyBorder="1" applyAlignment="1">
      <alignment horizontal="center" textRotation="90"/>
    </xf>
    <xf numFmtId="0" fontId="20" fillId="0" borderId="24" xfId="0" applyFont="1" applyBorder="1" applyAlignment="1">
      <alignment horizontal="center" textRotation="90"/>
    </xf>
    <xf numFmtId="0" fontId="20" fillId="0" borderId="26" xfId="0" applyFont="1" applyBorder="1" applyAlignment="1">
      <alignment horizontal="center" textRotation="90"/>
    </xf>
    <xf numFmtId="0" fontId="23" fillId="0" borderId="35" xfId="0" applyFont="1" applyBorder="1" applyAlignment="1">
      <alignment horizontal="center" textRotation="90"/>
    </xf>
    <xf numFmtId="0" fontId="23" fillId="0" borderId="34" xfId="0" applyFont="1" applyBorder="1" applyAlignment="1">
      <alignment horizontal="center" textRotation="90"/>
    </xf>
    <xf numFmtId="0" fontId="20" fillId="0" borderId="33" xfId="0" applyFont="1" applyBorder="1" applyAlignment="1">
      <alignment horizontal="center" textRotation="90" wrapText="1"/>
    </xf>
    <xf numFmtId="0" fontId="20" fillId="0" borderId="35" xfId="0" applyFont="1" applyBorder="1" applyAlignment="1">
      <alignment horizontal="center" textRotation="90"/>
    </xf>
    <xf numFmtId="0" fontId="20" fillId="0" borderId="34" xfId="0" applyFont="1" applyBorder="1" applyAlignment="1">
      <alignment horizontal="center" textRotation="90"/>
    </xf>
    <xf numFmtId="0" fontId="28" fillId="0" borderId="33" xfId="0" applyFont="1" applyBorder="1" applyAlignment="1">
      <alignment horizontal="center" textRotation="90" wrapText="1"/>
    </xf>
    <xf numFmtId="0" fontId="28" fillId="0" borderId="35" xfId="0" applyFont="1" applyBorder="1" applyAlignment="1">
      <alignment horizontal="center" textRotation="90" wrapText="1"/>
    </xf>
    <xf numFmtId="0" fontId="28" fillId="0" borderId="133" xfId="0" applyFont="1" applyBorder="1" applyAlignment="1">
      <alignment horizontal="center" textRotation="90" wrapText="1"/>
    </xf>
    <xf numFmtId="0" fontId="2" fillId="0" borderId="35" xfId="0" applyFont="1" applyBorder="1" applyAlignment="1">
      <alignment horizontal="center" textRotation="90" wrapText="1"/>
    </xf>
    <xf numFmtId="0" fontId="2" fillId="0" borderId="34" xfId="0" applyFont="1" applyBorder="1" applyAlignment="1">
      <alignment horizontal="center" textRotation="90" wrapText="1"/>
    </xf>
    <xf numFmtId="0" fontId="2" fillId="0" borderId="33" xfId="0" applyFont="1" applyBorder="1" applyAlignment="1">
      <alignment horizontal="center" textRotation="90"/>
    </xf>
    <xf numFmtId="0" fontId="2" fillId="0" borderId="35" xfId="0" applyFont="1" applyBorder="1" applyAlignment="1">
      <alignment horizontal="center" textRotation="90"/>
    </xf>
    <xf numFmtId="0" fontId="2" fillId="0" borderId="34" xfId="0" applyFont="1" applyBorder="1" applyAlignment="1">
      <alignment horizontal="center" textRotation="90"/>
    </xf>
    <xf numFmtId="0" fontId="2" fillId="0" borderId="84" xfId="0" applyFont="1" applyBorder="1" applyAlignment="1">
      <alignment horizontal="center"/>
    </xf>
    <xf numFmtId="0" fontId="2" fillId="0" borderId="85" xfId="0" applyFont="1" applyBorder="1" applyAlignment="1">
      <alignment horizontal="center"/>
    </xf>
    <xf numFmtId="0" fontId="2" fillId="3" borderId="61" xfId="0" applyFont="1" applyFill="1" applyBorder="1" applyAlignment="1">
      <alignment horizontal="center"/>
    </xf>
    <xf numFmtId="0" fontId="2" fillId="39" borderId="86" xfId="0" applyFont="1" applyFill="1" applyBorder="1" applyAlignment="1">
      <alignment horizontal="center"/>
    </xf>
    <xf numFmtId="0" fontId="2" fillId="0" borderId="13" xfId="0" applyFont="1" applyBorder="1" applyAlignment="1">
      <alignment horizontal="center"/>
    </xf>
    <xf numFmtId="0" fontId="2" fillId="0" borderId="2" xfId="0" applyFont="1" applyBorder="1" applyAlignment="1">
      <alignment horizontal="center"/>
    </xf>
    <xf numFmtId="0" fontId="2" fillId="0" borderId="83" xfId="0" applyFont="1" applyBorder="1" applyAlignment="1">
      <alignment horizontal="center"/>
    </xf>
    <xf numFmtId="0" fontId="24" fillId="22" borderId="33" xfId="0" applyFont="1" applyFill="1" applyBorder="1" applyAlignment="1">
      <alignment horizontal="center" textRotation="90" wrapText="1"/>
    </xf>
    <xf numFmtId="0" fontId="24" fillId="22" borderId="35" xfId="0" applyFont="1" applyFill="1" applyBorder="1" applyAlignment="1">
      <alignment horizontal="center" textRotation="90"/>
    </xf>
    <xf numFmtId="0" fontId="24" fillId="22" borderId="34" xfId="0" applyFont="1" applyFill="1" applyBorder="1" applyAlignment="1">
      <alignment horizontal="center" textRotation="90"/>
    </xf>
    <xf numFmtId="0" fontId="24" fillId="9" borderId="33" xfId="0" applyFont="1" applyFill="1" applyBorder="1" applyAlignment="1">
      <alignment horizontal="center" textRotation="90" wrapText="1"/>
    </xf>
    <xf numFmtId="0" fontId="24" fillId="9" borderId="35" xfId="0" applyFont="1" applyFill="1" applyBorder="1" applyAlignment="1">
      <alignment horizontal="center" textRotation="90" wrapText="1"/>
    </xf>
    <xf numFmtId="0" fontId="24" fillId="9" borderId="34" xfId="0" applyFont="1" applyFill="1" applyBorder="1" applyAlignment="1">
      <alignment horizontal="center" textRotation="90" wrapText="1"/>
    </xf>
    <xf numFmtId="0" fontId="25" fillId="5" borderId="33" xfId="0" applyFont="1" applyFill="1" applyBorder="1" applyAlignment="1">
      <alignment horizontal="center" textRotation="90"/>
    </xf>
    <xf numFmtId="0" fontId="25" fillId="5" borderId="35" xfId="0" applyFont="1" applyFill="1" applyBorder="1" applyAlignment="1">
      <alignment horizontal="center" textRotation="90"/>
    </xf>
    <xf numFmtId="0" fontId="25" fillId="5" borderId="34" xfId="0" applyFont="1" applyFill="1" applyBorder="1" applyAlignment="1">
      <alignment horizontal="center" textRotation="90"/>
    </xf>
    <xf numFmtId="0" fontId="24" fillId="3" borderId="33" xfId="0" applyFont="1" applyFill="1" applyBorder="1" applyAlignment="1">
      <alignment horizontal="center" textRotation="90" wrapText="1"/>
    </xf>
    <xf numFmtId="0" fontId="24" fillId="3" borderId="35" xfId="0" applyFont="1" applyFill="1" applyBorder="1" applyAlignment="1">
      <alignment horizontal="center" textRotation="90" wrapText="1"/>
    </xf>
    <xf numFmtId="0" fontId="24" fillId="3" borderId="34" xfId="0" applyFont="1" applyFill="1" applyBorder="1" applyAlignment="1">
      <alignment horizontal="center" textRotation="90" wrapText="1"/>
    </xf>
    <xf numFmtId="0" fontId="0" fillId="26" borderId="33" xfId="0" applyFill="1" applyBorder="1" applyAlignment="1">
      <alignment horizontal="center" textRotation="90" wrapText="1"/>
    </xf>
    <xf numFmtId="0" fontId="0" fillId="26" borderId="35" xfId="0" applyFill="1" applyBorder="1" applyAlignment="1">
      <alignment horizontal="center" textRotation="90" wrapText="1"/>
    </xf>
    <xf numFmtId="0" fontId="0" fillId="26" borderId="34" xfId="0" applyFill="1" applyBorder="1" applyAlignment="1">
      <alignment horizontal="center" textRotation="90" wrapText="1"/>
    </xf>
    <xf numFmtId="0" fontId="2" fillId="0" borderId="33" xfId="0" applyFont="1" applyBorder="1" applyAlignment="1">
      <alignment horizontal="center" textRotation="90" wrapText="1"/>
    </xf>
    <xf numFmtId="0" fontId="2" fillId="24" borderId="33" xfId="0" applyFont="1" applyFill="1" applyBorder="1" applyAlignment="1">
      <alignment horizontal="center" textRotation="90" wrapText="1"/>
    </xf>
    <xf numFmtId="0" fontId="2" fillId="24" borderId="35" xfId="0" applyFont="1" applyFill="1" applyBorder="1" applyAlignment="1">
      <alignment horizontal="center" textRotation="90" wrapText="1"/>
    </xf>
    <xf numFmtId="0" fontId="2" fillId="24" borderId="34" xfId="0" applyFont="1" applyFill="1" applyBorder="1" applyAlignment="1">
      <alignment horizontal="center" textRotation="90" wrapText="1"/>
    </xf>
    <xf numFmtId="0" fontId="2" fillId="22" borderId="33" xfId="0" applyFont="1" applyFill="1" applyBorder="1" applyAlignment="1">
      <alignment horizontal="center" textRotation="90" wrapText="1"/>
    </xf>
    <xf numFmtId="0" fontId="2" fillId="22" borderId="35" xfId="0" applyFont="1" applyFill="1" applyBorder="1" applyAlignment="1">
      <alignment horizontal="center" textRotation="90"/>
    </xf>
    <xf numFmtId="0" fontId="2" fillId="22" borderId="34" xfId="0" applyFont="1" applyFill="1" applyBorder="1" applyAlignment="1">
      <alignment horizontal="center" textRotation="90"/>
    </xf>
    <xf numFmtId="0" fontId="2" fillId="6" borderId="33" xfId="0" applyFont="1" applyFill="1" applyBorder="1" applyAlignment="1">
      <alignment horizontal="center" textRotation="90" wrapText="1"/>
    </xf>
    <xf numFmtId="0" fontId="2" fillId="6" borderId="35" xfId="0" applyFont="1" applyFill="1" applyBorder="1" applyAlignment="1">
      <alignment horizontal="center" textRotation="90" wrapText="1"/>
    </xf>
    <xf numFmtId="0" fontId="2" fillId="6" borderId="34" xfId="0" applyFont="1" applyFill="1" applyBorder="1" applyAlignment="1">
      <alignment horizontal="center" textRotation="90" wrapText="1"/>
    </xf>
    <xf numFmtId="0" fontId="2" fillId="26" borderId="33" xfId="0" applyFont="1" applyFill="1" applyBorder="1" applyAlignment="1">
      <alignment horizontal="center" textRotation="90" wrapText="1"/>
    </xf>
    <xf numFmtId="0" fontId="2" fillId="26" borderId="35" xfId="0" applyFont="1" applyFill="1" applyBorder="1" applyAlignment="1">
      <alignment horizontal="center" textRotation="90" wrapText="1"/>
    </xf>
    <xf numFmtId="0" fontId="2" fillId="26" borderId="34" xfId="0" applyFont="1" applyFill="1" applyBorder="1" applyAlignment="1">
      <alignment horizontal="center" textRotation="90" wrapText="1"/>
    </xf>
    <xf numFmtId="0" fontId="2" fillId="22" borderId="35" xfId="0" applyFont="1" applyFill="1" applyBorder="1" applyAlignment="1">
      <alignment horizontal="center" textRotation="90" wrapText="1"/>
    </xf>
    <xf numFmtId="0" fontId="2" fillId="22" borderId="34" xfId="0" applyFont="1" applyFill="1" applyBorder="1" applyAlignment="1">
      <alignment horizontal="center" textRotation="90" wrapText="1"/>
    </xf>
    <xf numFmtId="0" fontId="23" fillId="16" borderId="33" xfId="0" applyFont="1" applyFill="1" applyBorder="1" applyAlignment="1">
      <alignment horizontal="center" textRotation="90" wrapText="1"/>
    </xf>
    <xf numFmtId="0" fontId="23" fillId="16" borderId="35" xfId="0" applyFont="1" applyFill="1" applyBorder="1" applyAlignment="1">
      <alignment horizontal="center" textRotation="90"/>
    </xf>
    <xf numFmtId="0" fontId="23" fillId="0" borderId="33" xfId="0" applyFont="1" applyBorder="1" applyAlignment="1">
      <alignment horizontal="center" textRotation="90"/>
    </xf>
    <xf numFmtId="0" fontId="22" fillId="9" borderId="33" xfId="0" applyFont="1" applyFill="1" applyBorder="1" applyAlignment="1">
      <alignment horizontal="center" textRotation="90"/>
    </xf>
    <xf numFmtId="0" fontId="22" fillId="9" borderId="35" xfId="0" applyFont="1" applyFill="1" applyBorder="1" applyAlignment="1">
      <alignment horizontal="center" textRotation="90"/>
    </xf>
    <xf numFmtId="0" fontId="22" fillId="9" borderId="34" xfId="0" applyFont="1" applyFill="1" applyBorder="1" applyAlignment="1">
      <alignment horizontal="center" textRotation="90"/>
    </xf>
    <xf numFmtId="0" fontId="22" fillId="20" borderId="33" xfId="0" applyFont="1" applyFill="1" applyBorder="1" applyAlignment="1">
      <alignment horizontal="center" textRotation="90"/>
    </xf>
    <xf numFmtId="0" fontId="22" fillId="20" borderId="35" xfId="0" applyFont="1" applyFill="1" applyBorder="1" applyAlignment="1">
      <alignment horizontal="center" textRotation="90"/>
    </xf>
    <xf numFmtId="0" fontId="22" fillId="20" borderId="34" xfId="0" applyFont="1" applyFill="1" applyBorder="1" applyAlignment="1">
      <alignment horizontal="center" textRotation="90"/>
    </xf>
    <xf numFmtId="0" fontId="22" fillId="38" borderId="33" xfId="0" applyFont="1" applyFill="1" applyBorder="1" applyAlignment="1">
      <alignment horizontal="center" textRotation="90"/>
    </xf>
    <xf numFmtId="0" fontId="22" fillId="38" borderId="35" xfId="0" applyFont="1" applyFill="1" applyBorder="1" applyAlignment="1">
      <alignment horizontal="center" textRotation="90"/>
    </xf>
    <xf numFmtId="0" fontId="22" fillId="38" borderId="34" xfId="0" applyFont="1" applyFill="1" applyBorder="1" applyAlignment="1">
      <alignment horizontal="center" textRotation="90"/>
    </xf>
    <xf numFmtId="0" fontId="21" fillId="5" borderId="33" xfId="0" applyFont="1" applyFill="1" applyBorder="1" applyAlignment="1">
      <alignment horizontal="center" textRotation="90"/>
    </xf>
    <xf numFmtId="0" fontId="21" fillId="5" borderId="35" xfId="0" applyFont="1" applyFill="1" applyBorder="1" applyAlignment="1">
      <alignment horizontal="center" textRotation="90"/>
    </xf>
    <xf numFmtId="0" fontId="21" fillId="5" borderId="34" xfId="0" applyFont="1" applyFill="1" applyBorder="1" applyAlignment="1">
      <alignment horizontal="center" textRotation="90"/>
    </xf>
    <xf numFmtId="0" fontId="21" fillId="0" borderId="33" xfId="0" applyFont="1" applyBorder="1" applyAlignment="1">
      <alignment horizontal="center" textRotation="90"/>
    </xf>
    <xf numFmtId="0" fontId="21" fillId="0" borderId="35" xfId="0" applyFont="1" applyBorder="1" applyAlignment="1">
      <alignment horizontal="center" textRotation="90"/>
    </xf>
    <xf numFmtId="0" fontId="21" fillId="0" borderId="34" xfId="0" applyFont="1" applyBorder="1" applyAlignment="1">
      <alignment horizontal="center" textRotation="90"/>
    </xf>
    <xf numFmtId="0" fontId="0" fillId="0" borderId="33" xfId="0" applyBorder="1" applyAlignment="1">
      <alignment horizontal="center" textRotation="90" wrapText="1"/>
    </xf>
  </cellXfs>
  <cellStyles count="2">
    <cellStyle name="Milliers 2" xfId="1"/>
    <cellStyle name="Normal" xfId="0" builtinId="0"/>
  </cellStyles>
  <dxfs count="0"/>
  <tableStyles count="0" defaultTableStyle="TableStyleMedium2" defaultPivotStyle="PivotStyleLight16"/>
  <colors>
    <mruColors>
      <color rgb="FF3399FF"/>
      <color rgb="FF024520"/>
      <color rgb="FF33CC33"/>
      <color rgb="FF00CC00"/>
      <color rgb="FF9933FF"/>
      <color rgb="FFFF9933"/>
      <color rgb="FF99FF33"/>
      <color rgb="FFFFCC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ncbi.nlm.nih.gov/pubmed/2863727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7"/>
  <sheetViews>
    <sheetView tabSelected="1" topLeftCell="B1" zoomScale="50" zoomScaleNormal="50" workbookViewId="0">
      <pane ySplit="1" topLeftCell="A5" activePane="bottomLeft" state="frozen"/>
      <selection activeCell="B1" sqref="B1"/>
      <selection pane="bottomLeft" activeCell="B933" sqref="B933"/>
    </sheetView>
  </sheetViews>
  <sheetFormatPr baseColWidth="10" defaultRowHeight="15.05" x14ac:dyDescent="0.3"/>
  <cols>
    <col min="1" max="1" width="11.5546875" style="6"/>
    <col min="2" max="2" width="38.77734375" style="2" bestFit="1" customWidth="1"/>
    <col min="3" max="3" width="87.77734375" style="2" customWidth="1"/>
    <col min="4" max="4" width="16.6640625" style="71" customWidth="1"/>
    <col min="5" max="5" width="17.109375" style="71" bestFit="1" customWidth="1"/>
    <col min="6" max="6" width="13.88671875" style="71" bestFit="1" customWidth="1"/>
    <col min="7" max="7" width="25.109375" style="2" bestFit="1" customWidth="1"/>
    <col min="8" max="8" width="47.88671875" style="2" customWidth="1"/>
    <col min="9" max="9" width="55.5546875" style="2" customWidth="1"/>
    <col min="10" max="10" width="11" style="2" customWidth="1"/>
    <col min="11" max="11" width="15.6640625" style="2" customWidth="1"/>
    <col min="12" max="12" width="61" style="2" bestFit="1" customWidth="1"/>
    <col min="13" max="16384" width="11.5546875" style="2"/>
  </cols>
  <sheetData>
    <row r="1" spans="1:12" s="1" customFormat="1" x14ac:dyDescent="0.3">
      <c r="A1" s="6">
        <v>1</v>
      </c>
      <c r="B1" s="1" t="s">
        <v>2531</v>
      </c>
      <c r="D1" s="75" t="s">
        <v>308</v>
      </c>
      <c r="E1" s="75" t="s">
        <v>2514</v>
      </c>
      <c r="F1" s="75" t="s">
        <v>2518</v>
      </c>
      <c r="G1" s="1" t="s">
        <v>309</v>
      </c>
      <c r="H1" s="1" t="s">
        <v>310</v>
      </c>
      <c r="I1" s="1" t="s">
        <v>311</v>
      </c>
      <c r="J1" s="1" t="s">
        <v>642</v>
      </c>
      <c r="K1" s="1" t="s">
        <v>660</v>
      </c>
      <c r="L1" s="1" t="s">
        <v>643</v>
      </c>
    </row>
    <row r="2" spans="1:12" x14ac:dyDescent="0.3">
      <c r="A2" s="6">
        <v>2</v>
      </c>
    </row>
    <row r="3" spans="1:12" x14ac:dyDescent="0.3">
      <c r="A3" s="6">
        <v>3</v>
      </c>
      <c r="B3" s="159" t="s">
        <v>657</v>
      </c>
      <c r="C3" s="159"/>
      <c r="D3" s="160"/>
      <c r="E3" s="160"/>
      <c r="F3" s="160"/>
      <c r="G3" s="161"/>
      <c r="H3" s="161"/>
      <c r="I3" s="161"/>
      <c r="J3" s="161"/>
      <c r="K3" s="161"/>
      <c r="L3" s="161"/>
    </row>
    <row r="4" spans="1:12" x14ac:dyDescent="0.3">
      <c r="A4" s="6">
        <v>4</v>
      </c>
      <c r="D4" s="2"/>
      <c r="E4" s="2"/>
      <c r="F4" s="2"/>
    </row>
    <row r="5" spans="1:12" x14ac:dyDescent="0.3">
      <c r="A5" s="6">
        <v>5</v>
      </c>
      <c r="B5" s="1346" t="s">
        <v>1580</v>
      </c>
      <c r="C5" s="41" t="s">
        <v>1338</v>
      </c>
      <c r="D5" s="296"/>
      <c r="E5" s="296"/>
      <c r="F5" s="296"/>
      <c r="G5" s="110"/>
      <c r="H5" s="110"/>
      <c r="I5" s="110"/>
      <c r="J5" s="110"/>
      <c r="K5" s="110"/>
      <c r="L5" s="110"/>
    </row>
    <row r="6" spans="1:12" x14ac:dyDescent="0.3">
      <c r="A6" s="6">
        <v>6</v>
      </c>
      <c r="B6" s="1347"/>
      <c r="C6" s="10" t="s">
        <v>870</v>
      </c>
      <c r="D6" s="158">
        <v>121</v>
      </c>
      <c r="E6" s="158">
        <v>17.8</v>
      </c>
      <c r="F6" s="158"/>
      <c r="G6" s="2" t="s">
        <v>21</v>
      </c>
      <c r="H6" s="2" t="s">
        <v>633</v>
      </c>
      <c r="I6" s="2" t="s">
        <v>1382</v>
      </c>
      <c r="J6" s="2" t="s">
        <v>871</v>
      </c>
      <c r="K6" s="2" t="s">
        <v>1964</v>
      </c>
      <c r="L6" s="2" t="s">
        <v>644</v>
      </c>
    </row>
    <row r="7" spans="1:12" x14ac:dyDescent="0.3">
      <c r="A7" s="6">
        <v>7</v>
      </c>
      <c r="B7" s="1347"/>
      <c r="C7" s="2" t="s">
        <v>2406</v>
      </c>
      <c r="D7" s="158">
        <v>41</v>
      </c>
      <c r="E7" s="158">
        <v>11</v>
      </c>
      <c r="F7" s="158"/>
      <c r="G7" s="2" t="s">
        <v>1062</v>
      </c>
      <c r="H7" s="2" t="s">
        <v>633</v>
      </c>
      <c r="I7" s="2" t="s">
        <v>1381</v>
      </c>
      <c r="J7" s="2" t="s">
        <v>871</v>
      </c>
      <c r="K7" s="2" t="s">
        <v>1964</v>
      </c>
      <c r="L7" s="2" t="s">
        <v>644</v>
      </c>
    </row>
    <row r="8" spans="1:12" x14ac:dyDescent="0.3">
      <c r="A8" s="6">
        <v>8</v>
      </c>
      <c r="B8" s="1347"/>
      <c r="C8" s="6" t="s">
        <v>1058</v>
      </c>
      <c r="D8" s="324">
        <v>8.1</v>
      </c>
      <c r="E8" s="324">
        <v>1.1000000000000001</v>
      </c>
      <c r="F8" s="324"/>
      <c r="G8" s="2" t="s">
        <v>1063</v>
      </c>
      <c r="H8" s="2" t="s">
        <v>633</v>
      </c>
      <c r="I8" s="2" t="s">
        <v>1383</v>
      </c>
      <c r="J8" s="32" t="s">
        <v>1897</v>
      </c>
      <c r="K8" s="2" t="s">
        <v>1964</v>
      </c>
      <c r="L8" s="2" t="s">
        <v>644</v>
      </c>
    </row>
    <row r="9" spans="1:12" s="11" customFormat="1" x14ac:dyDescent="0.3">
      <c r="A9" s="6">
        <v>9</v>
      </c>
      <c r="B9" s="1347"/>
      <c r="C9" s="5" t="s">
        <v>502</v>
      </c>
      <c r="D9" s="323">
        <v>145</v>
      </c>
      <c r="E9" s="323">
        <v>38</v>
      </c>
      <c r="F9" s="323"/>
      <c r="G9" s="11" t="s">
        <v>1064</v>
      </c>
      <c r="H9" s="11" t="s">
        <v>633</v>
      </c>
      <c r="I9" s="11" t="s">
        <v>1384</v>
      </c>
      <c r="J9" s="11" t="s">
        <v>1897</v>
      </c>
      <c r="K9" s="2" t="s">
        <v>1964</v>
      </c>
      <c r="L9" s="2" t="s">
        <v>644</v>
      </c>
    </row>
    <row r="10" spans="1:12" ht="15.65" customHeight="1" x14ac:dyDescent="0.3">
      <c r="A10" s="6">
        <v>10</v>
      </c>
      <c r="B10" s="1347"/>
      <c r="C10" s="6" t="s">
        <v>1060</v>
      </c>
      <c r="D10" s="207">
        <v>22</v>
      </c>
      <c r="E10" s="284"/>
      <c r="F10" s="284"/>
      <c r="G10" s="2" t="s">
        <v>71</v>
      </c>
      <c r="H10" s="2" t="s">
        <v>312</v>
      </c>
      <c r="I10" s="2" t="s">
        <v>2513</v>
      </c>
      <c r="J10" s="2" t="s">
        <v>1897</v>
      </c>
      <c r="K10" s="2" t="s">
        <v>1965</v>
      </c>
      <c r="L10" s="2" t="s">
        <v>1931</v>
      </c>
    </row>
    <row r="11" spans="1:12" x14ac:dyDescent="0.3">
      <c r="A11" s="6">
        <v>11</v>
      </c>
      <c r="B11" s="1347"/>
      <c r="C11" s="6" t="s">
        <v>1061</v>
      </c>
      <c r="D11" s="284">
        <f>$D$6/$D$7</f>
        <v>2.9512195121951219</v>
      </c>
      <c r="E11" s="147"/>
      <c r="F11" s="147"/>
      <c r="G11" s="2" t="s">
        <v>1037</v>
      </c>
      <c r="H11" s="1" t="s">
        <v>629</v>
      </c>
    </row>
    <row r="12" spans="1:12" x14ac:dyDescent="0.3">
      <c r="A12" s="6">
        <v>12</v>
      </c>
      <c r="B12" s="1347"/>
      <c r="C12" s="6" t="s">
        <v>1149</v>
      </c>
      <c r="D12" s="207">
        <f>$D$8*$D$11</f>
        <v>23.904878048780485</v>
      </c>
      <c r="E12" s="147"/>
      <c r="F12" s="147"/>
      <c r="G12" s="2" t="s">
        <v>23</v>
      </c>
      <c r="H12" s="1" t="s">
        <v>629</v>
      </c>
      <c r="J12" s="32"/>
    </row>
    <row r="13" spans="1:12" s="6" customFormat="1" x14ac:dyDescent="0.3">
      <c r="A13" s="6">
        <v>13</v>
      </c>
      <c r="B13" s="1347"/>
      <c r="C13" s="6" t="s">
        <v>1059</v>
      </c>
      <c r="D13" s="147">
        <f>$D$10/$D$11</f>
        <v>7.454545454545455</v>
      </c>
      <c r="E13" s="147"/>
      <c r="F13" s="147"/>
      <c r="G13" s="6" t="s">
        <v>44</v>
      </c>
      <c r="H13" s="1" t="s">
        <v>629</v>
      </c>
      <c r="I13" s="138"/>
    </row>
    <row r="14" spans="1:12" s="11" customFormat="1" x14ac:dyDescent="0.3">
      <c r="A14" s="6">
        <v>14</v>
      </c>
      <c r="B14" s="1347"/>
      <c r="C14" s="5" t="s">
        <v>1150</v>
      </c>
      <c r="D14" s="251">
        <f>$D$7*1000/$D$13</f>
        <v>5500</v>
      </c>
      <c r="E14" s="147"/>
      <c r="F14" s="147"/>
      <c r="G14" s="11" t="s">
        <v>945</v>
      </c>
      <c r="H14" s="1" t="s">
        <v>629</v>
      </c>
    </row>
    <row r="15" spans="1:12" s="11" customFormat="1" x14ac:dyDescent="0.3">
      <c r="A15" s="6">
        <v>15</v>
      </c>
      <c r="B15" s="1347"/>
      <c r="C15" s="5" t="s">
        <v>1844</v>
      </c>
      <c r="D15" s="251">
        <f>1000000/$D$14</f>
        <v>181.81818181818181</v>
      </c>
      <c r="E15" s="147"/>
      <c r="F15" s="147"/>
      <c r="G15" s="11" t="s">
        <v>1053</v>
      </c>
      <c r="H15" s="1" t="s">
        <v>629</v>
      </c>
    </row>
    <row r="16" spans="1:12" s="11" customFormat="1" x14ac:dyDescent="0.3">
      <c r="A16" s="6">
        <v>16</v>
      </c>
      <c r="B16" s="1347"/>
      <c r="C16" s="5" t="s">
        <v>1837</v>
      </c>
      <c r="D16" s="322">
        <f>($D$15*1000)/10000</f>
        <v>18.181818181818183</v>
      </c>
      <c r="E16" s="147"/>
      <c r="F16" s="147"/>
      <c r="G16" s="11" t="s">
        <v>1054</v>
      </c>
      <c r="H16" s="1" t="s">
        <v>629</v>
      </c>
    </row>
    <row r="17" spans="1:12" x14ac:dyDescent="0.3">
      <c r="A17" s="6">
        <v>17</v>
      </c>
      <c r="B17" s="1348"/>
      <c r="C17" s="5" t="s">
        <v>2407</v>
      </c>
      <c r="D17" s="322">
        <f>1000/$D$10</f>
        <v>45.454545454545453</v>
      </c>
      <c r="E17" s="147"/>
      <c r="F17" s="147"/>
      <c r="G17" s="17" t="s">
        <v>946</v>
      </c>
      <c r="H17" s="1" t="s">
        <v>629</v>
      </c>
    </row>
    <row r="18" spans="1:12" x14ac:dyDescent="0.3">
      <c r="A18" s="6">
        <v>18</v>
      </c>
    </row>
    <row r="19" spans="1:12" x14ac:dyDescent="0.3">
      <c r="A19" s="6">
        <v>19</v>
      </c>
      <c r="B19" s="24" t="s">
        <v>1313</v>
      </c>
      <c r="C19" s="41" t="s">
        <v>1313</v>
      </c>
      <c r="D19" s="296"/>
      <c r="E19" s="296"/>
      <c r="F19" s="296"/>
      <c r="G19" s="110"/>
      <c r="H19" s="110"/>
      <c r="I19" s="110"/>
      <c r="J19" s="110"/>
      <c r="K19" s="110"/>
      <c r="L19" s="110"/>
    </row>
    <row r="20" spans="1:12" x14ac:dyDescent="0.3">
      <c r="A20" s="6">
        <v>20</v>
      </c>
    </row>
    <row r="21" spans="1:12" x14ac:dyDescent="0.3">
      <c r="A21" s="6">
        <v>21</v>
      </c>
      <c r="B21" s="1349" t="s">
        <v>1807</v>
      </c>
      <c r="C21" s="24" t="s">
        <v>1179</v>
      </c>
      <c r="D21" s="72"/>
      <c r="E21" s="72"/>
      <c r="F21" s="72"/>
      <c r="G21" s="24"/>
      <c r="H21" s="24"/>
      <c r="I21" s="24"/>
      <c r="J21" s="24"/>
      <c r="K21" s="24"/>
      <c r="L21" s="24"/>
    </row>
    <row r="22" spans="1:12" x14ac:dyDescent="0.3">
      <c r="A22" s="6">
        <v>22</v>
      </c>
      <c r="B22" s="1350"/>
      <c r="C22" s="66" t="s">
        <v>337</v>
      </c>
      <c r="D22" s="321">
        <v>480</v>
      </c>
      <c r="E22" s="321">
        <v>30</v>
      </c>
      <c r="F22" s="321"/>
      <c r="G22" s="66" t="s">
        <v>22</v>
      </c>
      <c r="H22" s="66" t="s">
        <v>633</v>
      </c>
      <c r="I22" s="66" t="s">
        <v>1932</v>
      </c>
      <c r="J22" s="66" t="s">
        <v>645</v>
      </c>
      <c r="K22" s="66" t="s">
        <v>1964</v>
      </c>
      <c r="L22" s="66" t="s">
        <v>873</v>
      </c>
    </row>
    <row r="23" spans="1:12" x14ac:dyDescent="0.3">
      <c r="A23" s="6">
        <v>23</v>
      </c>
      <c r="B23" s="1350"/>
      <c r="C23" s="66" t="s">
        <v>336</v>
      </c>
      <c r="D23" s="321">
        <v>350</v>
      </c>
      <c r="E23" s="321">
        <v>50</v>
      </c>
      <c r="F23" s="321"/>
      <c r="G23" s="66" t="s">
        <v>22</v>
      </c>
      <c r="H23" s="66" t="s">
        <v>633</v>
      </c>
      <c r="I23" s="66" t="s">
        <v>1933</v>
      </c>
      <c r="J23" s="66" t="s">
        <v>645</v>
      </c>
      <c r="K23" s="66" t="s">
        <v>1964</v>
      </c>
      <c r="L23" s="66" t="s">
        <v>873</v>
      </c>
    </row>
    <row r="24" spans="1:12" x14ac:dyDescent="0.3">
      <c r="A24" s="6">
        <v>24</v>
      </c>
      <c r="B24" s="1350"/>
      <c r="C24" s="66" t="s">
        <v>339</v>
      </c>
      <c r="D24" s="204">
        <f>$D$43/$D$6</f>
        <v>11.900826446280991</v>
      </c>
      <c r="E24" s="78"/>
      <c r="F24" s="78"/>
      <c r="G24" s="66" t="s">
        <v>22</v>
      </c>
      <c r="H24" s="111" t="s">
        <v>629</v>
      </c>
      <c r="I24" s="66"/>
      <c r="J24" s="66"/>
      <c r="K24" s="66"/>
      <c r="L24" s="66"/>
    </row>
    <row r="25" spans="1:12" s="11" customFormat="1" x14ac:dyDescent="0.3">
      <c r="A25" s="6">
        <v>25</v>
      </c>
      <c r="B25" s="1350"/>
      <c r="C25" s="216" t="s">
        <v>334</v>
      </c>
      <c r="D25" s="329">
        <f>'Table S1.2 (veins data)'!$D$284</f>
        <v>520.6611570247934</v>
      </c>
      <c r="E25" s="252"/>
      <c r="F25" s="252"/>
      <c r="G25" s="216" t="s">
        <v>22</v>
      </c>
      <c r="H25" s="55" t="s">
        <v>913</v>
      </c>
      <c r="I25" s="55"/>
      <c r="J25" s="55"/>
      <c r="K25" s="55"/>
      <c r="L25" s="55"/>
    </row>
    <row r="26" spans="1:12" s="11" customFormat="1" x14ac:dyDescent="0.3">
      <c r="A26" s="6">
        <v>26</v>
      </c>
      <c r="B26" s="1350"/>
      <c r="C26" s="68" t="s">
        <v>1136</v>
      </c>
      <c r="D26" s="656" t="s">
        <v>1833</v>
      </c>
      <c r="E26" s="79"/>
      <c r="F26" s="79"/>
      <c r="G26" s="79"/>
      <c r="H26" s="79"/>
      <c r="I26" s="79"/>
      <c r="J26" s="79"/>
      <c r="K26" s="79"/>
      <c r="L26" s="79"/>
    </row>
    <row r="27" spans="1:12" s="11" customFormat="1" x14ac:dyDescent="0.3">
      <c r="A27" s="6">
        <v>27</v>
      </c>
      <c r="B27" s="1350"/>
      <c r="C27" s="52" t="s">
        <v>499</v>
      </c>
      <c r="D27" s="652" t="s">
        <v>1833</v>
      </c>
      <c r="E27" s="80"/>
      <c r="F27" s="80"/>
      <c r="G27" s="80"/>
      <c r="H27" s="80"/>
      <c r="I27" s="80"/>
      <c r="J27" s="80"/>
      <c r="K27" s="80"/>
      <c r="L27" s="80"/>
    </row>
    <row r="28" spans="1:12" x14ac:dyDescent="0.3">
      <c r="A28" s="6">
        <v>28</v>
      </c>
      <c r="B28" s="1350"/>
      <c r="C28" s="49" t="s">
        <v>2356</v>
      </c>
      <c r="D28" s="325">
        <v>1280</v>
      </c>
      <c r="E28" s="325">
        <v>100</v>
      </c>
      <c r="F28" s="325"/>
      <c r="G28" s="49" t="s">
        <v>22</v>
      </c>
      <c r="H28" s="49" t="s">
        <v>633</v>
      </c>
      <c r="I28" s="49" t="s">
        <v>1385</v>
      </c>
      <c r="J28" s="49" t="s">
        <v>645</v>
      </c>
      <c r="K28" s="49" t="s">
        <v>1964</v>
      </c>
      <c r="L28" s="49" t="s">
        <v>873</v>
      </c>
    </row>
    <row r="29" spans="1:12" s="11" customFormat="1" x14ac:dyDescent="0.3">
      <c r="A29" s="6">
        <v>29</v>
      </c>
      <c r="B29" s="1350"/>
      <c r="C29" s="53" t="s">
        <v>496</v>
      </c>
      <c r="D29" s="201">
        <f>'Table S1.2 (veins data)'!$D$286</f>
        <v>404.95867768595042</v>
      </c>
      <c r="E29" s="201"/>
      <c r="F29" s="201"/>
      <c r="G29" s="25" t="s">
        <v>22</v>
      </c>
      <c r="H29" s="25" t="s">
        <v>913</v>
      </c>
      <c r="I29" s="25"/>
      <c r="J29" s="25"/>
      <c r="K29" s="25"/>
      <c r="L29" s="25"/>
    </row>
    <row r="30" spans="1:12" s="11" customFormat="1" x14ac:dyDescent="0.3">
      <c r="A30" s="6">
        <v>30</v>
      </c>
      <c r="B30" s="1350"/>
      <c r="C30" s="166" t="s">
        <v>497</v>
      </c>
      <c r="D30" s="343">
        <f>'Table S1.2 (veins data)'!$D$287</f>
        <v>644.62809917355366</v>
      </c>
      <c r="E30" s="343"/>
      <c r="F30" s="343"/>
      <c r="G30" s="70" t="s">
        <v>22</v>
      </c>
      <c r="H30" s="70" t="s">
        <v>913</v>
      </c>
      <c r="I30" s="70"/>
      <c r="J30" s="70"/>
      <c r="K30" s="70"/>
      <c r="L30" s="70"/>
    </row>
    <row r="31" spans="1:12" s="11" customFormat="1" x14ac:dyDescent="0.3">
      <c r="A31" s="6">
        <v>31</v>
      </c>
      <c r="B31" s="1350"/>
      <c r="C31" s="375" t="s">
        <v>498</v>
      </c>
      <c r="D31" s="345">
        <f>'Table S1.2 (veins data)'!$D$288</f>
        <v>190.08264462809916</v>
      </c>
      <c r="E31" s="345"/>
      <c r="F31" s="345"/>
      <c r="G31" s="391" t="s">
        <v>22</v>
      </c>
      <c r="H31" s="391" t="s">
        <v>913</v>
      </c>
      <c r="I31" s="391"/>
      <c r="J31" s="391"/>
      <c r="K31" s="391"/>
      <c r="L31" s="391"/>
    </row>
    <row r="32" spans="1:12" x14ac:dyDescent="0.3">
      <c r="A32" s="6">
        <v>32</v>
      </c>
      <c r="B32" s="1350"/>
      <c r="C32" s="1009" t="s">
        <v>335</v>
      </c>
      <c r="D32" s="1105">
        <v>620</v>
      </c>
      <c r="E32" s="1010">
        <v>110</v>
      </c>
      <c r="F32" s="1010"/>
      <c r="G32" s="1009" t="s">
        <v>22</v>
      </c>
      <c r="H32" s="1009" t="s">
        <v>633</v>
      </c>
      <c r="I32" s="1009" t="s">
        <v>1386</v>
      </c>
      <c r="J32" s="1009" t="s">
        <v>645</v>
      </c>
      <c r="K32" s="1009" t="s">
        <v>1964</v>
      </c>
      <c r="L32" s="1009" t="s">
        <v>873</v>
      </c>
    </row>
    <row r="33" spans="1:12" s="6" customFormat="1" x14ac:dyDescent="0.3">
      <c r="A33" s="6">
        <v>33</v>
      </c>
      <c r="B33" s="1350"/>
      <c r="C33" s="66" t="s">
        <v>2408</v>
      </c>
      <c r="D33" s="205">
        <v>184</v>
      </c>
      <c r="E33" s="205">
        <v>21</v>
      </c>
      <c r="F33" s="205"/>
      <c r="G33" s="65" t="s">
        <v>22</v>
      </c>
      <c r="H33" s="65" t="s">
        <v>25</v>
      </c>
      <c r="I33" s="65" t="s">
        <v>1387</v>
      </c>
      <c r="J33" s="65" t="s">
        <v>645</v>
      </c>
      <c r="K33" s="65" t="s">
        <v>1964</v>
      </c>
      <c r="L33" s="65" t="s">
        <v>873</v>
      </c>
    </row>
    <row r="34" spans="1:12" s="11" customFormat="1" x14ac:dyDescent="0.3">
      <c r="A34" s="6">
        <v>34</v>
      </c>
      <c r="B34" s="1350"/>
      <c r="C34" s="66" t="s">
        <v>2409</v>
      </c>
      <c r="D34" s="205">
        <v>147</v>
      </c>
      <c r="E34" s="205">
        <v>42</v>
      </c>
      <c r="F34" s="205"/>
      <c r="G34" s="66" t="s">
        <v>22</v>
      </c>
      <c r="H34" s="66" t="s">
        <v>25</v>
      </c>
      <c r="I34" s="65" t="s">
        <v>1387</v>
      </c>
      <c r="J34" s="65" t="s">
        <v>645</v>
      </c>
      <c r="K34" s="65" t="s">
        <v>1964</v>
      </c>
      <c r="L34" s="65" t="s">
        <v>873</v>
      </c>
    </row>
    <row r="35" spans="1:12" s="11" customFormat="1" x14ac:dyDescent="0.3">
      <c r="A35" s="6">
        <v>35</v>
      </c>
      <c r="B35" s="1350"/>
      <c r="C35" s="66" t="s">
        <v>338</v>
      </c>
      <c r="D35" s="204">
        <f>$D$53/$D$6</f>
        <v>0.99173553719008267</v>
      </c>
      <c r="E35" s="141"/>
      <c r="F35" s="141"/>
      <c r="G35" s="66" t="s">
        <v>22</v>
      </c>
      <c r="H35" s="111" t="s">
        <v>629</v>
      </c>
      <c r="I35" s="65"/>
      <c r="J35" s="65"/>
      <c r="K35" s="65"/>
      <c r="L35" s="65"/>
    </row>
    <row r="36" spans="1:12" s="11" customFormat="1" x14ac:dyDescent="0.3">
      <c r="A36" s="6">
        <v>36</v>
      </c>
      <c r="B36" s="1350"/>
      <c r="C36" s="3" t="s">
        <v>500</v>
      </c>
      <c r="D36" s="206">
        <f>'Table S1.2 (veins data)'!$D$289</f>
        <v>859.50413223140492</v>
      </c>
      <c r="E36" s="206"/>
      <c r="F36" s="206"/>
      <c r="G36" s="3" t="s">
        <v>22</v>
      </c>
      <c r="H36" s="3" t="s">
        <v>913</v>
      </c>
      <c r="I36" s="3"/>
      <c r="J36" s="3"/>
      <c r="K36" s="3"/>
      <c r="L36" s="3"/>
    </row>
    <row r="37" spans="1:12" s="11" customFormat="1" x14ac:dyDescent="0.3">
      <c r="A37" s="6">
        <v>37</v>
      </c>
      <c r="B37" s="1351"/>
      <c r="C37" s="3" t="s">
        <v>501</v>
      </c>
      <c r="D37" s="206">
        <f>'Table S1.2 (veins data)'!$D$290</f>
        <v>264.46280991735534</v>
      </c>
      <c r="E37" s="206"/>
      <c r="F37" s="206"/>
      <c r="G37" s="3" t="s">
        <v>22</v>
      </c>
      <c r="H37" s="3" t="s">
        <v>913</v>
      </c>
      <c r="I37" s="3"/>
      <c r="J37" s="3"/>
      <c r="K37" s="3"/>
      <c r="L37" s="3"/>
    </row>
    <row r="38" spans="1:12" s="11" customFormat="1" x14ac:dyDescent="0.3">
      <c r="A38" s="6">
        <v>38</v>
      </c>
      <c r="C38" s="4"/>
      <c r="D38" s="83"/>
      <c r="E38" s="83"/>
      <c r="F38" s="83"/>
    </row>
    <row r="39" spans="1:12" x14ac:dyDescent="0.3">
      <c r="A39" s="6">
        <v>39</v>
      </c>
      <c r="B39" s="1352" t="s">
        <v>1808</v>
      </c>
      <c r="C39" s="24" t="s">
        <v>1266</v>
      </c>
      <c r="D39" s="72"/>
      <c r="E39" s="72"/>
      <c r="F39" s="72"/>
      <c r="G39" s="24"/>
      <c r="H39" s="24"/>
      <c r="I39" s="24"/>
      <c r="J39" s="24"/>
      <c r="K39" s="24"/>
      <c r="L39" s="24"/>
    </row>
    <row r="40" spans="1:12" x14ac:dyDescent="0.3">
      <c r="A40" s="6">
        <v>40</v>
      </c>
      <c r="B40" s="1353"/>
      <c r="D40" s="2"/>
      <c r="E40" s="2"/>
      <c r="F40" s="2"/>
    </row>
    <row r="41" spans="1:12" x14ac:dyDescent="0.3">
      <c r="A41" s="6">
        <v>41</v>
      </c>
      <c r="B41" s="1353"/>
      <c r="C41" s="66" t="s">
        <v>1151</v>
      </c>
      <c r="D41" s="205">
        <v>58500</v>
      </c>
      <c r="E41" s="205">
        <v>12000</v>
      </c>
      <c r="F41" s="205"/>
      <c r="G41" s="66" t="s">
        <v>506</v>
      </c>
      <c r="H41" s="66" t="s">
        <v>633</v>
      </c>
      <c r="I41" s="66" t="s">
        <v>1388</v>
      </c>
      <c r="J41" s="66" t="s">
        <v>645</v>
      </c>
      <c r="K41" s="66" t="s">
        <v>1964</v>
      </c>
      <c r="L41" s="66" t="s">
        <v>644</v>
      </c>
    </row>
    <row r="42" spans="1:12" x14ac:dyDescent="0.3">
      <c r="A42" s="6">
        <v>42</v>
      </c>
      <c r="B42" s="1353"/>
      <c r="C42" s="66" t="s">
        <v>1152</v>
      </c>
      <c r="D42" s="205">
        <f>42900</f>
        <v>42900</v>
      </c>
      <c r="E42" s="205">
        <v>16000</v>
      </c>
      <c r="F42" s="205"/>
      <c r="G42" s="66" t="s">
        <v>506</v>
      </c>
      <c r="H42" s="66" t="s">
        <v>633</v>
      </c>
      <c r="I42" s="66" t="s">
        <v>1388</v>
      </c>
      <c r="J42" s="66" t="s">
        <v>645</v>
      </c>
      <c r="K42" s="66" t="s">
        <v>1964</v>
      </c>
      <c r="L42" s="66" t="s">
        <v>644</v>
      </c>
    </row>
    <row r="43" spans="1:12" x14ac:dyDescent="0.3">
      <c r="A43" s="6">
        <v>43</v>
      </c>
      <c r="B43" s="1353"/>
      <c r="C43" s="66" t="s">
        <v>1153</v>
      </c>
      <c r="D43" s="204">
        <f>12*$D$53</f>
        <v>1440</v>
      </c>
      <c r="E43" s="204"/>
      <c r="F43" s="204"/>
      <c r="G43" s="66" t="s">
        <v>506</v>
      </c>
      <c r="H43" s="66" t="s">
        <v>646</v>
      </c>
      <c r="I43" s="66" t="s">
        <v>912</v>
      </c>
      <c r="J43" s="66" t="s">
        <v>652</v>
      </c>
      <c r="K43" s="66" t="s">
        <v>1389</v>
      </c>
      <c r="L43" s="66" t="s">
        <v>647</v>
      </c>
    </row>
    <row r="44" spans="1:12" x14ac:dyDescent="0.3">
      <c r="A44" s="6">
        <v>44</v>
      </c>
      <c r="B44" s="1353"/>
      <c r="C44" s="55" t="s">
        <v>1154</v>
      </c>
      <c r="D44" s="253">
        <f>'Table S1.2 (veins data)'!$D$189</f>
        <v>63000</v>
      </c>
      <c r="E44" s="253"/>
      <c r="F44" s="253"/>
      <c r="G44" s="55" t="s">
        <v>506</v>
      </c>
      <c r="H44" s="55" t="s">
        <v>913</v>
      </c>
      <c r="I44" s="55"/>
      <c r="J44" s="55"/>
      <c r="K44" s="55"/>
      <c r="L44" s="55"/>
    </row>
    <row r="45" spans="1:12" x14ac:dyDescent="0.3">
      <c r="A45" s="6">
        <v>45</v>
      </c>
      <c r="B45" s="1353"/>
      <c r="C45" s="68" t="s">
        <v>1137</v>
      </c>
      <c r="D45" s="651" t="s">
        <v>1833</v>
      </c>
      <c r="E45" s="68"/>
      <c r="F45" s="68"/>
      <c r="G45" s="68"/>
      <c r="H45" s="68"/>
      <c r="I45" s="68"/>
      <c r="J45" s="68"/>
      <c r="K45" s="68"/>
      <c r="L45" s="68"/>
    </row>
    <row r="46" spans="1:12" x14ac:dyDescent="0.3">
      <c r="A46" s="6">
        <v>46</v>
      </c>
      <c r="B46" s="1353"/>
      <c r="C46" s="52" t="s">
        <v>507</v>
      </c>
      <c r="D46" s="652" t="s">
        <v>1833</v>
      </c>
      <c r="E46" s="80"/>
      <c r="F46" s="80"/>
      <c r="G46" s="62"/>
      <c r="H46" s="62" t="s">
        <v>125</v>
      </c>
      <c r="I46" s="62" t="s">
        <v>2369</v>
      </c>
      <c r="J46" s="62" t="s">
        <v>650</v>
      </c>
      <c r="K46" s="62" t="s">
        <v>1390</v>
      </c>
      <c r="L46" s="62" t="s">
        <v>648</v>
      </c>
    </row>
    <row r="47" spans="1:12" x14ac:dyDescent="0.3">
      <c r="A47" s="6">
        <v>47</v>
      </c>
      <c r="B47" s="1353"/>
      <c r="C47" s="49" t="s">
        <v>1155</v>
      </c>
      <c r="D47" s="320">
        <v>157500</v>
      </c>
      <c r="E47" s="320">
        <v>21300</v>
      </c>
      <c r="F47" s="320"/>
      <c r="G47" s="49" t="s">
        <v>506</v>
      </c>
      <c r="H47" s="49" t="s">
        <v>633</v>
      </c>
      <c r="I47" s="49" t="s">
        <v>1388</v>
      </c>
      <c r="J47" s="49"/>
      <c r="K47" s="49" t="s">
        <v>1964</v>
      </c>
      <c r="L47" s="49" t="s">
        <v>873</v>
      </c>
    </row>
    <row r="48" spans="1:12" x14ac:dyDescent="0.3">
      <c r="A48" s="6">
        <v>48</v>
      </c>
      <c r="B48" s="1353"/>
      <c r="C48" s="25" t="s">
        <v>1156</v>
      </c>
      <c r="D48" s="201">
        <f>'Table S1.2 (veins data)'!D191</f>
        <v>49000</v>
      </c>
      <c r="E48" s="201"/>
      <c r="F48" s="201"/>
      <c r="G48" s="25" t="s">
        <v>506</v>
      </c>
      <c r="H48" s="25" t="s">
        <v>913</v>
      </c>
      <c r="I48" s="25"/>
      <c r="J48" s="25"/>
      <c r="K48" s="25"/>
      <c r="L48" s="25"/>
    </row>
    <row r="49" spans="1:12" x14ac:dyDescent="0.3">
      <c r="A49" s="6">
        <v>49</v>
      </c>
      <c r="B49" s="1353"/>
      <c r="C49" s="70" t="s">
        <v>1157</v>
      </c>
      <c r="D49" s="343">
        <f>'Table S1.2 (veins data)'!D192</f>
        <v>78000</v>
      </c>
      <c r="E49" s="343"/>
      <c r="F49" s="343"/>
      <c r="G49" s="70" t="s">
        <v>506</v>
      </c>
      <c r="H49" s="70" t="s">
        <v>913</v>
      </c>
      <c r="I49" s="70"/>
      <c r="J49" s="70"/>
      <c r="K49" s="70"/>
      <c r="L49" s="70"/>
    </row>
    <row r="50" spans="1:12" x14ac:dyDescent="0.3">
      <c r="A50" s="6">
        <v>50</v>
      </c>
      <c r="B50" s="1353"/>
      <c r="C50" s="391" t="s">
        <v>1158</v>
      </c>
      <c r="D50" s="345">
        <f>'Table S1.2 (veins data)'!D193</f>
        <v>23000</v>
      </c>
      <c r="E50" s="345"/>
      <c r="F50" s="345"/>
      <c r="G50" s="391" t="s">
        <v>506</v>
      </c>
      <c r="H50" s="391" t="s">
        <v>913</v>
      </c>
      <c r="I50" s="391"/>
      <c r="J50" s="391"/>
      <c r="K50" s="391"/>
      <c r="L50" s="391"/>
    </row>
    <row r="51" spans="1:12" x14ac:dyDescent="0.3">
      <c r="A51" s="6">
        <v>51</v>
      </c>
      <c r="B51" s="1353"/>
      <c r="C51" s="49" t="s">
        <v>1936</v>
      </c>
      <c r="D51" s="320">
        <v>74840</v>
      </c>
      <c r="E51" s="320">
        <v>13000</v>
      </c>
      <c r="F51" s="320"/>
      <c r="G51" s="49" t="s">
        <v>506</v>
      </c>
      <c r="H51" s="49" t="s">
        <v>633</v>
      </c>
      <c r="I51" s="49" t="s">
        <v>1388</v>
      </c>
      <c r="J51" s="49"/>
      <c r="K51" s="49" t="s">
        <v>1964</v>
      </c>
      <c r="L51" s="49" t="s">
        <v>873</v>
      </c>
    </row>
    <row r="52" spans="1:12" x14ac:dyDescent="0.3">
      <c r="A52" s="6">
        <v>52</v>
      </c>
      <c r="B52" s="1353"/>
      <c r="C52" s="66" t="s">
        <v>2214</v>
      </c>
      <c r="D52" s="204">
        <f>ROUND(2*$D$6*($D$33+$D$34),-1)</f>
        <v>80100</v>
      </c>
      <c r="E52" s="204"/>
      <c r="F52" s="204"/>
      <c r="G52" s="66" t="s">
        <v>506</v>
      </c>
      <c r="H52" s="111" t="s">
        <v>629</v>
      </c>
      <c r="I52" s="66" t="s">
        <v>2370</v>
      </c>
      <c r="J52" s="66"/>
      <c r="K52" s="66"/>
      <c r="L52" s="66"/>
    </row>
    <row r="53" spans="1:12" x14ac:dyDescent="0.3">
      <c r="A53" s="6">
        <v>53</v>
      </c>
      <c r="B53" s="1353"/>
      <c r="C53" s="66" t="s">
        <v>1159</v>
      </c>
      <c r="D53" s="205">
        <v>120</v>
      </c>
      <c r="E53" s="205">
        <v>20</v>
      </c>
      <c r="F53" s="205"/>
      <c r="G53" s="66" t="s">
        <v>506</v>
      </c>
      <c r="H53" s="66" t="s">
        <v>815</v>
      </c>
      <c r="I53" s="66" t="s">
        <v>2459</v>
      </c>
      <c r="J53" s="66" t="s">
        <v>872</v>
      </c>
      <c r="K53" s="674" t="s">
        <v>1391</v>
      </c>
      <c r="L53" s="66" t="s">
        <v>873</v>
      </c>
    </row>
    <row r="54" spans="1:12" x14ac:dyDescent="0.3">
      <c r="A54" s="6">
        <v>54</v>
      </c>
      <c r="B54" s="1353"/>
      <c r="C54" s="52" t="s">
        <v>1160</v>
      </c>
      <c r="D54" s="206">
        <f>'Table S1.2 (veins data)'!D194</f>
        <v>104000</v>
      </c>
      <c r="E54" s="206"/>
      <c r="F54" s="206"/>
      <c r="G54" s="52" t="s">
        <v>506</v>
      </c>
      <c r="H54" s="52" t="s">
        <v>913</v>
      </c>
      <c r="I54" s="52"/>
      <c r="J54" s="52"/>
      <c r="K54" s="52"/>
      <c r="L54" s="52"/>
    </row>
    <row r="55" spans="1:12" x14ac:dyDescent="0.3">
      <c r="A55" s="6">
        <v>55</v>
      </c>
      <c r="B55" s="1353"/>
      <c r="C55" s="381" t="s">
        <v>1161</v>
      </c>
      <c r="D55" s="350">
        <f>'Table S1.2 (veins data)'!D195</f>
        <v>32000</v>
      </c>
      <c r="E55" s="350"/>
      <c r="F55" s="350"/>
      <c r="G55" s="381" t="s">
        <v>506</v>
      </c>
      <c r="H55" s="381" t="s">
        <v>913</v>
      </c>
      <c r="I55" s="381"/>
      <c r="J55" s="381"/>
      <c r="K55" s="381"/>
      <c r="L55" s="381"/>
    </row>
    <row r="56" spans="1:12" x14ac:dyDescent="0.3">
      <c r="A56" s="6">
        <v>56</v>
      </c>
      <c r="B56" s="1353"/>
      <c r="C56" s="6"/>
      <c r="D56" s="73"/>
      <c r="E56" s="73"/>
      <c r="F56" s="73"/>
    </row>
    <row r="57" spans="1:12" x14ac:dyDescent="0.3">
      <c r="A57" s="6">
        <v>57</v>
      </c>
      <c r="B57" s="1353"/>
      <c r="C57" s="1" t="s">
        <v>2521</v>
      </c>
      <c r="D57" s="207">
        <f>SUM(D41:D55)</f>
        <v>764400</v>
      </c>
      <c r="E57" s="207"/>
      <c r="F57" s="207"/>
      <c r="G57" s="2" t="s">
        <v>506</v>
      </c>
      <c r="H57" s="4" t="s">
        <v>629</v>
      </c>
    </row>
    <row r="58" spans="1:12" x14ac:dyDescent="0.3">
      <c r="A58" s="6">
        <v>58</v>
      </c>
      <c r="B58" s="1353"/>
      <c r="C58" s="28"/>
      <c r="D58" s="75"/>
      <c r="E58" s="75"/>
      <c r="F58" s="75"/>
      <c r="G58" s="15"/>
    </row>
    <row r="59" spans="1:12" x14ac:dyDescent="0.3">
      <c r="A59" s="6">
        <v>59</v>
      </c>
      <c r="B59" s="1353"/>
      <c r="C59" s="24" t="s">
        <v>1162</v>
      </c>
      <c r="D59" s="72"/>
      <c r="E59" s="72"/>
      <c r="F59" s="72"/>
      <c r="G59" s="24"/>
      <c r="H59" s="24"/>
      <c r="I59" s="24"/>
      <c r="J59" s="24"/>
      <c r="K59" s="24"/>
      <c r="L59" s="24"/>
    </row>
    <row r="60" spans="1:12" x14ac:dyDescent="0.3">
      <c r="A60" s="6">
        <v>60</v>
      </c>
      <c r="B60" s="1353"/>
      <c r="C60" s="66" t="s">
        <v>508</v>
      </c>
      <c r="D60" s="207">
        <f>ROUND($D$41+$D$42+$D$43+$D$52+$D$53,-2)</f>
        <v>183100</v>
      </c>
      <c r="E60" s="207"/>
      <c r="F60" s="207"/>
      <c r="G60" s="2" t="s">
        <v>506</v>
      </c>
      <c r="H60" s="4" t="s">
        <v>629</v>
      </c>
    </row>
    <row r="61" spans="1:12" x14ac:dyDescent="0.3">
      <c r="A61" s="6">
        <v>61</v>
      </c>
      <c r="B61" s="1353"/>
      <c r="C61" s="49" t="s">
        <v>2357</v>
      </c>
      <c r="D61" s="203">
        <f>ROUND($D$44+$D$47+$D$51,-2)</f>
        <v>295300</v>
      </c>
      <c r="E61" s="203"/>
      <c r="F61" s="203"/>
      <c r="G61" s="49" t="s">
        <v>506</v>
      </c>
      <c r="H61" s="50" t="s">
        <v>629</v>
      </c>
      <c r="I61" s="49"/>
      <c r="J61" s="49"/>
      <c r="K61" s="49"/>
      <c r="L61" s="49"/>
    </row>
    <row r="62" spans="1:12" x14ac:dyDescent="0.3">
      <c r="A62" s="6">
        <v>62</v>
      </c>
      <c r="B62" s="1354"/>
      <c r="C62" s="53" t="s">
        <v>509</v>
      </c>
      <c r="D62" s="201">
        <f>ROUND($D$48+$D$49+$D$50+$D$54+$D$55,-2)</f>
        <v>286000</v>
      </c>
      <c r="E62" s="201"/>
      <c r="F62" s="201"/>
      <c r="G62" s="82" t="s">
        <v>506</v>
      </c>
      <c r="H62" s="82" t="s">
        <v>629</v>
      </c>
      <c r="I62" s="82"/>
      <c r="J62" s="82"/>
      <c r="K62" s="82"/>
      <c r="L62" s="82"/>
    </row>
    <row r="63" spans="1:12" x14ac:dyDescent="0.3">
      <c r="A63" s="6">
        <v>63</v>
      </c>
      <c r="D63" s="75"/>
      <c r="E63" s="75"/>
      <c r="F63" s="75"/>
      <c r="H63" s="13"/>
    </row>
    <row r="64" spans="1:12" x14ac:dyDescent="0.3">
      <c r="A64" s="6">
        <v>64</v>
      </c>
      <c r="B64" s="1349" t="s">
        <v>1809</v>
      </c>
      <c r="C64" s="24" t="s">
        <v>1180</v>
      </c>
      <c r="D64" s="72"/>
      <c r="E64" s="72"/>
      <c r="F64" s="72"/>
      <c r="G64" s="72"/>
      <c r="H64" s="72"/>
      <c r="I64" s="72"/>
      <c r="J64" s="72"/>
      <c r="K64" s="72"/>
      <c r="L64" s="72"/>
    </row>
    <row r="65" spans="1:12" ht="15.65" thickBot="1" x14ac:dyDescent="0.35">
      <c r="A65" s="6">
        <v>65</v>
      </c>
      <c r="B65" s="1350"/>
      <c r="D65" s="131"/>
      <c r="E65" s="2"/>
      <c r="F65" s="2"/>
      <c r="K65" s="131"/>
    </row>
    <row r="66" spans="1:12" ht="16.3" thickTop="1" thickBot="1" x14ac:dyDescent="0.35">
      <c r="A66" s="6">
        <v>66</v>
      </c>
      <c r="B66" s="1350"/>
      <c r="C66" s="229" t="s">
        <v>343</v>
      </c>
      <c r="D66" s="1194">
        <v>18.899999999999999</v>
      </c>
      <c r="E66" s="1215"/>
      <c r="F66" s="1214" t="s">
        <v>1163</v>
      </c>
      <c r="G66" s="66" t="s">
        <v>0</v>
      </c>
      <c r="H66" s="674" t="s">
        <v>630</v>
      </c>
      <c r="I66" s="66" t="s">
        <v>2371</v>
      </c>
      <c r="J66" s="229" t="s">
        <v>874</v>
      </c>
      <c r="K66" s="742" t="s">
        <v>1392</v>
      </c>
      <c r="L66" s="740" t="s">
        <v>649</v>
      </c>
    </row>
    <row r="67" spans="1:12" ht="16.3" thickTop="1" thickBot="1" x14ac:dyDescent="0.35">
      <c r="A67" s="6">
        <v>67</v>
      </c>
      <c r="B67" s="1350"/>
      <c r="C67" s="229" t="s">
        <v>344</v>
      </c>
      <c r="D67" s="1212">
        <v>39</v>
      </c>
      <c r="E67" s="1215"/>
      <c r="F67" s="1214" t="s">
        <v>1164</v>
      </c>
      <c r="G67" s="66" t="s">
        <v>0</v>
      </c>
      <c r="H67" s="674" t="s">
        <v>630</v>
      </c>
      <c r="I67" s="66" t="s">
        <v>2372</v>
      </c>
      <c r="J67" s="229" t="s">
        <v>874</v>
      </c>
      <c r="K67" s="741" t="s">
        <v>1392</v>
      </c>
      <c r="L67" s="740" t="s">
        <v>649</v>
      </c>
    </row>
    <row r="68" spans="1:12" ht="15.65" thickTop="1" x14ac:dyDescent="0.3">
      <c r="A68" s="6">
        <v>68</v>
      </c>
      <c r="B68" s="1350"/>
      <c r="C68" s="66" t="s">
        <v>133</v>
      </c>
      <c r="D68" s="1213">
        <v>20</v>
      </c>
      <c r="E68" s="205">
        <v>3</v>
      </c>
      <c r="F68" s="205"/>
      <c r="G68" s="66" t="s">
        <v>0</v>
      </c>
      <c r="H68" s="66" t="s">
        <v>132</v>
      </c>
      <c r="I68" s="66" t="s">
        <v>653</v>
      </c>
      <c r="J68" s="66" t="s">
        <v>652</v>
      </c>
      <c r="K68" s="739" t="s">
        <v>1393</v>
      </c>
      <c r="L68" s="66" t="s">
        <v>654</v>
      </c>
    </row>
    <row r="69" spans="1:12" s="11" customFormat="1" x14ac:dyDescent="0.3">
      <c r="A69" s="6">
        <v>69</v>
      </c>
      <c r="B69" s="1350"/>
      <c r="C69" s="55" t="s">
        <v>126</v>
      </c>
      <c r="D69" s="1192">
        <f>'Table S1.2 (veins data)'!$D$129</f>
        <v>10.227</v>
      </c>
      <c r="E69" s="209"/>
      <c r="F69" s="209"/>
      <c r="G69" s="55" t="s">
        <v>0</v>
      </c>
      <c r="H69" s="55" t="s">
        <v>913</v>
      </c>
      <c r="I69" s="55"/>
      <c r="J69" s="55"/>
      <c r="K69" s="55"/>
      <c r="L69" s="55"/>
    </row>
    <row r="70" spans="1:12" s="11" customFormat="1" x14ac:dyDescent="0.3">
      <c r="A70" s="6">
        <v>70</v>
      </c>
      <c r="B70" s="1350"/>
      <c r="C70" s="68" t="s">
        <v>1138</v>
      </c>
      <c r="D70" s="651" t="s">
        <v>1833</v>
      </c>
      <c r="E70" s="68"/>
      <c r="F70" s="68"/>
      <c r="G70" s="68"/>
      <c r="H70" s="68"/>
      <c r="I70" s="68"/>
      <c r="J70" s="68"/>
      <c r="K70" s="68"/>
      <c r="L70" s="68"/>
    </row>
    <row r="71" spans="1:12" s="11" customFormat="1" x14ac:dyDescent="0.3">
      <c r="A71" s="6">
        <v>71</v>
      </c>
      <c r="B71" s="1350"/>
      <c r="C71" s="3" t="s">
        <v>130</v>
      </c>
      <c r="D71" s="664" t="s">
        <v>1833</v>
      </c>
      <c r="E71" s="88"/>
      <c r="F71" s="88"/>
      <c r="G71" s="88"/>
      <c r="H71" s="88"/>
      <c r="I71" s="88"/>
      <c r="J71" s="88"/>
      <c r="K71" s="88"/>
      <c r="L71" s="88"/>
    </row>
    <row r="72" spans="1:12" x14ac:dyDescent="0.3">
      <c r="A72" s="6">
        <v>72</v>
      </c>
      <c r="B72" s="1350"/>
      <c r="C72" s="49" t="s">
        <v>105</v>
      </c>
      <c r="D72" s="325">
        <v>100</v>
      </c>
      <c r="E72" s="210"/>
      <c r="F72" s="210" t="s">
        <v>1166</v>
      </c>
      <c r="G72" s="49" t="s">
        <v>0</v>
      </c>
      <c r="H72" s="49" t="s">
        <v>24</v>
      </c>
      <c r="I72" s="49" t="s">
        <v>1165</v>
      </c>
      <c r="J72" s="49" t="s">
        <v>875</v>
      </c>
      <c r="K72" s="49" t="s">
        <v>1930</v>
      </c>
      <c r="L72" s="49" t="s">
        <v>644</v>
      </c>
    </row>
    <row r="73" spans="1:12" s="11" customFormat="1" x14ac:dyDescent="0.3">
      <c r="A73" s="6">
        <v>73</v>
      </c>
      <c r="B73" s="1350"/>
      <c r="C73" s="53" t="s">
        <v>127</v>
      </c>
      <c r="D73" s="211">
        <f>'Table S1.2 (veins data)'!D131</f>
        <v>0.85</v>
      </c>
      <c r="E73" s="211"/>
      <c r="F73" s="211"/>
      <c r="G73" s="53" t="s">
        <v>0</v>
      </c>
      <c r="H73" s="53" t="s">
        <v>913</v>
      </c>
      <c r="I73" s="53"/>
      <c r="J73" s="53"/>
      <c r="K73" s="53"/>
      <c r="L73" s="53"/>
    </row>
    <row r="74" spans="1:12" s="11" customFormat="1" x14ac:dyDescent="0.3">
      <c r="A74" s="6">
        <v>74</v>
      </c>
      <c r="B74" s="1350"/>
      <c r="C74" s="166" t="s">
        <v>128</v>
      </c>
      <c r="D74" s="392">
        <f>'Table S1.2 (veins data)'!D132</f>
        <v>0.6321</v>
      </c>
      <c r="E74" s="392"/>
      <c r="F74" s="392"/>
      <c r="G74" s="166" t="s">
        <v>0</v>
      </c>
      <c r="H74" s="166" t="s">
        <v>913</v>
      </c>
      <c r="I74" s="166"/>
      <c r="J74" s="166"/>
      <c r="K74" s="166"/>
      <c r="L74" s="166"/>
    </row>
    <row r="75" spans="1:12" s="11" customFormat="1" x14ac:dyDescent="0.3">
      <c r="A75" s="6">
        <v>75</v>
      </c>
      <c r="B75" s="1350"/>
      <c r="C75" s="375" t="s">
        <v>129</v>
      </c>
      <c r="D75" s="428">
        <f>'Table S1.2 (veins data)'!$D$143</f>
        <v>0.14039999999999997</v>
      </c>
      <c r="E75" s="429"/>
      <c r="F75" s="429"/>
      <c r="G75" s="375" t="s">
        <v>0</v>
      </c>
      <c r="H75" s="375" t="s">
        <v>913</v>
      </c>
      <c r="I75" s="375"/>
      <c r="J75" s="375"/>
      <c r="K75" s="375"/>
      <c r="L75" s="375"/>
    </row>
    <row r="76" spans="1:12" x14ac:dyDescent="0.3">
      <c r="A76" s="6">
        <v>76</v>
      </c>
      <c r="B76" s="1350"/>
      <c r="C76" s="49" t="s">
        <v>106</v>
      </c>
      <c r="D76" s="325">
        <v>60</v>
      </c>
      <c r="E76" s="81"/>
      <c r="F76" s="81" t="s">
        <v>1167</v>
      </c>
      <c r="G76" s="49" t="s">
        <v>0</v>
      </c>
      <c r="H76" s="49" t="s">
        <v>25</v>
      </c>
      <c r="I76" s="49" t="s">
        <v>1165</v>
      </c>
      <c r="J76" s="49" t="s">
        <v>875</v>
      </c>
      <c r="K76" s="49" t="s">
        <v>1930</v>
      </c>
      <c r="L76" s="49" t="s">
        <v>644</v>
      </c>
    </row>
    <row r="77" spans="1:12" s="11" customFormat="1" x14ac:dyDescent="0.3">
      <c r="A77" s="6">
        <v>77</v>
      </c>
      <c r="B77" s="1350"/>
      <c r="C77" s="66" t="s">
        <v>2367</v>
      </c>
      <c r="D77" s="77">
        <v>0.78300000000000003</v>
      </c>
      <c r="E77" s="77">
        <v>2.1000000000000001E-2</v>
      </c>
      <c r="F77" s="77"/>
      <c r="G77" s="66" t="s">
        <v>0</v>
      </c>
      <c r="H77" s="66" t="s">
        <v>1168</v>
      </c>
      <c r="I77" s="66" t="s">
        <v>1877</v>
      </c>
      <c r="J77" s="66"/>
      <c r="K77" s="66" t="s">
        <v>1395</v>
      </c>
      <c r="L77" s="66" t="s">
        <v>644</v>
      </c>
    </row>
    <row r="78" spans="1:12" s="11" customFormat="1" x14ac:dyDescent="0.3">
      <c r="A78" s="6">
        <v>78</v>
      </c>
      <c r="B78" s="1350"/>
      <c r="C78" s="66" t="s">
        <v>131</v>
      </c>
      <c r="D78" s="321">
        <v>3800</v>
      </c>
      <c r="E78" s="321">
        <v>238</v>
      </c>
      <c r="F78" s="321"/>
      <c r="G78" s="66" t="s">
        <v>0</v>
      </c>
      <c r="H78" s="66" t="s">
        <v>132</v>
      </c>
      <c r="I78" s="66"/>
      <c r="J78" s="66" t="s">
        <v>652</v>
      </c>
      <c r="K78" s="66" t="s">
        <v>1394</v>
      </c>
      <c r="L78" s="66" t="s">
        <v>654</v>
      </c>
    </row>
    <row r="79" spans="1:12" s="11" customFormat="1" x14ac:dyDescent="0.3">
      <c r="A79" s="6">
        <v>79</v>
      </c>
      <c r="B79" s="1350"/>
      <c r="C79" s="3" t="s">
        <v>413</v>
      </c>
      <c r="D79" s="1164">
        <f>'Table S1.2 (veins data)'!$D$144</f>
        <v>0.53200000000000003</v>
      </c>
      <c r="E79" s="88"/>
      <c r="F79" s="88"/>
      <c r="G79" s="56" t="s">
        <v>0</v>
      </c>
      <c r="H79" s="56" t="s">
        <v>913</v>
      </c>
      <c r="I79" s="56" t="s">
        <v>1874</v>
      </c>
      <c r="J79" s="56"/>
      <c r="K79" s="56"/>
      <c r="L79" s="56"/>
    </row>
    <row r="80" spans="1:12" s="11" customFormat="1" x14ac:dyDescent="0.3">
      <c r="A80" s="6">
        <v>80</v>
      </c>
      <c r="B80" s="1351"/>
      <c r="C80" s="376" t="s">
        <v>414</v>
      </c>
      <c r="D80" s="1165">
        <f>'Table S1.2 (veins data)'!$D$145</f>
        <v>0.373</v>
      </c>
      <c r="E80" s="427"/>
      <c r="F80" s="427"/>
      <c r="G80" s="434" t="s">
        <v>0</v>
      </c>
      <c r="H80" s="434" t="s">
        <v>913</v>
      </c>
      <c r="I80" s="427" t="s">
        <v>1874</v>
      </c>
      <c r="J80" s="434"/>
      <c r="K80" s="434"/>
      <c r="L80" s="434"/>
    </row>
    <row r="81" spans="1:12" x14ac:dyDescent="0.3">
      <c r="A81" s="6">
        <v>81</v>
      </c>
    </row>
    <row r="82" spans="1:12" s="11" customFormat="1" ht="15.65" thickBot="1" x14ac:dyDescent="0.35">
      <c r="A82" s="6">
        <v>82</v>
      </c>
      <c r="B82" s="115"/>
      <c r="C82" s="5"/>
      <c r="D82" s="83"/>
      <c r="E82" s="83"/>
      <c r="F82" s="83"/>
    </row>
    <row r="83" spans="1:12" s="11" customFormat="1" ht="15.05" customHeight="1" x14ac:dyDescent="0.3">
      <c r="A83" s="6">
        <v>83</v>
      </c>
      <c r="B83" s="1358" t="s">
        <v>1551</v>
      </c>
      <c r="C83" s="474" t="s">
        <v>2136</v>
      </c>
      <c r="D83" s="72"/>
      <c r="E83" s="72"/>
      <c r="F83" s="72"/>
      <c r="G83" s="24"/>
      <c r="H83" s="24"/>
      <c r="I83" s="24"/>
      <c r="J83" s="24"/>
      <c r="K83" s="24"/>
      <c r="L83" s="24"/>
    </row>
    <row r="84" spans="1:12" s="11" customFormat="1" x14ac:dyDescent="0.3">
      <c r="A84" s="6">
        <v>84</v>
      </c>
      <c r="B84" s="1359"/>
      <c r="C84" s="280"/>
      <c r="D84" s="76"/>
      <c r="E84" s="76"/>
      <c r="F84" s="76"/>
      <c r="G84" s="4"/>
      <c r="H84" s="4"/>
    </row>
    <row r="85" spans="1:12" x14ac:dyDescent="0.3">
      <c r="A85" s="6">
        <v>85</v>
      </c>
      <c r="B85" s="1359"/>
      <c r="C85" s="475" t="s">
        <v>510</v>
      </c>
      <c r="D85" s="255">
        <f>$D$41*$D$66/1000000</f>
        <v>1.10565</v>
      </c>
      <c r="E85" s="141"/>
      <c r="F85" s="141"/>
      <c r="G85" s="66" t="s">
        <v>23</v>
      </c>
      <c r="H85" s="111" t="s">
        <v>629</v>
      </c>
      <c r="I85" s="66" t="s">
        <v>340</v>
      </c>
      <c r="J85" s="66"/>
      <c r="K85" s="66"/>
      <c r="L85" s="66"/>
    </row>
    <row r="86" spans="1:12" x14ac:dyDescent="0.3">
      <c r="A86" s="6">
        <v>86</v>
      </c>
      <c r="B86" s="1359"/>
      <c r="C86" s="475" t="s">
        <v>511</v>
      </c>
      <c r="D86" s="255">
        <f>$D$42*$D$67/1000000</f>
        <v>1.6731</v>
      </c>
      <c r="E86" s="141"/>
      <c r="F86" s="141"/>
      <c r="G86" s="66" t="s">
        <v>23</v>
      </c>
      <c r="H86" s="111" t="s">
        <v>629</v>
      </c>
      <c r="I86" s="66" t="s">
        <v>340</v>
      </c>
      <c r="J86" s="66"/>
      <c r="K86" s="66"/>
      <c r="L86" s="66"/>
    </row>
    <row r="87" spans="1:12" x14ac:dyDescent="0.3">
      <c r="A87" s="6">
        <v>87</v>
      </c>
      <c r="B87" s="1359"/>
      <c r="C87" s="475" t="s">
        <v>512</v>
      </c>
      <c r="D87" s="141">
        <f>$D$43*$D$68/1000000</f>
        <v>2.8799999999999999E-2</v>
      </c>
      <c r="E87" s="78"/>
      <c r="F87" s="78"/>
      <c r="G87" s="66" t="s">
        <v>23</v>
      </c>
      <c r="H87" s="111" t="s">
        <v>629</v>
      </c>
      <c r="I87" s="66" t="s">
        <v>340</v>
      </c>
      <c r="J87" s="66"/>
      <c r="K87" s="66"/>
      <c r="L87" s="66"/>
    </row>
    <row r="88" spans="1:12" x14ac:dyDescent="0.3">
      <c r="A88" s="6">
        <v>88</v>
      </c>
      <c r="B88" s="1359"/>
      <c r="C88" s="476" t="s">
        <v>513</v>
      </c>
      <c r="D88" s="1148">
        <f>'Table S1.2 (veins data)'!$D$249</f>
        <v>0.64430100000000001</v>
      </c>
      <c r="E88" s="213"/>
      <c r="F88" s="213"/>
      <c r="G88" s="55" t="s">
        <v>23</v>
      </c>
      <c r="H88" s="55" t="s">
        <v>913</v>
      </c>
      <c r="I88" s="55" t="s">
        <v>1181</v>
      </c>
      <c r="J88" s="55"/>
      <c r="K88" s="55"/>
      <c r="L88" s="55"/>
    </row>
    <row r="89" spans="1:12" s="11" customFormat="1" x14ac:dyDescent="0.3">
      <c r="A89" s="6">
        <v>89</v>
      </c>
      <c r="B89" s="1359"/>
      <c r="C89" s="477" t="s">
        <v>1139</v>
      </c>
      <c r="D89" s="651" t="s">
        <v>1833</v>
      </c>
      <c r="E89" s="68"/>
      <c r="F89" s="68"/>
      <c r="G89" s="68" t="s">
        <v>23</v>
      </c>
      <c r="H89" s="68"/>
      <c r="I89" s="68"/>
      <c r="J89" s="68"/>
      <c r="K89" s="68"/>
      <c r="L89" s="68"/>
    </row>
    <row r="90" spans="1:12" x14ac:dyDescent="0.3">
      <c r="A90" s="6">
        <v>90</v>
      </c>
      <c r="B90" s="1359"/>
      <c r="C90" s="473" t="s">
        <v>514</v>
      </c>
      <c r="D90" s="652" t="s">
        <v>1833</v>
      </c>
      <c r="E90" s="80"/>
      <c r="F90" s="80"/>
      <c r="G90" s="80" t="s">
        <v>23</v>
      </c>
      <c r="H90" s="80"/>
      <c r="I90" s="80"/>
      <c r="J90" s="80"/>
      <c r="K90" s="80"/>
      <c r="L90" s="80"/>
    </row>
    <row r="91" spans="1:12" s="11" customFormat="1" x14ac:dyDescent="0.3">
      <c r="A91" s="6">
        <v>91</v>
      </c>
      <c r="B91" s="1359"/>
      <c r="C91" s="478" t="s">
        <v>515</v>
      </c>
      <c r="D91" s="203">
        <f>$D$47*$D$72/1000000</f>
        <v>15.75</v>
      </c>
      <c r="E91" s="144"/>
      <c r="F91" s="144"/>
      <c r="G91" s="49" t="s">
        <v>23</v>
      </c>
      <c r="H91" s="50" t="s">
        <v>629</v>
      </c>
      <c r="I91" s="49" t="s">
        <v>340</v>
      </c>
      <c r="J91" s="49"/>
      <c r="K91" s="49"/>
      <c r="L91" s="49"/>
    </row>
    <row r="92" spans="1:12" x14ac:dyDescent="0.3">
      <c r="A92" s="6">
        <v>92</v>
      </c>
      <c r="B92" s="1359"/>
      <c r="C92" s="479" t="s">
        <v>623</v>
      </c>
      <c r="D92" s="143">
        <f>'Table S1.2 (veins data)'!D251</f>
        <v>4.165E-2</v>
      </c>
      <c r="E92" s="82"/>
      <c r="F92" s="82"/>
      <c r="G92" s="64" t="s">
        <v>23</v>
      </c>
      <c r="H92" s="64" t="s">
        <v>913</v>
      </c>
      <c r="I92" s="64"/>
      <c r="J92" s="64"/>
      <c r="K92" s="64"/>
      <c r="L92" s="64"/>
    </row>
    <row r="93" spans="1:12" x14ac:dyDescent="0.3">
      <c r="A93" s="6">
        <v>93</v>
      </c>
      <c r="B93" s="1359"/>
      <c r="C93" s="480" t="s">
        <v>624</v>
      </c>
      <c r="D93" s="467">
        <f>'Table S1.2 (veins data)'!D252</f>
        <v>4.9556639999999999E-2</v>
      </c>
      <c r="E93" s="393"/>
      <c r="F93" s="393"/>
      <c r="G93" s="394" t="s">
        <v>23</v>
      </c>
      <c r="H93" s="394" t="s">
        <v>913</v>
      </c>
      <c r="I93" s="394"/>
      <c r="J93" s="394"/>
      <c r="K93" s="394"/>
      <c r="L93" s="394"/>
    </row>
    <row r="94" spans="1:12" x14ac:dyDescent="0.3">
      <c r="A94" s="6">
        <v>94</v>
      </c>
      <c r="B94" s="1359"/>
      <c r="C94" s="481" t="s">
        <v>2139</v>
      </c>
      <c r="D94" s="430">
        <f>'Table S1.2 (veins data)'!D253</f>
        <v>3.2572799999999991E-3</v>
      </c>
      <c r="E94" s="430"/>
      <c r="F94" s="430"/>
      <c r="G94" s="431" t="s">
        <v>23</v>
      </c>
      <c r="H94" s="431" t="s">
        <v>913</v>
      </c>
      <c r="I94" s="431"/>
      <c r="J94" s="431"/>
      <c r="K94" s="431"/>
      <c r="L94" s="431"/>
    </row>
    <row r="95" spans="1:12" s="11" customFormat="1" ht="13.8" customHeight="1" x14ac:dyDescent="0.3">
      <c r="A95" s="6">
        <v>95</v>
      </c>
      <c r="B95" s="1359"/>
      <c r="C95" s="478" t="s">
        <v>516</v>
      </c>
      <c r="D95" s="330">
        <f>$D$51*$D$76/1000000</f>
        <v>4.4904000000000002</v>
      </c>
      <c r="E95" s="144"/>
      <c r="F95" s="144"/>
      <c r="G95" s="49" t="s">
        <v>23</v>
      </c>
      <c r="H95" s="50" t="s">
        <v>629</v>
      </c>
      <c r="I95" s="49" t="s">
        <v>340</v>
      </c>
      <c r="J95" s="49"/>
      <c r="K95" s="49"/>
      <c r="L95" s="49"/>
    </row>
    <row r="96" spans="1:12" x14ac:dyDescent="0.3">
      <c r="A96" s="6">
        <v>96</v>
      </c>
      <c r="B96" s="1359"/>
      <c r="C96" s="475" t="s">
        <v>517</v>
      </c>
      <c r="D96" s="141">
        <f>$D$52*$D$77/1000000</f>
        <v>6.2718300000000005E-2</v>
      </c>
      <c r="E96" s="78"/>
      <c r="F96" s="78"/>
      <c r="G96" s="66" t="s">
        <v>23</v>
      </c>
      <c r="H96" s="111" t="s">
        <v>629</v>
      </c>
      <c r="I96" s="66" t="s">
        <v>340</v>
      </c>
      <c r="J96" s="66"/>
      <c r="K96" s="66"/>
      <c r="L96" s="66"/>
    </row>
    <row r="97" spans="1:12" x14ac:dyDescent="0.3">
      <c r="A97" s="6">
        <v>97</v>
      </c>
      <c r="B97" s="1359"/>
      <c r="C97" s="482" t="s">
        <v>518</v>
      </c>
      <c r="D97" s="255">
        <f>$D$53*$D$78/1000000</f>
        <v>0.45600000000000002</v>
      </c>
      <c r="E97" s="78"/>
      <c r="F97" s="78"/>
      <c r="G97" s="66" t="s">
        <v>23</v>
      </c>
      <c r="H97" s="111" t="s">
        <v>629</v>
      </c>
      <c r="I97" s="66" t="s">
        <v>340</v>
      </c>
      <c r="J97" s="66"/>
      <c r="K97" s="66"/>
      <c r="L97" s="66"/>
    </row>
    <row r="98" spans="1:12" x14ac:dyDescent="0.3">
      <c r="A98" s="6">
        <v>98</v>
      </c>
      <c r="B98" s="1359"/>
      <c r="C98" s="473" t="s">
        <v>625</v>
      </c>
      <c r="D98" s="145">
        <f>'Table S1.2 (veins data)'!$D$254</f>
        <v>5.5540800000000001E-2</v>
      </c>
      <c r="E98" s="84"/>
      <c r="F98" s="84"/>
      <c r="G98" s="80" t="s">
        <v>23</v>
      </c>
      <c r="H98" s="80" t="s">
        <v>913</v>
      </c>
      <c r="I98" s="80"/>
      <c r="J98" s="80"/>
      <c r="K98" s="80"/>
      <c r="L98" s="80"/>
    </row>
    <row r="99" spans="1:12" ht="15.65" thickBot="1" x14ac:dyDescent="0.35">
      <c r="A99" s="6">
        <v>99</v>
      </c>
      <c r="B99" s="1360"/>
      <c r="C99" s="483" t="s">
        <v>2138</v>
      </c>
      <c r="D99" s="988">
        <f>'Table S1.2 (veins data)'!$D$255</f>
        <v>1.1973299999999999E-2</v>
      </c>
      <c r="E99" s="432"/>
      <c r="F99" s="432"/>
      <c r="G99" s="433" t="s">
        <v>23</v>
      </c>
      <c r="H99" s="433" t="s">
        <v>913</v>
      </c>
      <c r="I99" s="433"/>
      <c r="J99" s="433"/>
      <c r="K99" s="433"/>
      <c r="L99" s="433"/>
    </row>
    <row r="100" spans="1:12" ht="15.65" thickBot="1" x14ac:dyDescent="0.35">
      <c r="A100" s="6">
        <v>100</v>
      </c>
      <c r="B100" s="30"/>
      <c r="D100" s="2"/>
      <c r="E100" s="2"/>
      <c r="F100" s="2"/>
    </row>
    <row r="101" spans="1:12" ht="15.65" thickBot="1" x14ac:dyDescent="0.35">
      <c r="A101" s="6">
        <v>101</v>
      </c>
      <c r="B101" s="326"/>
      <c r="C101" s="118" t="s">
        <v>2137</v>
      </c>
      <c r="D101" s="335">
        <f>$D$85+$D$86+$D$87+$D$88+$D$91+$D$92+$D$93+$D$94+$D$95+$D$96+$D$97+$D$98+$D$99</f>
        <v>24.372947320000002</v>
      </c>
      <c r="E101" s="303"/>
      <c r="F101" s="303"/>
      <c r="G101" s="120" t="s">
        <v>23</v>
      </c>
      <c r="H101" s="112" t="s">
        <v>629</v>
      </c>
      <c r="J101" s="2" t="s">
        <v>1897</v>
      </c>
    </row>
    <row r="102" spans="1:12" ht="15.65" thickBot="1" x14ac:dyDescent="0.35">
      <c r="A102" s="6">
        <v>102</v>
      </c>
      <c r="B102" s="131"/>
      <c r="D102" s="2"/>
      <c r="E102" s="2"/>
      <c r="F102" s="2"/>
      <c r="H102" s="112"/>
    </row>
    <row r="103" spans="1:12" s="11" customFormat="1" x14ac:dyDescent="0.3">
      <c r="A103" s="6">
        <v>103</v>
      </c>
      <c r="B103" s="1363" t="s">
        <v>1173</v>
      </c>
      <c r="C103" s="472" t="s">
        <v>1169</v>
      </c>
      <c r="D103" s="430">
        <f>'Table S1.2 (veins data)'!$D$263</f>
        <v>3.2572799999999991E-3</v>
      </c>
      <c r="E103" s="430"/>
      <c r="F103" s="430"/>
      <c r="G103" s="375" t="s">
        <v>23</v>
      </c>
      <c r="H103" s="431" t="s">
        <v>913</v>
      </c>
      <c r="I103" s="431"/>
      <c r="J103" s="431"/>
      <c r="K103" s="431"/>
      <c r="L103" s="431"/>
    </row>
    <row r="104" spans="1:12" s="11" customFormat="1" ht="15.65" thickBot="1" x14ac:dyDescent="0.35">
      <c r="A104" s="6">
        <v>104</v>
      </c>
      <c r="B104" s="1364"/>
      <c r="C104" s="473" t="s">
        <v>1170</v>
      </c>
      <c r="D104" s="84">
        <f>'Table S1.2 (veins data)'!$D$264</f>
        <v>1.1973299999999999E-2</v>
      </c>
      <c r="E104" s="84"/>
      <c r="F104" s="84"/>
      <c r="G104" s="80" t="s">
        <v>23</v>
      </c>
      <c r="H104" s="80" t="s">
        <v>913</v>
      </c>
      <c r="I104" s="80"/>
      <c r="J104" s="80"/>
      <c r="K104" s="80"/>
      <c r="L104" s="80"/>
    </row>
    <row r="105" spans="1:12" ht="15.65" thickBot="1" x14ac:dyDescent="0.35">
      <c r="A105" s="6">
        <v>105</v>
      </c>
      <c r="B105" s="485"/>
      <c r="D105" s="2"/>
      <c r="E105" s="2"/>
      <c r="F105" s="2"/>
      <c r="H105" s="112"/>
    </row>
    <row r="106" spans="1:12" s="11" customFormat="1" ht="15.65" thickBot="1" x14ac:dyDescent="0.35">
      <c r="A106" s="6">
        <v>106</v>
      </c>
      <c r="B106" s="1363" t="s">
        <v>1171</v>
      </c>
      <c r="C106" s="484" t="s">
        <v>1172</v>
      </c>
      <c r="D106" s="747"/>
      <c r="E106" s="123"/>
      <c r="F106" s="123"/>
      <c r="G106" s="122"/>
      <c r="H106" s="122"/>
      <c r="I106" s="122"/>
      <c r="J106" s="122"/>
      <c r="K106" s="743"/>
      <c r="L106" s="122"/>
    </row>
    <row r="107" spans="1:12" s="11" customFormat="1" ht="16.3" thickTop="1" thickBot="1" x14ac:dyDescent="0.35">
      <c r="A107" s="6">
        <v>107</v>
      </c>
      <c r="B107" s="1365"/>
      <c r="C107" s="748" t="s">
        <v>947</v>
      </c>
      <c r="D107" s="1166">
        <v>21.4</v>
      </c>
      <c r="E107" s="1167">
        <v>1.6</v>
      </c>
      <c r="F107" s="1195"/>
      <c r="G107" s="11" t="s">
        <v>948</v>
      </c>
      <c r="H107" s="11" t="s">
        <v>136</v>
      </c>
      <c r="J107" s="745" t="s">
        <v>2375</v>
      </c>
      <c r="K107" s="746" t="s">
        <v>1368</v>
      </c>
      <c r="L107" s="736" t="s">
        <v>651</v>
      </c>
    </row>
    <row r="108" spans="1:12" s="11" customFormat="1" ht="16.3" thickTop="1" thickBot="1" x14ac:dyDescent="0.35">
      <c r="A108" s="6">
        <v>108</v>
      </c>
      <c r="B108" s="1364"/>
      <c r="C108" s="274" t="s">
        <v>519</v>
      </c>
      <c r="D108" s="468">
        <f>$D$107/$D$17</f>
        <v>0.4708</v>
      </c>
      <c r="E108" s="139"/>
      <c r="F108" s="139"/>
      <c r="G108" s="11" t="s">
        <v>23</v>
      </c>
      <c r="H108" s="4" t="s">
        <v>629</v>
      </c>
      <c r="I108" s="11" t="s">
        <v>2376</v>
      </c>
      <c r="K108" s="125"/>
    </row>
    <row r="109" spans="1:12" s="11" customFormat="1" ht="15.65" thickBot="1" x14ac:dyDescent="0.35">
      <c r="A109" s="6">
        <v>109</v>
      </c>
      <c r="B109" s="125"/>
      <c r="C109" s="124"/>
      <c r="D109" s="114"/>
      <c r="E109" s="114"/>
      <c r="F109" s="114"/>
      <c r="G109" s="115"/>
    </row>
    <row r="110" spans="1:12" s="11" customFormat="1" ht="15.65" thickBot="1" x14ac:dyDescent="0.35">
      <c r="A110" s="6">
        <v>110</v>
      </c>
      <c r="C110" s="127" t="s">
        <v>2109</v>
      </c>
      <c r="D110" s="554">
        <f>$D$101+$D$108</f>
        <v>24.843747320000002</v>
      </c>
      <c r="E110" s="304"/>
      <c r="F110" s="304"/>
      <c r="G110" s="129" t="s">
        <v>23</v>
      </c>
      <c r="H110" s="112" t="s">
        <v>629</v>
      </c>
      <c r="I110" s="2" t="s">
        <v>2374</v>
      </c>
    </row>
    <row r="111" spans="1:12" s="11" customFormat="1" ht="15.65" thickBot="1" x14ac:dyDescent="0.35">
      <c r="A111" s="6">
        <v>111</v>
      </c>
      <c r="B111" s="115"/>
      <c r="C111" s="116"/>
      <c r="D111" s="749"/>
      <c r="E111" s="116"/>
      <c r="F111" s="116"/>
      <c r="G111" s="116"/>
      <c r="H111" s="112"/>
      <c r="I111" s="2"/>
    </row>
    <row r="112" spans="1:12" s="11" customFormat="1" ht="16.3" thickTop="1" thickBot="1" x14ac:dyDescent="0.35">
      <c r="A112" s="6">
        <v>112</v>
      </c>
      <c r="B112" s="1366" t="s">
        <v>1174</v>
      </c>
      <c r="C112" s="751" t="s">
        <v>520</v>
      </c>
      <c r="D112" s="1125">
        <f>(4/88)*$D$6</f>
        <v>5.5</v>
      </c>
      <c r="E112" s="750"/>
      <c r="F112" s="1196"/>
      <c r="G112" s="54" t="s">
        <v>23</v>
      </c>
      <c r="H112" s="133" t="s">
        <v>629</v>
      </c>
      <c r="I112" s="157" t="s">
        <v>1175</v>
      </c>
      <c r="J112" s="157" t="s">
        <v>1897</v>
      </c>
      <c r="K112" s="157" t="s">
        <v>1897</v>
      </c>
      <c r="L112" s="157" t="s">
        <v>1897</v>
      </c>
    </row>
    <row r="113" spans="1:13" s="11" customFormat="1" ht="16.3" thickTop="1" thickBot="1" x14ac:dyDescent="0.35">
      <c r="A113" s="6">
        <v>113</v>
      </c>
      <c r="B113" s="1367"/>
      <c r="C113" s="751" t="s">
        <v>521</v>
      </c>
      <c r="D113" s="1168">
        <f>(8/88)*$D$6</f>
        <v>11</v>
      </c>
      <c r="E113" s="752"/>
      <c r="F113" s="1197"/>
      <c r="G113" s="54" t="s">
        <v>23</v>
      </c>
      <c r="H113" s="133" t="s">
        <v>629</v>
      </c>
      <c r="I113" s="157" t="s">
        <v>1176</v>
      </c>
      <c r="J113" s="54" t="s">
        <v>1897</v>
      </c>
      <c r="K113" s="54" t="s">
        <v>1897</v>
      </c>
      <c r="L113" s="54" t="s">
        <v>1897</v>
      </c>
      <c r="M113" s="1159"/>
    </row>
    <row r="114" spans="1:13" s="11" customFormat="1" ht="16.3" thickTop="1" thickBot="1" x14ac:dyDescent="0.35">
      <c r="A114" s="6">
        <v>114</v>
      </c>
      <c r="B114" s="1368"/>
      <c r="C114" s="755" t="s">
        <v>522</v>
      </c>
      <c r="D114" s="1124">
        <f>$D$112+$D$113</f>
        <v>16.5</v>
      </c>
      <c r="E114" s="753"/>
      <c r="F114" s="1198"/>
      <c r="G114" s="54" t="s">
        <v>23</v>
      </c>
      <c r="H114" s="133" t="s">
        <v>629</v>
      </c>
      <c r="I114" s="54"/>
      <c r="J114" s="54"/>
      <c r="K114" s="54"/>
      <c r="L114" s="54"/>
      <c r="M114" s="1159"/>
    </row>
    <row r="115" spans="1:13" s="124" customFormat="1" ht="16.3" thickTop="1" thickBot="1" x14ac:dyDescent="0.35">
      <c r="A115" s="6">
        <v>115</v>
      </c>
      <c r="B115" s="288"/>
      <c r="D115" s="754"/>
      <c r="M115" s="1159"/>
    </row>
    <row r="116" spans="1:13" s="11" customFormat="1" ht="15.65" thickBot="1" x14ac:dyDescent="0.35">
      <c r="A116" s="6">
        <v>116</v>
      </c>
      <c r="B116" s="150"/>
      <c r="C116" s="130" t="s">
        <v>1177</v>
      </c>
      <c r="D116" s="554">
        <f>$D$101+$D$108+$D$114</f>
        <v>41.343747320000006</v>
      </c>
      <c r="E116" s="304"/>
      <c r="F116" s="304"/>
      <c r="G116" s="129" t="s">
        <v>23</v>
      </c>
      <c r="H116" s="4" t="s">
        <v>629</v>
      </c>
      <c r="M116" s="1159"/>
    </row>
    <row r="117" spans="1:13" s="11" customFormat="1" x14ac:dyDescent="0.3">
      <c r="A117" s="6">
        <v>117</v>
      </c>
      <c r="B117" s="150"/>
      <c r="C117" s="150"/>
      <c r="D117" s="148"/>
      <c r="E117" s="305"/>
      <c r="F117" s="305"/>
      <c r="G117" s="151"/>
      <c r="H117" s="4"/>
      <c r="M117" s="1159"/>
    </row>
    <row r="118" spans="1:13" x14ac:dyDescent="0.3">
      <c r="A118" s="6">
        <v>118</v>
      </c>
      <c r="B118" s="24"/>
      <c r="C118" s="24" t="s">
        <v>1178</v>
      </c>
      <c r="D118" s="24"/>
      <c r="E118" s="24"/>
      <c r="F118" s="24"/>
      <c r="G118" s="24"/>
      <c r="H118" s="24"/>
      <c r="I118" s="24"/>
      <c r="J118" s="24"/>
      <c r="K118" s="24"/>
      <c r="L118" s="24"/>
      <c r="M118" s="1159"/>
    </row>
    <row r="119" spans="1:13" ht="15.65" thickBot="1" x14ac:dyDescent="0.35">
      <c r="A119" s="6">
        <v>119</v>
      </c>
      <c r="B119" s="131"/>
      <c r="C119" s="6"/>
      <c r="D119" s="75"/>
      <c r="E119" s="75"/>
      <c r="F119" s="75"/>
    </row>
    <row r="120" spans="1:13" ht="15.05" customHeight="1" x14ac:dyDescent="0.3">
      <c r="A120" s="6">
        <v>120</v>
      </c>
      <c r="B120" s="1358" t="s">
        <v>1552</v>
      </c>
      <c r="C120" s="475" t="s">
        <v>503</v>
      </c>
      <c r="D120" s="204">
        <f>ROUND(($D$85/$D$6)*1000000,-2)</f>
        <v>9100</v>
      </c>
      <c r="E120" s="141"/>
      <c r="F120" s="141"/>
      <c r="G120" s="66" t="s">
        <v>504</v>
      </c>
      <c r="H120" s="111" t="s">
        <v>629</v>
      </c>
      <c r="I120" s="66"/>
      <c r="J120" s="66"/>
      <c r="K120" s="66"/>
      <c r="L120" s="66"/>
      <c r="M120" s="1159"/>
    </row>
    <row r="121" spans="1:13" x14ac:dyDescent="0.3">
      <c r="A121" s="6">
        <v>121</v>
      </c>
      <c r="B121" s="1359"/>
      <c r="C121" s="475" t="s">
        <v>609</v>
      </c>
      <c r="D121" s="204">
        <f>ROUND(($D$86/$D$6)*1000000,-2)</f>
        <v>13800</v>
      </c>
      <c r="E121" s="141"/>
      <c r="F121" s="141"/>
      <c r="G121" s="66" t="s">
        <v>504</v>
      </c>
      <c r="H121" s="111" t="s">
        <v>629</v>
      </c>
      <c r="I121" s="66"/>
      <c r="J121" s="66"/>
      <c r="K121" s="66"/>
      <c r="L121" s="66"/>
      <c r="M121" s="1159"/>
    </row>
    <row r="122" spans="1:13" x14ac:dyDescent="0.3">
      <c r="A122" s="6">
        <v>122</v>
      </c>
      <c r="B122" s="1359"/>
      <c r="C122" s="475" t="s">
        <v>610</v>
      </c>
      <c r="D122" s="204">
        <f>ROUND(($D$87/$D$6)*1000000,-1)</f>
        <v>240</v>
      </c>
      <c r="E122" s="141"/>
      <c r="F122" s="141"/>
      <c r="G122" s="66" t="s">
        <v>504</v>
      </c>
      <c r="H122" s="111" t="s">
        <v>629</v>
      </c>
      <c r="I122" s="66"/>
      <c r="J122" s="66"/>
      <c r="K122" s="66"/>
      <c r="L122" s="66"/>
      <c r="M122" s="1159"/>
    </row>
    <row r="123" spans="1:13" x14ac:dyDescent="0.3">
      <c r="A123" s="6">
        <v>123</v>
      </c>
      <c r="B123" s="1359"/>
      <c r="C123" s="476" t="s">
        <v>611</v>
      </c>
      <c r="D123" s="253">
        <f>ROUND('Table S1.2 (veins data)'!$D$298,-2)</f>
        <v>5300</v>
      </c>
      <c r="E123" s="213"/>
      <c r="F123" s="213"/>
      <c r="G123" s="55" t="s">
        <v>504</v>
      </c>
      <c r="H123" s="55" t="s">
        <v>913</v>
      </c>
      <c r="I123" s="55"/>
      <c r="J123" s="55"/>
      <c r="K123" s="55"/>
      <c r="L123" s="55"/>
      <c r="M123" s="1159"/>
    </row>
    <row r="124" spans="1:13" x14ac:dyDescent="0.3">
      <c r="A124" s="6">
        <v>124</v>
      </c>
      <c r="B124" s="1359"/>
      <c r="C124" s="477" t="s">
        <v>1140</v>
      </c>
      <c r="D124" s="651" t="s">
        <v>1833</v>
      </c>
      <c r="E124" s="68"/>
      <c r="F124" s="68"/>
      <c r="G124" s="68"/>
      <c r="H124" s="68"/>
      <c r="I124" s="68"/>
      <c r="J124" s="68"/>
      <c r="K124" s="68"/>
      <c r="L124" s="68"/>
    </row>
    <row r="125" spans="1:13" x14ac:dyDescent="0.3">
      <c r="A125" s="6">
        <v>125</v>
      </c>
      <c r="B125" s="1359"/>
      <c r="C125" s="473" t="s">
        <v>612</v>
      </c>
      <c r="D125" s="653" t="s">
        <v>1833</v>
      </c>
      <c r="E125" s="59"/>
      <c r="F125" s="59"/>
      <c r="G125" s="59"/>
      <c r="H125" s="59"/>
      <c r="I125" s="59"/>
      <c r="J125" s="59"/>
      <c r="K125" s="59"/>
      <c r="L125" s="59"/>
    </row>
    <row r="126" spans="1:13" x14ac:dyDescent="0.3">
      <c r="A126" s="6">
        <v>126</v>
      </c>
      <c r="B126" s="1359"/>
      <c r="C126" s="478" t="s">
        <v>613</v>
      </c>
      <c r="D126" s="203">
        <f>ROUND(($D$91/$D$6)*1000000,-3)</f>
        <v>130000</v>
      </c>
      <c r="E126" s="86"/>
      <c r="F126" s="86"/>
      <c r="G126" s="49" t="s">
        <v>504</v>
      </c>
      <c r="H126" s="50" t="s">
        <v>629</v>
      </c>
      <c r="I126" s="49"/>
      <c r="J126" s="49"/>
      <c r="K126" s="49"/>
      <c r="L126" s="49"/>
      <c r="M126" s="1159"/>
    </row>
    <row r="127" spans="1:13" x14ac:dyDescent="0.3">
      <c r="A127" s="6">
        <v>127</v>
      </c>
      <c r="B127" s="1359"/>
      <c r="C127" s="479" t="s">
        <v>614</v>
      </c>
      <c r="D127" s="201">
        <f>'Table S1.2 (veins data)'!D300</f>
        <v>340</v>
      </c>
      <c r="E127" s="254"/>
      <c r="F127" s="254"/>
      <c r="G127" s="53" t="s">
        <v>504</v>
      </c>
      <c r="H127" s="53" t="s">
        <v>913</v>
      </c>
      <c r="I127" s="53"/>
      <c r="J127" s="53"/>
      <c r="K127" s="53"/>
      <c r="L127" s="53"/>
      <c r="M127" s="1159"/>
    </row>
    <row r="128" spans="1:13" x14ac:dyDescent="0.3">
      <c r="A128" s="6">
        <v>128</v>
      </c>
      <c r="B128" s="1359"/>
      <c r="C128" s="480" t="s">
        <v>615</v>
      </c>
      <c r="D128" s="343">
        <f>'Table S1.2 (veins data)'!D301</f>
        <v>410</v>
      </c>
      <c r="E128" s="395"/>
      <c r="F128" s="395"/>
      <c r="G128" s="166" t="s">
        <v>504</v>
      </c>
      <c r="H128" s="166" t="s">
        <v>913</v>
      </c>
      <c r="I128" s="166"/>
      <c r="J128" s="166"/>
      <c r="K128" s="166"/>
      <c r="L128" s="166"/>
      <c r="M128" s="1159"/>
    </row>
    <row r="129" spans="1:13" x14ac:dyDescent="0.3">
      <c r="A129" s="6">
        <v>129</v>
      </c>
      <c r="B129" s="1359"/>
      <c r="C129" s="481" t="s">
        <v>616</v>
      </c>
      <c r="D129" s="345">
        <f>'Table S1.2 (veins data)'!$D$302</f>
        <v>26.919669421487598</v>
      </c>
      <c r="E129" s="435"/>
      <c r="F129" s="435"/>
      <c r="G129" s="375" t="s">
        <v>504</v>
      </c>
      <c r="H129" s="375" t="s">
        <v>913</v>
      </c>
      <c r="I129" s="375"/>
      <c r="J129" s="375"/>
      <c r="K129" s="375"/>
      <c r="L129" s="375"/>
      <c r="M129" s="1159"/>
    </row>
    <row r="130" spans="1:13" x14ac:dyDescent="0.3">
      <c r="A130" s="6">
        <v>130</v>
      </c>
      <c r="B130" s="1359"/>
      <c r="C130" s="478" t="s">
        <v>617</v>
      </c>
      <c r="D130" s="203">
        <f>ROUND(($D$95/$D$6)*1000000,-3)</f>
        <v>37000</v>
      </c>
      <c r="E130" s="144"/>
      <c r="F130" s="144"/>
      <c r="G130" s="49" t="s">
        <v>504</v>
      </c>
      <c r="H130" s="49"/>
      <c r="I130" s="49"/>
      <c r="J130" s="49"/>
      <c r="K130" s="49"/>
      <c r="L130" s="49"/>
      <c r="M130" s="1159"/>
    </row>
    <row r="131" spans="1:13" x14ac:dyDescent="0.3">
      <c r="A131" s="6">
        <v>131</v>
      </c>
      <c r="B131" s="1359"/>
      <c r="C131" s="475" t="s">
        <v>618</v>
      </c>
      <c r="D131" s="204">
        <f>ROUND(($D$96/$D$6)*1000000,-1)</f>
        <v>520</v>
      </c>
      <c r="E131" s="255"/>
      <c r="F131" s="255"/>
      <c r="G131" s="66" t="s">
        <v>504</v>
      </c>
      <c r="H131" s="111" t="s">
        <v>629</v>
      </c>
      <c r="I131" s="66"/>
      <c r="J131" s="66"/>
      <c r="K131" s="66"/>
      <c r="L131" s="66"/>
      <c r="M131" s="1159"/>
    </row>
    <row r="132" spans="1:13" x14ac:dyDescent="0.3">
      <c r="A132" s="6">
        <v>132</v>
      </c>
      <c r="B132" s="1359"/>
      <c r="C132" s="482" t="s">
        <v>619</v>
      </c>
      <c r="D132" s="204">
        <f>ROUND(($D$97/$D$6)*1000000,-2)</f>
        <v>3800</v>
      </c>
      <c r="E132" s="255"/>
      <c r="F132" s="255"/>
      <c r="G132" s="66" t="s">
        <v>504</v>
      </c>
      <c r="H132" s="111" t="s">
        <v>629</v>
      </c>
      <c r="I132" s="66"/>
      <c r="J132" s="66"/>
      <c r="K132" s="66"/>
      <c r="L132" s="66"/>
      <c r="M132" s="1159"/>
    </row>
    <row r="133" spans="1:13" x14ac:dyDescent="0.3">
      <c r="A133" s="6">
        <v>133</v>
      </c>
      <c r="B133" s="1359"/>
      <c r="C133" s="473" t="s">
        <v>620</v>
      </c>
      <c r="D133" s="206">
        <f>'Table S1.2 (veins data)'!D303</f>
        <v>460</v>
      </c>
      <c r="E133" s="202"/>
      <c r="F133" s="202"/>
      <c r="G133" s="3" t="s">
        <v>504</v>
      </c>
      <c r="H133" s="3" t="s">
        <v>913</v>
      </c>
      <c r="I133" s="3"/>
      <c r="J133" s="3"/>
      <c r="K133" s="3"/>
      <c r="L133" s="3"/>
      <c r="M133" s="1159"/>
    </row>
    <row r="134" spans="1:13" ht="15.65" thickBot="1" x14ac:dyDescent="0.35">
      <c r="A134" s="6">
        <v>134</v>
      </c>
      <c r="B134" s="1360"/>
      <c r="C134" s="483" t="s">
        <v>2140</v>
      </c>
      <c r="D134" s="350">
        <f>'Table S1.2 (veins data)'!D304</f>
        <v>100</v>
      </c>
      <c r="E134" s="987"/>
      <c r="F134" s="987"/>
      <c r="G134" s="376" t="s">
        <v>504</v>
      </c>
      <c r="H134" s="376" t="s">
        <v>913</v>
      </c>
      <c r="I134" s="376"/>
      <c r="J134" s="376"/>
      <c r="K134" s="376"/>
      <c r="L134" s="376"/>
      <c r="M134" s="1159"/>
    </row>
    <row r="135" spans="1:13" s="11" customFormat="1" ht="15.65" thickBot="1" x14ac:dyDescent="0.35">
      <c r="A135" s="6">
        <v>135</v>
      </c>
      <c r="B135" s="489"/>
      <c r="C135" s="113"/>
      <c r="D135" s="146"/>
      <c r="E135" s="146"/>
      <c r="F135" s="146"/>
      <c r="G135" s="115"/>
    </row>
    <row r="136" spans="1:13" ht="15.65" thickBot="1" x14ac:dyDescent="0.35">
      <c r="A136" s="6">
        <v>136</v>
      </c>
      <c r="B136" s="326"/>
      <c r="C136" s="118" t="s">
        <v>621</v>
      </c>
      <c r="D136" s="256">
        <f>ROUND(SUM(D120:D123)+SUM(D126:D133),-3)</f>
        <v>201000</v>
      </c>
      <c r="E136" s="306"/>
      <c r="F136" s="306"/>
      <c r="G136" s="120" t="s">
        <v>504</v>
      </c>
      <c r="H136" s="112" t="s">
        <v>629</v>
      </c>
      <c r="M136" s="1159"/>
    </row>
    <row r="137" spans="1:13" ht="15.65" thickBot="1" x14ac:dyDescent="0.35">
      <c r="A137" s="6">
        <v>137</v>
      </c>
      <c r="B137" s="131"/>
      <c r="C137" s="6"/>
      <c r="D137" s="75"/>
      <c r="E137" s="75"/>
      <c r="F137" s="75"/>
      <c r="G137" s="1"/>
      <c r="H137" s="46"/>
      <c r="I137" s="46"/>
    </row>
    <row r="138" spans="1:13" ht="15.05" customHeight="1" x14ac:dyDescent="0.3">
      <c r="A138" s="6">
        <v>138</v>
      </c>
      <c r="B138" s="1369" t="s">
        <v>1559</v>
      </c>
      <c r="C138" s="486" t="s">
        <v>949</v>
      </c>
      <c r="D138" s="204">
        <f>$D$17*$D$85</f>
        <v>50.256818181818183</v>
      </c>
      <c r="E138" s="141"/>
      <c r="F138" s="141"/>
      <c r="G138" s="66" t="s">
        <v>948</v>
      </c>
      <c r="H138" s="111" t="s">
        <v>629</v>
      </c>
      <c r="I138" s="66"/>
      <c r="J138" s="66"/>
      <c r="K138" s="66"/>
      <c r="L138" s="66"/>
      <c r="M138" s="1159"/>
    </row>
    <row r="139" spans="1:13" x14ac:dyDescent="0.3">
      <c r="A139" s="6">
        <v>139</v>
      </c>
      <c r="B139" s="1370"/>
      <c r="C139" s="486" t="s">
        <v>950</v>
      </c>
      <c r="D139" s="204">
        <f>$D$17*$D$86</f>
        <v>76.05</v>
      </c>
      <c r="E139" s="141"/>
      <c r="F139" s="141"/>
      <c r="G139" s="66" t="s">
        <v>948</v>
      </c>
      <c r="H139" s="111" t="s">
        <v>629</v>
      </c>
      <c r="I139" s="66"/>
      <c r="J139" s="66"/>
      <c r="K139" s="66"/>
      <c r="L139" s="66"/>
      <c r="M139" s="1159"/>
    </row>
    <row r="140" spans="1:13" x14ac:dyDescent="0.3">
      <c r="A140" s="6">
        <v>140</v>
      </c>
      <c r="B140" s="1370"/>
      <c r="C140" s="486" t="s">
        <v>951</v>
      </c>
      <c r="D140" s="204">
        <f>$D$17*$D$87</f>
        <v>1.3090909090909091</v>
      </c>
      <c r="E140" s="141"/>
      <c r="F140" s="141"/>
      <c r="G140" s="66" t="s">
        <v>948</v>
      </c>
      <c r="H140" s="111" t="s">
        <v>629</v>
      </c>
      <c r="I140" s="66"/>
      <c r="J140" s="66"/>
      <c r="K140" s="66"/>
      <c r="L140" s="66"/>
      <c r="M140" s="1159"/>
    </row>
    <row r="141" spans="1:13" x14ac:dyDescent="0.3">
      <c r="A141" s="6">
        <v>141</v>
      </c>
      <c r="B141" s="1370"/>
      <c r="C141" s="476" t="s">
        <v>952</v>
      </c>
      <c r="D141" s="329">
        <f>'Table S1.2 (veins data)'!$D$268</f>
        <v>29.286409090909089</v>
      </c>
      <c r="E141" s="214"/>
      <c r="F141" s="214"/>
      <c r="G141" s="55" t="s">
        <v>948</v>
      </c>
      <c r="H141" s="55" t="s">
        <v>913</v>
      </c>
      <c r="I141" s="55"/>
      <c r="J141" s="55"/>
      <c r="K141" s="55"/>
      <c r="L141" s="55"/>
      <c r="M141" s="1159"/>
    </row>
    <row r="142" spans="1:13" x14ac:dyDescent="0.3">
      <c r="A142" s="6">
        <v>142</v>
      </c>
      <c r="B142" s="1370"/>
      <c r="C142" s="477" t="s">
        <v>1141</v>
      </c>
      <c r="D142" s="651" t="s">
        <v>1833</v>
      </c>
      <c r="E142" s="68"/>
      <c r="F142" s="68"/>
      <c r="G142" s="68" t="s">
        <v>948</v>
      </c>
      <c r="H142" s="68"/>
      <c r="I142" s="68"/>
      <c r="J142" s="68"/>
      <c r="K142" s="68"/>
      <c r="L142" s="68"/>
    </row>
    <row r="143" spans="1:13" x14ac:dyDescent="0.3">
      <c r="A143" s="6">
        <v>143</v>
      </c>
      <c r="B143" s="1370"/>
      <c r="C143" s="487" t="s">
        <v>953</v>
      </c>
      <c r="D143" s="652" t="s">
        <v>1833</v>
      </c>
      <c r="E143" s="80"/>
      <c r="F143" s="80"/>
      <c r="G143" s="52" t="s">
        <v>948</v>
      </c>
      <c r="H143" s="52"/>
      <c r="I143" s="52"/>
      <c r="J143" s="52"/>
      <c r="K143" s="52"/>
      <c r="L143" s="52"/>
    </row>
    <row r="144" spans="1:13" x14ac:dyDescent="0.3">
      <c r="A144" s="6">
        <v>144</v>
      </c>
      <c r="B144" s="1370"/>
      <c r="C144" s="478" t="s">
        <v>954</v>
      </c>
      <c r="D144" s="203">
        <f>ROUND($D$17*$D$91,-1)</f>
        <v>720</v>
      </c>
      <c r="E144" s="144"/>
      <c r="F144" s="144"/>
      <c r="G144" s="49" t="s">
        <v>948</v>
      </c>
      <c r="H144" s="50" t="s">
        <v>629</v>
      </c>
      <c r="I144" s="49"/>
      <c r="J144" s="49"/>
      <c r="K144" s="49"/>
      <c r="L144" s="49"/>
      <c r="M144" s="1159"/>
    </row>
    <row r="145" spans="1:13" x14ac:dyDescent="0.3">
      <c r="A145" s="6">
        <v>145</v>
      </c>
      <c r="B145" s="1370"/>
      <c r="C145" s="488" t="s">
        <v>955</v>
      </c>
      <c r="D145" s="254">
        <f>'Table S1.2 (veins data)'!D270</f>
        <v>1.8931818181818181</v>
      </c>
      <c r="E145" s="143"/>
      <c r="F145" s="143"/>
      <c r="G145" s="64" t="s">
        <v>948</v>
      </c>
      <c r="H145" s="51" t="s">
        <v>629</v>
      </c>
      <c r="I145" s="51"/>
      <c r="J145" s="51"/>
      <c r="K145" s="51"/>
      <c r="L145" s="51"/>
      <c r="M145" s="1159"/>
    </row>
    <row r="146" spans="1:13" x14ac:dyDescent="0.3">
      <c r="A146" s="6">
        <v>146</v>
      </c>
      <c r="B146" s="1370"/>
      <c r="C146" s="488" t="s">
        <v>956</v>
      </c>
      <c r="D146" s="254">
        <f>'Table S1.2 (veins data)'!D271</f>
        <v>2.2525745454545452</v>
      </c>
      <c r="E146" s="143"/>
      <c r="F146" s="143"/>
      <c r="G146" s="64" t="s">
        <v>948</v>
      </c>
      <c r="H146" s="64" t="s">
        <v>913</v>
      </c>
      <c r="I146" s="51"/>
      <c r="J146" s="51"/>
      <c r="K146" s="51"/>
      <c r="L146" s="51"/>
      <c r="M146" s="1159"/>
    </row>
    <row r="147" spans="1:13" x14ac:dyDescent="0.3">
      <c r="A147" s="6">
        <v>147</v>
      </c>
      <c r="B147" s="1370"/>
      <c r="C147" s="472" t="s">
        <v>957</v>
      </c>
      <c r="D147" s="435">
        <f>'Table S1.2 (veins data)'!D272</f>
        <v>0.14805818181818178</v>
      </c>
      <c r="E147" s="436"/>
      <c r="F147" s="436"/>
      <c r="G147" s="431" t="s">
        <v>948</v>
      </c>
      <c r="H147" s="431" t="s">
        <v>913</v>
      </c>
      <c r="I147" s="425"/>
      <c r="J147" s="425"/>
      <c r="K147" s="425"/>
      <c r="L147" s="425"/>
      <c r="M147" s="1159"/>
    </row>
    <row r="148" spans="1:13" x14ac:dyDescent="0.3">
      <c r="A148" s="6">
        <v>148</v>
      </c>
      <c r="B148" s="1370"/>
      <c r="C148" s="478" t="s">
        <v>958</v>
      </c>
      <c r="D148" s="203">
        <f>ROUND($D$17*$D$95,-1)</f>
        <v>200</v>
      </c>
      <c r="E148" s="144"/>
      <c r="F148" s="144"/>
      <c r="G148" s="49" t="s">
        <v>948</v>
      </c>
      <c r="H148" s="50" t="s">
        <v>629</v>
      </c>
      <c r="I148" s="49"/>
      <c r="J148" s="49"/>
      <c r="K148" s="49"/>
      <c r="L148" s="49"/>
      <c r="M148" s="1159"/>
    </row>
    <row r="149" spans="1:13" x14ac:dyDescent="0.3">
      <c r="A149" s="6">
        <v>149</v>
      </c>
      <c r="B149" s="1370"/>
      <c r="C149" s="486" t="s">
        <v>959</v>
      </c>
      <c r="D149" s="255">
        <f>$D$17*$D$96</f>
        <v>2.8508318181818182</v>
      </c>
      <c r="E149" s="141"/>
      <c r="F149" s="141"/>
      <c r="G149" s="66" t="s">
        <v>948</v>
      </c>
      <c r="H149" s="111" t="s">
        <v>629</v>
      </c>
      <c r="I149" s="66"/>
      <c r="J149" s="66"/>
      <c r="K149" s="66"/>
      <c r="L149" s="66"/>
      <c r="M149" s="1159"/>
    </row>
    <row r="150" spans="1:13" x14ac:dyDescent="0.3">
      <c r="A150" s="6">
        <v>150</v>
      </c>
      <c r="B150" s="1370"/>
      <c r="C150" s="486" t="s">
        <v>960</v>
      </c>
      <c r="D150" s="255">
        <f>$D$17*$D$97</f>
        <v>20.727272727272727</v>
      </c>
      <c r="E150" s="141"/>
      <c r="F150" s="141"/>
      <c r="G150" s="66" t="s">
        <v>948</v>
      </c>
      <c r="H150" s="111" t="s">
        <v>629</v>
      </c>
      <c r="I150" s="66"/>
      <c r="J150" s="66"/>
      <c r="K150" s="66"/>
      <c r="L150" s="66"/>
      <c r="M150" s="1159"/>
    </row>
    <row r="151" spans="1:13" x14ac:dyDescent="0.3">
      <c r="A151" s="6">
        <v>151</v>
      </c>
      <c r="B151" s="1370"/>
      <c r="C151" s="487" t="s">
        <v>961</v>
      </c>
      <c r="D151" s="202">
        <f>'Table S1.2 (veins data)'!D273</f>
        <v>2.5245818181818183</v>
      </c>
      <c r="E151" s="145"/>
      <c r="F151" s="145"/>
      <c r="G151" s="52" t="s">
        <v>948</v>
      </c>
      <c r="H151" s="52" t="s">
        <v>913</v>
      </c>
      <c r="I151" s="52"/>
      <c r="J151" s="52"/>
      <c r="K151" s="52"/>
      <c r="L151" s="52"/>
      <c r="M151" s="1159"/>
    </row>
    <row r="152" spans="1:13" x14ac:dyDescent="0.3">
      <c r="A152" s="6">
        <v>152</v>
      </c>
      <c r="B152" s="1370"/>
      <c r="C152" s="587" t="s">
        <v>962</v>
      </c>
      <c r="D152" s="987">
        <f>'Table S1.2 (veins data)'!D274</f>
        <v>0.54424090909090905</v>
      </c>
      <c r="E152" s="988"/>
      <c r="F152" s="988"/>
      <c r="G152" s="381" t="s">
        <v>948</v>
      </c>
      <c r="H152" s="381" t="s">
        <v>913</v>
      </c>
      <c r="I152" s="381"/>
      <c r="J152" s="381"/>
      <c r="K152" s="381"/>
      <c r="L152" s="381"/>
      <c r="M152" s="1159"/>
    </row>
    <row r="153" spans="1:13" s="11" customFormat="1" ht="15.65" customHeight="1" thickBot="1" x14ac:dyDescent="0.35">
      <c r="A153" s="6">
        <v>153</v>
      </c>
      <c r="B153" s="1370"/>
      <c r="C153" s="490"/>
      <c r="D153" s="491"/>
      <c r="E153" s="114"/>
      <c r="F153" s="1199"/>
      <c r="G153" s="492"/>
      <c r="H153" s="4"/>
    </row>
    <row r="154" spans="1:13" ht="15.65" thickBot="1" x14ac:dyDescent="0.35">
      <c r="A154" s="6">
        <v>154</v>
      </c>
      <c r="B154" s="1370"/>
      <c r="C154" s="137" t="s">
        <v>2141</v>
      </c>
      <c r="D154" s="256">
        <f>ROUND(SUM(D138:D152),-2)</f>
        <v>1100</v>
      </c>
      <c r="E154" s="493"/>
      <c r="F154" s="303"/>
      <c r="G154" s="120" t="s">
        <v>948</v>
      </c>
      <c r="H154" s="112" t="s">
        <v>629</v>
      </c>
      <c r="M154" s="1159"/>
    </row>
    <row r="155" spans="1:13" x14ac:dyDescent="0.3">
      <c r="A155" s="6">
        <v>155</v>
      </c>
      <c r="B155" s="1370"/>
      <c r="C155" s="469"/>
      <c r="D155" s="494"/>
      <c r="E155" s="494"/>
      <c r="F155" s="494"/>
      <c r="G155" s="485"/>
      <c r="H155" s="1"/>
    </row>
    <row r="156" spans="1:13" x14ac:dyDescent="0.3">
      <c r="A156" s="6">
        <v>156</v>
      </c>
      <c r="B156" s="1370"/>
      <c r="C156" s="1" t="s">
        <v>655</v>
      </c>
      <c r="D156" s="147"/>
      <c r="E156" s="147"/>
      <c r="F156" s="147"/>
    </row>
    <row r="157" spans="1:13" x14ac:dyDescent="0.3">
      <c r="A157" s="6">
        <v>157</v>
      </c>
      <c r="B157" s="1370"/>
      <c r="C157" s="65" t="s">
        <v>964</v>
      </c>
      <c r="D157" s="1123">
        <f>ROUND(SUM(D138:D140),-1)</f>
        <v>130</v>
      </c>
      <c r="E157" s="152"/>
      <c r="F157" s="152"/>
      <c r="G157" s="65" t="s">
        <v>965</v>
      </c>
      <c r="H157" s="111" t="s">
        <v>629</v>
      </c>
      <c r="I157" s="111"/>
      <c r="J157" s="111"/>
      <c r="K157" s="111"/>
      <c r="L157" s="111"/>
      <c r="M157" s="1159"/>
    </row>
    <row r="158" spans="1:13" x14ac:dyDescent="0.3">
      <c r="A158" s="6">
        <v>158</v>
      </c>
      <c r="B158" s="1370"/>
      <c r="C158" s="67" t="s">
        <v>966</v>
      </c>
      <c r="D158" s="1023">
        <f>$D$144+$D$148</f>
        <v>920</v>
      </c>
      <c r="E158" s="144"/>
      <c r="F158" s="144"/>
      <c r="G158" s="49" t="s">
        <v>948</v>
      </c>
      <c r="H158" s="50" t="s">
        <v>629</v>
      </c>
      <c r="I158" s="49"/>
      <c r="J158" s="49" t="s">
        <v>1897</v>
      </c>
      <c r="K158" s="49"/>
      <c r="L158" s="49"/>
      <c r="M158" s="1159"/>
    </row>
    <row r="159" spans="1:13" x14ac:dyDescent="0.3">
      <c r="A159" s="6">
        <v>159</v>
      </c>
      <c r="B159" s="1370"/>
      <c r="C159" s="60" t="s">
        <v>967</v>
      </c>
      <c r="D159" s="185">
        <f>ROUND($D$141+$D$144+$D$148,-1)</f>
        <v>950</v>
      </c>
      <c r="E159" s="142"/>
      <c r="F159" s="142"/>
      <c r="G159" s="57" t="s">
        <v>948</v>
      </c>
      <c r="H159" s="48" t="s">
        <v>629</v>
      </c>
      <c r="I159" s="48"/>
      <c r="J159" s="48"/>
      <c r="K159" s="48"/>
      <c r="L159" s="48"/>
      <c r="M159" s="1159"/>
    </row>
    <row r="160" spans="1:13" x14ac:dyDescent="0.3">
      <c r="A160" s="6">
        <v>160</v>
      </c>
      <c r="B160" s="1371"/>
      <c r="C160" s="25" t="s">
        <v>968</v>
      </c>
      <c r="D160" s="198">
        <f>$D$145+$D$146+$D$147+$D$151+$D$152</f>
        <v>7.3626372727272731</v>
      </c>
      <c r="E160" s="143"/>
      <c r="F160" s="143"/>
      <c r="G160" s="53" t="s">
        <v>948</v>
      </c>
      <c r="H160" s="121" t="s">
        <v>629</v>
      </c>
      <c r="I160" s="53"/>
      <c r="J160" s="53"/>
      <c r="K160" s="53"/>
      <c r="L160" s="53"/>
      <c r="M160" s="1159"/>
    </row>
    <row r="161" spans="1:13" ht="15.65" thickBot="1" x14ac:dyDescent="0.35">
      <c r="A161" s="6">
        <v>161</v>
      </c>
      <c r="B161" s="326"/>
      <c r="C161" s="469"/>
      <c r="D161" s="494"/>
      <c r="E161" s="494"/>
      <c r="F161" s="533"/>
      <c r="G161" s="40"/>
      <c r="H161" s="112"/>
    </row>
    <row r="162" spans="1:13" s="1" customFormat="1" ht="15.65" thickBot="1" x14ac:dyDescent="0.35">
      <c r="A162" s="6">
        <v>162</v>
      </c>
      <c r="B162" s="496" t="s">
        <v>1553</v>
      </c>
      <c r="C162" s="497" t="s">
        <v>1554</v>
      </c>
      <c r="D162" s="1254">
        <v>21.4</v>
      </c>
      <c r="E162" s="497"/>
      <c r="F162" s="1200"/>
      <c r="G162" s="498" t="s">
        <v>948</v>
      </c>
      <c r="H162" s="495" t="s">
        <v>136</v>
      </c>
      <c r="I162" s="156"/>
      <c r="J162" s="156"/>
      <c r="K162" s="156"/>
      <c r="L162" s="156"/>
      <c r="M162" s="1159"/>
    </row>
    <row r="163" spans="1:13" ht="15.65" thickBot="1" x14ac:dyDescent="0.35">
      <c r="A163" s="6">
        <v>163</v>
      </c>
      <c r="B163" s="485"/>
      <c r="C163" s="469"/>
      <c r="D163" s="494"/>
      <c r="E163" s="494"/>
      <c r="F163" s="494"/>
      <c r="G163" s="485"/>
      <c r="H163" s="1"/>
    </row>
    <row r="164" spans="1:13" ht="15.65" thickBot="1" x14ac:dyDescent="0.35">
      <c r="A164" s="6">
        <v>164</v>
      </c>
      <c r="B164" s="496" t="s">
        <v>963</v>
      </c>
      <c r="C164" s="369" t="s">
        <v>1555</v>
      </c>
      <c r="D164" s="256">
        <f>ROUND($D$154+$D$162,-2)</f>
        <v>1100</v>
      </c>
      <c r="E164" s="493"/>
      <c r="F164" s="303"/>
      <c r="G164" s="120" t="s">
        <v>948</v>
      </c>
      <c r="H164" s="112" t="s">
        <v>629</v>
      </c>
      <c r="I164" s="2" t="s">
        <v>2377</v>
      </c>
      <c r="M164" s="1159"/>
    </row>
    <row r="165" spans="1:13" x14ac:dyDescent="0.3">
      <c r="A165" s="6">
        <v>165</v>
      </c>
      <c r="B165" s="30"/>
      <c r="C165" s="155"/>
      <c r="D165" s="117"/>
      <c r="E165" s="117"/>
      <c r="F165" s="117"/>
      <c r="G165" s="30"/>
      <c r="H165" s="1"/>
    </row>
    <row r="166" spans="1:13" x14ac:dyDescent="0.3">
      <c r="A166" s="6">
        <v>166</v>
      </c>
      <c r="B166" s="1361" t="s">
        <v>1556</v>
      </c>
      <c r="C166" s="375" t="s">
        <v>631</v>
      </c>
      <c r="D166" s="436">
        <f>D103*D17</f>
        <v>0.14805818181818178</v>
      </c>
      <c r="E166" s="436"/>
      <c r="F166" s="436"/>
      <c r="G166" s="375" t="s">
        <v>948</v>
      </c>
      <c r="H166" s="422" t="s">
        <v>629</v>
      </c>
      <c r="I166" s="375"/>
      <c r="J166" s="375"/>
      <c r="K166" s="375"/>
      <c r="L166" s="375"/>
      <c r="M166" s="1159"/>
    </row>
    <row r="167" spans="1:13" x14ac:dyDescent="0.3">
      <c r="A167" s="6">
        <v>167</v>
      </c>
      <c r="B167" s="1362"/>
      <c r="C167" s="52" t="s">
        <v>632</v>
      </c>
      <c r="D167" s="153">
        <f>D104*D17</f>
        <v>0.54424090909090905</v>
      </c>
      <c r="E167" s="153"/>
      <c r="F167" s="153"/>
      <c r="G167" s="52" t="s">
        <v>948</v>
      </c>
      <c r="H167" s="58" t="s">
        <v>629</v>
      </c>
      <c r="I167" s="52"/>
      <c r="J167" s="52"/>
      <c r="K167" s="52"/>
      <c r="L167" s="52"/>
      <c r="M167" s="1159"/>
    </row>
    <row r="168" spans="1:13" x14ac:dyDescent="0.3">
      <c r="A168" s="6">
        <v>168</v>
      </c>
      <c r="C168" s="6"/>
      <c r="D168" s="149"/>
      <c r="E168" s="149"/>
      <c r="F168" s="149"/>
      <c r="G168" s="11"/>
      <c r="L168" s="11"/>
    </row>
    <row r="169" spans="1:13" x14ac:dyDescent="0.3">
      <c r="A169" s="6">
        <v>169</v>
      </c>
      <c r="B169" s="24" t="s">
        <v>969</v>
      </c>
      <c r="C169" s="334"/>
      <c r="D169" s="1169">
        <f>$D$17*$D$114</f>
        <v>750</v>
      </c>
      <c r="E169" s="154"/>
      <c r="F169" s="154"/>
      <c r="G169" s="54" t="s">
        <v>948</v>
      </c>
      <c r="H169" s="133" t="s">
        <v>629</v>
      </c>
      <c r="I169" s="54"/>
      <c r="J169" s="54"/>
      <c r="K169" s="54"/>
      <c r="L169" s="54"/>
      <c r="M169" s="1159"/>
    </row>
    <row r="170" spans="1:13" x14ac:dyDescent="0.3">
      <c r="A170" s="6">
        <v>170</v>
      </c>
      <c r="C170" s="11"/>
      <c r="D170" s="147"/>
      <c r="E170" s="147"/>
      <c r="F170" s="147"/>
    </row>
    <row r="171" spans="1:13" s="116" customFormat="1" x14ac:dyDescent="0.3">
      <c r="A171" s="6">
        <v>171</v>
      </c>
      <c r="B171" s="4"/>
    </row>
    <row r="172" spans="1:13" ht="15.05" customHeight="1" x14ac:dyDescent="0.3">
      <c r="A172" s="6">
        <v>172</v>
      </c>
      <c r="B172" s="1350" t="s">
        <v>1560</v>
      </c>
      <c r="C172" s="66" t="s">
        <v>608</v>
      </c>
      <c r="D172" s="255">
        <f>($D$85/$D$101)*100</f>
        <v>4.5363820201290288</v>
      </c>
      <c r="E172" s="141"/>
      <c r="F172" s="141"/>
      <c r="G172" s="66" t="s">
        <v>4</v>
      </c>
      <c r="H172" s="111" t="s">
        <v>629</v>
      </c>
      <c r="I172" s="66"/>
      <c r="J172" s="66"/>
      <c r="K172" s="66"/>
      <c r="L172" s="66"/>
      <c r="M172" s="1159"/>
    </row>
    <row r="173" spans="1:13" x14ac:dyDescent="0.3">
      <c r="A173" s="6">
        <v>173</v>
      </c>
      <c r="B173" s="1350"/>
      <c r="C173" s="66" t="s">
        <v>607</v>
      </c>
      <c r="D173" s="255">
        <f>($D$86/$D$101)*100</f>
        <v>6.8645780833698531</v>
      </c>
      <c r="E173" s="141"/>
      <c r="F173" s="141"/>
      <c r="G173" s="66" t="s">
        <v>4</v>
      </c>
      <c r="H173" s="111" t="s">
        <v>629</v>
      </c>
      <c r="I173" s="66"/>
      <c r="J173" s="66"/>
      <c r="K173" s="66"/>
      <c r="L173" s="66"/>
      <c r="M173" s="1159"/>
    </row>
    <row r="174" spans="1:13" x14ac:dyDescent="0.3">
      <c r="A174" s="6">
        <v>174</v>
      </c>
      <c r="B174" s="1350"/>
      <c r="C174" s="66" t="s">
        <v>606</v>
      </c>
      <c r="D174" s="255">
        <f>($D$87/$D$101)*100</f>
        <v>0.11816379702411796</v>
      </c>
      <c r="E174" s="141"/>
      <c r="F174" s="141"/>
      <c r="G174" s="66" t="s">
        <v>4</v>
      </c>
      <c r="H174" s="111" t="s">
        <v>629</v>
      </c>
      <c r="I174" s="66"/>
      <c r="J174" s="66"/>
      <c r="K174" s="66"/>
      <c r="L174" s="66"/>
      <c r="M174" s="1159"/>
    </row>
    <row r="175" spans="1:13" x14ac:dyDescent="0.3">
      <c r="A175" s="6">
        <v>175</v>
      </c>
      <c r="B175" s="1350"/>
      <c r="C175" s="55" t="s">
        <v>605</v>
      </c>
      <c r="D175" s="1148">
        <f>($D$88/$D$101)*100</f>
        <v>2.6435087703623692</v>
      </c>
      <c r="E175" s="55"/>
      <c r="F175" s="55"/>
      <c r="G175" s="55" t="s">
        <v>4</v>
      </c>
      <c r="H175" s="212" t="s">
        <v>629</v>
      </c>
      <c r="I175" s="55"/>
      <c r="J175" s="55"/>
      <c r="K175" s="55"/>
      <c r="L175" s="55"/>
      <c r="M175" s="1159"/>
    </row>
    <row r="176" spans="1:13" x14ac:dyDescent="0.3">
      <c r="A176" s="6">
        <v>176</v>
      </c>
      <c r="B176" s="1350"/>
      <c r="C176" s="68" t="s">
        <v>1141</v>
      </c>
      <c r="D176" s="651" t="s">
        <v>1833</v>
      </c>
      <c r="E176" s="68"/>
      <c r="F176" s="68"/>
      <c r="G176" s="34"/>
      <c r="H176" s="34"/>
      <c r="I176" s="34"/>
      <c r="J176" s="34"/>
      <c r="K176" s="34"/>
      <c r="L176" s="34"/>
    </row>
    <row r="177" spans="1:13" x14ac:dyDescent="0.3">
      <c r="A177" s="6">
        <v>177</v>
      </c>
      <c r="B177" s="1350"/>
      <c r="C177" s="3" t="s">
        <v>626</v>
      </c>
      <c r="D177" s="654" t="s">
        <v>1833</v>
      </c>
      <c r="E177" s="3"/>
      <c r="F177" s="3"/>
      <c r="G177" s="3"/>
      <c r="H177" s="3"/>
      <c r="I177" s="3"/>
      <c r="J177" s="3"/>
      <c r="K177" s="3"/>
      <c r="L177" s="3"/>
    </row>
    <row r="178" spans="1:13" x14ac:dyDescent="0.3">
      <c r="A178" s="6">
        <v>178</v>
      </c>
      <c r="B178" s="1350"/>
      <c r="C178" s="67" t="s">
        <v>604</v>
      </c>
      <c r="D178" s="203">
        <f>($D$91/$D$101)*100</f>
        <v>64.620826497564508</v>
      </c>
      <c r="E178" s="144"/>
      <c r="F178" s="144"/>
      <c r="G178" s="49" t="s">
        <v>4</v>
      </c>
      <c r="H178" s="50" t="s">
        <v>629</v>
      </c>
      <c r="I178" s="49"/>
      <c r="J178" s="49"/>
      <c r="K178" s="49"/>
      <c r="L178" s="49"/>
      <c r="M178" s="1159"/>
    </row>
    <row r="179" spans="1:13" x14ac:dyDescent="0.3">
      <c r="A179" s="6">
        <v>179</v>
      </c>
      <c r="B179" s="1350"/>
      <c r="C179" s="53" t="s">
        <v>600</v>
      </c>
      <c r="D179" s="254">
        <f>(($D$92+$D$93+$D$94)/$D$101)*100</f>
        <v>0.38757692600633742</v>
      </c>
      <c r="E179" s="143"/>
      <c r="F179" s="143"/>
      <c r="G179" s="53" t="s">
        <v>4</v>
      </c>
      <c r="H179" s="121" t="s">
        <v>629</v>
      </c>
      <c r="I179" s="53"/>
      <c r="J179" s="53"/>
      <c r="K179" s="53"/>
      <c r="L179" s="53"/>
      <c r="M179" s="1159"/>
    </row>
    <row r="180" spans="1:13" x14ac:dyDescent="0.3">
      <c r="A180" s="6">
        <v>180</v>
      </c>
      <c r="B180" s="1350"/>
      <c r="C180" s="67" t="s">
        <v>603</v>
      </c>
      <c r="D180" s="203">
        <f>($D$95/$D$101)*100</f>
        <v>18.423705352677057</v>
      </c>
      <c r="E180" s="144"/>
      <c r="F180" s="144"/>
      <c r="G180" s="49" t="s">
        <v>4</v>
      </c>
      <c r="H180" s="50" t="s">
        <v>629</v>
      </c>
      <c r="I180" s="49"/>
      <c r="J180" s="49"/>
      <c r="K180" s="49"/>
      <c r="L180" s="49"/>
      <c r="M180" s="1159"/>
    </row>
    <row r="181" spans="1:13" x14ac:dyDescent="0.3">
      <c r="A181" s="6">
        <v>181</v>
      </c>
      <c r="B181" s="1350"/>
      <c r="C181" s="66" t="s">
        <v>602</v>
      </c>
      <c r="D181" s="255">
        <f>($D$96/$D$101)*100</f>
        <v>0.2573275163506159</v>
      </c>
      <c r="E181" s="141"/>
      <c r="F181" s="141"/>
      <c r="G181" s="110" t="s">
        <v>4</v>
      </c>
      <c r="H181" s="41" t="s">
        <v>629</v>
      </c>
      <c r="I181" s="110"/>
      <c r="J181" s="110"/>
      <c r="K181" s="110"/>
      <c r="L181" s="110"/>
      <c r="M181" s="1159"/>
    </row>
    <row r="182" spans="1:13" x14ac:dyDescent="0.3">
      <c r="A182" s="6">
        <v>182</v>
      </c>
      <c r="B182" s="1350"/>
      <c r="C182" s="65" t="s">
        <v>601</v>
      </c>
      <c r="D182" s="255">
        <f>($D$97/$D$101)*100</f>
        <v>1.870926786215201</v>
      </c>
      <c r="E182" s="141"/>
      <c r="F182" s="141"/>
      <c r="G182" s="110" t="s">
        <v>4</v>
      </c>
      <c r="H182" s="41" t="s">
        <v>629</v>
      </c>
      <c r="I182" s="110"/>
      <c r="J182" s="110"/>
      <c r="K182" s="110"/>
      <c r="L182" s="110"/>
      <c r="M182" s="1159"/>
    </row>
    <row r="183" spans="1:13" x14ac:dyDescent="0.3">
      <c r="A183" s="6">
        <v>183</v>
      </c>
      <c r="B183" s="1350"/>
      <c r="C183" s="3" t="s">
        <v>627</v>
      </c>
      <c r="D183" s="202">
        <f>(($D$98+$D$99)/$D$101)*100</f>
        <v>0.27700425030090287</v>
      </c>
      <c r="E183" s="145"/>
      <c r="F183" s="145"/>
      <c r="G183" s="3" t="s">
        <v>4</v>
      </c>
      <c r="H183" s="58" t="s">
        <v>629</v>
      </c>
      <c r="I183" s="3"/>
      <c r="J183" s="3"/>
      <c r="K183" s="3"/>
      <c r="L183" s="3"/>
      <c r="M183" s="1159"/>
    </row>
    <row r="184" spans="1:13" x14ac:dyDescent="0.3">
      <c r="A184" s="6">
        <v>184</v>
      </c>
      <c r="B184" s="1350"/>
      <c r="C184" s="19" t="s">
        <v>134</v>
      </c>
      <c r="D184" s="207">
        <f>SUM(D172:D183)</f>
        <v>100</v>
      </c>
      <c r="E184" s="147"/>
      <c r="F184" s="147"/>
      <c r="G184" s="2" t="s">
        <v>4</v>
      </c>
      <c r="H184" s="4" t="s">
        <v>629</v>
      </c>
    </row>
    <row r="185" spans="1:13" x14ac:dyDescent="0.3">
      <c r="A185" s="6">
        <v>185</v>
      </c>
      <c r="B185" s="1350"/>
      <c r="C185" s="19"/>
      <c r="D185" s="147"/>
      <c r="E185" s="147"/>
      <c r="F185" s="147"/>
      <c r="H185" s="4"/>
    </row>
    <row r="186" spans="1:13" x14ac:dyDescent="0.3">
      <c r="A186" s="6">
        <v>186</v>
      </c>
      <c r="B186" s="1350"/>
      <c r="C186" s="19" t="s">
        <v>876</v>
      </c>
      <c r="D186" s="75"/>
      <c r="E186" s="75"/>
      <c r="F186" s="75"/>
    </row>
    <row r="187" spans="1:13" x14ac:dyDescent="0.3">
      <c r="A187" s="6">
        <v>187</v>
      </c>
      <c r="B187" s="1350"/>
      <c r="C187" s="55" t="s">
        <v>196</v>
      </c>
      <c r="D187" s="1148">
        <f>$D$88/($D$88+$D$91+$D$95)*100</f>
        <v>3.0850381817771777</v>
      </c>
      <c r="E187" s="55"/>
      <c r="F187" s="55"/>
      <c r="G187" s="55" t="s">
        <v>4</v>
      </c>
      <c r="H187" s="55" t="s">
        <v>629</v>
      </c>
      <c r="I187" s="55"/>
      <c r="J187" s="55"/>
      <c r="K187" s="55"/>
      <c r="L187" s="55"/>
      <c r="M187" s="1159"/>
    </row>
    <row r="188" spans="1:13" x14ac:dyDescent="0.3">
      <c r="A188" s="6">
        <v>188</v>
      </c>
      <c r="B188" s="1350"/>
      <c r="C188" s="66" t="s">
        <v>116</v>
      </c>
      <c r="D188" s="204">
        <f>$D$172+$D$173+$D$174+$D$181+$D$182</f>
        <v>13.647378203088817</v>
      </c>
      <c r="E188" s="141"/>
      <c r="F188" s="141"/>
      <c r="G188" s="66" t="s">
        <v>4</v>
      </c>
      <c r="H188" s="111" t="s">
        <v>629</v>
      </c>
      <c r="I188" s="66"/>
      <c r="J188" s="66"/>
      <c r="K188" s="66"/>
      <c r="L188" s="66"/>
      <c r="M188" s="1159"/>
    </row>
    <row r="189" spans="1:13" x14ac:dyDescent="0.3">
      <c r="A189" s="6">
        <v>189</v>
      </c>
      <c r="B189" s="1350"/>
      <c r="C189" s="63" t="s">
        <v>124</v>
      </c>
      <c r="D189" s="203">
        <f>$D$175+$D$178+$D$180</f>
        <v>85.688040620603942</v>
      </c>
      <c r="E189" s="144"/>
      <c r="F189" s="144"/>
      <c r="G189" s="49" t="s">
        <v>4</v>
      </c>
      <c r="H189" s="50" t="s">
        <v>629</v>
      </c>
      <c r="I189" s="49"/>
      <c r="J189" s="49"/>
      <c r="K189" s="49"/>
      <c r="L189" s="49"/>
      <c r="M189" s="1159"/>
    </row>
    <row r="190" spans="1:13" x14ac:dyDescent="0.3">
      <c r="A190" s="6">
        <v>190</v>
      </c>
      <c r="B190" s="1351"/>
      <c r="C190" s="25" t="s">
        <v>197</v>
      </c>
      <c r="D190" s="254">
        <f>$D$179+$D$183</f>
        <v>0.66458117630724023</v>
      </c>
      <c r="E190" s="143"/>
      <c r="F190" s="143"/>
      <c r="G190" s="121" t="s">
        <v>4</v>
      </c>
      <c r="H190" s="121" t="s">
        <v>629</v>
      </c>
      <c r="I190" s="121"/>
      <c r="J190" s="121"/>
      <c r="K190" s="121"/>
      <c r="L190" s="121"/>
    </row>
    <row r="191" spans="1:13" x14ac:dyDescent="0.3">
      <c r="A191" s="6">
        <v>191</v>
      </c>
      <c r="C191" s="1"/>
      <c r="D191" s="147"/>
      <c r="E191" s="147"/>
      <c r="F191" s="147"/>
    </row>
    <row r="192" spans="1:13" ht="15.05" customHeight="1" x14ac:dyDescent="0.3">
      <c r="A192" s="6">
        <v>192</v>
      </c>
      <c r="B192" s="1322" t="s">
        <v>137</v>
      </c>
      <c r="C192" s="6" t="s">
        <v>2378</v>
      </c>
      <c r="D192" s="147">
        <f>1/$D$7</f>
        <v>2.4390243902439025E-2</v>
      </c>
      <c r="E192" s="147"/>
      <c r="F192" s="147"/>
      <c r="G192" s="2" t="s">
        <v>1038</v>
      </c>
      <c r="H192" s="1" t="s">
        <v>629</v>
      </c>
      <c r="I192" s="2" t="s">
        <v>2381</v>
      </c>
      <c r="M192" s="1159"/>
    </row>
    <row r="193" spans="1:13" ht="15.05" customHeight="1" x14ac:dyDescent="0.3">
      <c r="A193" s="6">
        <v>193</v>
      </c>
      <c r="B193" s="1323"/>
      <c r="C193" s="6" t="s">
        <v>2379</v>
      </c>
      <c r="D193" s="147">
        <f>$D$13*$D$192</f>
        <v>0.18181818181818182</v>
      </c>
      <c r="E193" s="147"/>
      <c r="F193" s="147"/>
      <c r="G193" s="2" t="s">
        <v>970</v>
      </c>
      <c r="H193" s="1" t="s">
        <v>629</v>
      </c>
      <c r="I193" s="2" t="s">
        <v>1039</v>
      </c>
      <c r="M193" s="1159"/>
    </row>
    <row r="194" spans="1:13" ht="15.05" customHeight="1" x14ac:dyDescent="0.3">
      <c r="A194" s="6">
        <v>194</v>
      </c>
      <c r="B194" s="1324"/>
      <c r="C194" s="6" t="s">
        <v>2380</v>
      </c>
      <c r="D194" s="207">
        <f>ROUND(($D$193/1000)*1000000,-1)</f>
        <v>180</v>
      </c>
      <c r="E194" s="147"/>
      <c r="F194" s="147"/>
      <c r="G194" s="2" t="s">
        <v>971</v>
      </c>
      <c r="H194" s="1" t="s">
        <v>629</v>
      </c>
      <c r="I194" s="2" t="s">
        <v>972</v>
      </c>
      <c r="M194" s="1159"/>
    </row>
    <row r="195" spans="1:13" s="6" customFormat="1" x14ac:dyDescent="0.3">
      <c r="A195" s="6">
        <v>195</v>
      </c>
    </row>
    <row r="196" spans="1:13" x14ac:dyDescent="0.3">
      <c r="A196" s="6">
        <v>196</v>
      </c>
      <c r="C196" s="1"/>
      <c r="D196" s="75"/>
      <c r="E196" s="75"/>
      <c r="F196" s="75"/>
      <c r="H196" s="1"/>
    </row>
    <row r="197" spans="1:13" x14ac:dyDescent="0.3">
      <c r="A197" s="6">
        <v>197</v>
      </c>
      <c r="B197" s="41" t="s">
        <v>656</v>
      </c>
      <c r="C197" s="41" t="s">
        <v>656</v>
      </c>
      <c r="D197" s="91"/>
      <c r="E197" s="91"/>
      <c r="F197" s="91"/>
      <c r="G197" s="41"/>
      <c r="H197" s="41"/>
      <c r="I197" s="41"/>
      <c r="J197" s="41"/>
      <c r="K197" s="41"/>
      <c r="L197" s="41"/>
    </row>
    <row r="198" spans="1:13" x14ac:dyDescent="0.3">
      <c r="A198" s="6">
        <v>198</v>
      </c>
      <c r="C198" s="6"/>
      <c r="D198" s="74"/>
      <c r="E198" s="74"/>
      <c r="F198" s="74"/>
    </row>
    <row r="199" spans="1:13" ht="15.65" customHeight="1" thickBot="1" x14ac:dyDescent="0.35">
      <c r="A199" s="6">
        <v>199</v>
      </c>
      <c r="B199" s="1340" t="s">
        <v>1561</v>
      </c>
      <c r="C199" s="18" t="s">
        <v>90</v>
      </c>
      <c r="D199" s="874"/>
      <c r="E199" s="92"/>
      <c r="F199" s="92"/>
      <c r="G199" s="23"/>
      <c r="H199" s="23"/>
      <c r="I199" s="23"/>
      <c r="J199" s="23"/>
      <c r="K199" s="880"/>
      <c r="L199" s="880"/>
    </row>
    <row r="200" spans="1:13" ht="15.65" thickBot="1" x14ac:dyDescent="0.35">
      <c r="A200" s="6">
        <v>200</v>
      </c>
      <c r="B200" s="1341"/>
      <c r="C200" s="877" t="s">
        <v>436</v>
      </c>
      <c r="D200" s="876">
        <f>(4/3)*PI()*2*2*0.5</f>
        <v>8.3775804095727811</v>
      </c>
      <c r="E200" s="873"/>
      <c r="F200" s="873"/>
      <c r="G200" s="66" t="s">
        <v>5</v>
      </c>
      <c r="H200" s="66" t="s">
        <v>816</v>
      </c>
      <c r="I200" s="66" t="s">
        <v>2383</v>
      </c>
      <c r="J200" s="229" t="s">
        <v>685</v>
      </c>
      <c r="K200" s="881" t="s">
        <v>1833</v>
      </c>
      <c r="L200" s="881" t="s">
        <v>1833</v>
      </c>
      <c r="M200" s="1159"/>
    </row>
    <row r="201" spans="1:13" ht="15.65" thickBot="1" x14ac:dyDescent="0.35">
      <c r="A201" s="6">
        <v>201</v>
      </c>
      <c r="B201" s="1341"/>
      <c r="C201" s="872" t="s">
        <v>437</v>
      </c>
      <c r="D201" s="878">
        <f>(4/3)*PI()*2*2*0.5</f>
        <v>8.3775804095727811</v>
      </c>
      <c r="E201" s="879"/>
      <c r="F201" s="873"/>
      <c r="G201" s="66" t="s">
        <v>5</v>
      </c>
      <c r="H201" s="66" t="s">
        <v>816</v>
      </c>
      <c r="I201" s="66" t="s">
        <v>2383</v>
      </c>
      <c r="J201" s="229" t="s">
        <v>685</v>
      </c>
      <c r="K201" s="884" t="s">
        <v>1833</v>
      </c>
      <c r="L201" s="881" t="s">
        <v>1833</v>
      </c>
      <c r="M201" s="1159"/>
    </row>
    <row r="202" spans="1:13" ht="15.65" thickBot="1" x14ac:dyDescent="0.35">
      <c r="A202" s="6">
        <v>202</v>
      </c>
      <c r="B202" s="1341"/>
      <c r="C202" s="65" t="s">
        <v>2382</v>
      </c>
      <c r="D202" s="875">
        <f>4/3*PI()*1^3</f>
        <v>4.1887902047863905</v>
      </c>
      <c r="E202" s="78"/>
      <c r="F202" s="78"/>
      <c r="G202" s="66" t="s">
        <v>5</v>
      </c>
      <c r="H202" s="66" t="s">
        <v>701</v>
      </c>
      <c r="I202" s="66" t="s">
        <v>493</v>
      </c>
      <c r="J202" s="872" t="s">
        <v>717</v>
      </c>
      <c r="K202" s="885" t="s">
        <v>1405</v>
      </c>
      <c r="L202" s="985" t="s">
        <v>718</v>
      </c>
      <c r="M202" s="1159"/>
    </row>
    <row r="203" spans="1:13" ht="15.65" thickBot="1" x14ac:dyDescent="0.35">
      <c r="A203" s="6">
        <v>203</v>
      </c>
      <c r="B203" s="1341"/>
      <c r="C203" s="55" t="s">
        <v>438</v>
      </c>
      <c r="D203" s="329">
        <f>4/3*PI()*2.8^3</f>
        <v>91.952322575470816</v>
      </c>
      <c r="E203" s="215"/>
      <c r="F203" s="215"/>
      <c r="G203" s="55" t="s">
        <v>5</v>
      </c>
      <c r="H203" s="55" t="s">
        <v>103</v>
      </c>
      <c r="I203" s="55" t="s">
        <v>198</v>
      </c>
      <c r="J203" s="55" t="s">
        <v>717</v>
      </c>
      <c r="K203" s="872" t="s">
        <v>1927</v>
      </c>
      <c r="L203" s="986" t="s">
        <v>1925</v>
      </c>
      <c r="M203" s="1159"/>
    </row>
    <row r="204" spans="1:13" ht="15.65" thickBot="1" x14ac:dyDescent="0.35">
      <c r="A204" s="6">
        <v>204</v>
      </c>
      <c r="B204" s="1341"/>
      <c r="C204" s="68" t="s">
        <v>1142</v>
      </c>
      <c r="D204" s="921" t="s">
        <v>1833</v>
      </c>
      <c r="E204" s="34"/>
      <c r="F204" s="34"/>
      <c r="G204" s="34" t="s">
        <v>5</v>
      </c>
      <c r="H204" s="34"/>
      <c r="I204" s="34"/>
      <c r="J204" s="34"/>
      <c r="K204" s="919"/>
      <c r="L204" s="695"/>
      <c r="M204" s="1159"/>
    </row>
    <row r="205" spans="1:13" ht="15.65" thickBot="1" x14ac:dyDescent="0.35">
      <c r="A205" s="6">
        <v>205</v>
      </c>
      <c r="B205" s="1341"/>
      <c r="C205" s="920" t="s">
        <v>439</v>
      </c>
      <c r="D205" s="918">
        <v>93</v>
      </c>
      <c r="E205" s="917"/>
      <c r="F205" s="917"/>
      <c r="G205" s="49" t="s">
        <v>5</v>
      </c>
      <c r="H205" s="49" t="s">
        <v>58</v>
      </c>
      <c r="I205" s="49" t="s">
        <v>2384</v>
      </c>
      <c r="J205" s="915" t="s">
        <v>817</v>
      </c>
      <c r="K205" s="916" t="s">
        <v>1904</v>
      </c>
      <c r="L205" s="478" t="s">
        <v>818</v>
      </c>
      <c r="M205" s="1159"/>
    </row>
    <row r="206" spans="1:13" x14ac:dyDescent="0.3">
      <c r="A206" s="6">
        <v>206</v>
      </c>
      <c r="B206" s="1341"/>
      <c r="C206" s="25" t="s">
        <v>440</v>
      </c>
      <c r="D206" s="922">
        <f>4/3*PI()*(3.21/2)^3</f>
        <v>17.318637401092204</v>
      </c>
      <c r="E206" s="82"/>
      <c r="F206" s="82"/>
      <c r="G206" s="53" t="s">
        <v>5</v>
      </c>
      <c r="H206" s="53" t="s">
        <v>684</v>
      </c>
      <c r="I206" s="53" t="s">
        <v>819</v>
      </c>
      <c r="J206" s="53" t="s">
        <v>685</v>
      </c>
      <c r="K206" s="177" t="s">
        <v>1396</v>
      </c>
      <c r="L206" s="53" t="s">
        <v>686</v>
      </c>
      <c r="M206" s="1159"/>
    </row>
    <row r="207" spans="1:13" x14ac:dyDescent="0.3">
      <c r="A207" s="6">
        <v>207</v>
      </c>
      <c r="B207" s="1341"/>
      <c r="C207" s="70" t="s">
        <v>441</v>
      </c>
      <c r="D207" s="395">
        <f>4/3*PI()*(4.08/2)^3</f>
        <v>35.561421405127646</v>
      </c>
      <c r="E207" s="393"/>
      <c r="F207" s="393"/>
      <c r="G207" s="166" t="s">
        <v>5</v>
      </c>
      <c r="H207" s="166" t="s">
        <v>684</v>
      </c>
      <c r="I207" s="166" t="s">
        <v>820</v>
      </c>
      <c r="J207" s="166" t="s">
        <v>685</v>
      </c>
      <c r="K207" s="166" t="s">
        <v>1396</v>
      </c>
      <c r="L207" s="166" t="s">
        <v>686</v>
      </c>
      <c r="M207" s="1159"/>
    </row>
    <row r="208" spans="1:13" s="6" customFormat="1" ht="15.65" thickBot="1" x14ac:dyDescent="0.35">
      <c r="A208" s="6">
        <v>208</v>
      </c>
      <c r="B208" s="1341"/>
      <c r="C208" s="391" t="s">
        <v>442</v>
      </c>
      <c r="D208" s="1079">
        <f>4/3*PI()*(1/2)^3</f>
        <v>0.52359877559829882</v>
      </c>
      <c r="E208" s="400"/>
      <c r="F208" s="400"/>
      <c r="G208" s="391" t="s">
        <v>5</v>
      </c>
      <c r="H208" s="391" t="s">
        <v>684</v>
      </c>
      <c r="I208" s="391" t="s">
        <v>1903</v>
      </c>
      <c r="J208" s="391" t="s">
        <v>685</v>
      </c>
      <c r="K208" s="911" t="s">
        <v>1396</v>
      </c>
      <c r="L208" s="391" t="s">
        <v>686</v>
      </c>
      <c r="M208" s="1159"/>
    </row>
    <row r="209" spans="1:13" ht="14.4" customHeight="1" thickBot="1" x14ac:dyDescent="0.35">
      <c r="A209" s="6">
        <v>209</v>
      </c>
      <c r="B209" s="1341"/>
      <c r="C209" s="915" t="s">
        <v>443</v>
      </c>
      <c r="D209" s="925">
        <v>93</v>
      </c>
      <c r="E209" s="923"/>
      <c r="F209" s="917"/>
      <c r="G209" s="49" t="s">
        <v>5</v>
      </c>
      <c r="H209" s="49" t="s">
        <v>1905</v>
      </c>
      <c r="I209" s="49" t="s">
        <v>2385</v>
      </c>
      <c r="J209" s="915" t="s">
        <v>817</v>
      </c>
      <c r="K209" s="916" t="s">
        <v>1399</v>
      </c>
      <c r="L209" s="924" t="s">
        <v>818</v>
      </c>
      <c r="M209" s="1159"/>
    </row>
    <row r="210" spans="1:13" ht="15.65" thickBot="1" x14ac:dyDescent="0.35">
      <c r="A210" s="6">
        <v>210</v>
      </c>
      <c r="B210" s="1341"/>
      <c r="C210" s="872" t="s">
        <v>444</v>
      </c>
      <c r="D210" s="622">
        <f>4/3*PI()*2^3</f>
        <v>33.510321638291124</v>
      </c>
      <c r="E210" s="873"/>
      <c r="F210" s="873"/>
      <c r="G210" s="66" t="s">
        <v>5</v>
      </c>
      <c r="H210" s="66" t="s">
        <v>1907</v>
      </c>
      <c r="I210" s="66" t="s">
        <v>1908</v>
      </c>
      <c r="J210" s="229"/>
      <c r="K210" s="881" t="s">
        <v>1906</v>
      </c>
      <c r="L210" s="881" t="s">
        <v>1833</v>
      </c>
      <c r="M210" s="1159"/>
    </row>
    <row r="211" spans="1:13" ht="15.65" thickBot="1" x14ac:dyDescent="0.35">
      <c r="A211" s="6">
        <v>211</v>
      </c>
      <c r="B211" s="1341"/>
      <c r="C211" s="229" t="s">
        <v>445</v>
      </c>
      <c r="D211" s="255">
        <f>4/3*PI()*2*2*0.5</f>
        <v>8.3775804095727811</v>
      </c>
      <c r="E211" s="927"/>
      <c r="F211" s="927"/>
      <c r="G211" s="66" t="s">
        <v>5</v>
      </c>
      <c r="H211" s="66" t="s">
        <v>816</v>
      </c>
      <c r="I211" s="66" t="s">
        <v>1909</v>
      </c>
      <c r="J211" s="229" t="s">
        <v>1897</v>
      </c>
      <c r="K211" s="881" t="s">
        <v>1833</v>
      </c>
      <c r="L211" s="881" t="s">
        <v>1833</v>
      </c>
      <c r="M211" s="1159"/>
    </row>
    <row r="212" spans="1:13" ht="15.65" thickBot="1" x14ac:dyDescent="0.35">
      <c r="A212" s="6">
        <v>212</v>
      </c>
      <c r="B212" s="1342"/>
      <c r="C212" s="3" t="s">
        <v>494</v>
      </c>
      <c r="D212" s="935">
        <f>4/3*PI()*1^3</f>
        <v>4.1887902047863905</v>
      </c>
      <c r="E212" s="84"/>
      <c r="F212" s="84"/>
      <c r="G212" s="3" t="s">
        <v>5</v>
      </c>
      <c r="H212" s="3" t="s">
        <v>701</v>
      </c>
      <c r="I212" s="3" t="s">
        <v>1910</v>
      </c>
      <c r="J212" s="694" t="s">
        <v>1897</v>
      </c>
      <c r="K212" s="825" t="s">
        <v>1405</v>
      </c>
      <c r="L212" s="825" t="s">
        <v>718</v>
      </c>
      <c r="M212" s="1159"/>
    </row>
    <row r="213" spans="1:13" ht="15.65" thickBot="1" x14ac:dyDescent="0.35">
      <c r="A213" s="6">
        <v>213</v>
      </c>
      <c r="B213" s="131"/>
      <c r="C213" s="6"/>
      <c r="D213" s="276"/>
      <c r="E213" s="74"/>
      <c r="F213" s="74"/>
      <c r="M213" s="1159"/>
    </row>
    <row r="214" spans="1:13" ht="15.65" customHeight="1" thickBot="1" x14ac:dyDescent="0.35">
      <c r="A214" s="6">
        <v>214</v>
      </c>
      <c r="B214" s="1328" t="s">
        <v>1583</v>
      </c>
      <c r="C214" s="926" t="s">
        <v>446</v>
      </c>
      <c r="D214" s="929">
        <v>10</v>
      </c>
      <c r="E214" s="1106">
        <v>3</v>
      </c>
      <c r="F214" s="1106"/>
      <c r="G214" s="66" t="s">
        <v>457</v>
      </c>
      <c r="H214" s="66" t="s">
        <v>205</v>
      </c>
      <c r="I214" s="66"/>
      <c r="J214" s="229" t="s">
        <v>685</v>
      </c>
      <c r="K214" s="884" t="s">
        <v>1833</v>
      </c>
      <c r="L214" s="881" t="s">
        <v>1833</v>
      </c>
      <c r="M214" s="1159"/>
    </row>
    <row r="215" spans="1:13" ht="15.65" thickBot="1" x14ac:dyDescent="0.35">
      <c r="A215" s="6">
        <v>215</v>
      </c>
      <c r="B215" s="1329"/>
      <c r="C215" s="926" t="s">
        <v>447</v>
      </c>
      <c r="D215" s="929">
        <v>10</v>
      </c>
      <c r="E215" s="1106">
        <v>3</v>
      </c>
      <c r="F215" s="1106"/>
      <c r="G215" s="66" t="s">
        <v>457</v>
      </c>
      <c r="H215" s="66" t="s">
        <v>205</v>
      </c>
      <c r="I215" s="66"/>
      <c r="J215" s="229" t="s">
        <v>685</v>
      </c>
      <c r="K215" s="881" t="s">
        <v>1833</v>
      </c>
      <c r="L215" s="881" t="s">
        <v>1833</v>
      </c>
      <c r="M215" s="1159"/>
    </row>
    <row r="216" spans="1:13" x14ac:dyDescent="0.3">
      <c r="A216" s="6">
        <v>216</v>
      </c>
      <c r="B216" s="1329"/>
      <c r="C216" s="486" t="s">
        <v>461</v>
      </c>
      <c r="D216" s="936" t="s">
        <v>1833</v>
      </c>
      <c r="E216" s="78"/>
      <c r="F216" s="78"/>
      <c r="G216" s="66" t="s">
        <v>457</v>
      </c>
      <c r="H216" s="66"/>
      <c r="I216" s="66"/>
      <c r="J216" s="66"/>
      <c r="K216" s="739"/>
      <c r="L216" s="66"/>
      <c r="M216" s="1159"/>
    </row>
    <row r="217" spans="1:13" x14ac:dyDescent="0.3">
      <c r="A217" s="6">
        <v>217</v>
      </c>
      <c r="B217" s="1329"/>
      <c r="C217" s="258" t="s">
        <v>448</v>
      </c>
      <c r="D217" s="464">
        <v>22</v>
      </c>
      <c r="E217" s="242"/>
      <c r="F217" s="242"/>
      <c r="G217" s="55" t="s">
        <v>457</v>
      </c>
      <c r="H217" s="55" t="s">
        <v>103</v>
      </c>
      <c r="I217" s="55" t="s">
        <v>194</v>
      </c>
      <c r="J217" s="55" t="s">
        <v>685</v>
      </c>
      <c r="K217" s="55" t="s">
        <v>1397</v>
      </c>
      <c r="L217" s="55" t="s">
        <v>1897</v>
      </c>
      <c r="M217" s="1159"/>
    </row>
    <row r="218" spans="1:13" ht="15.65" thickBot="1" x14ac:dyDescent="0.35">
      <c r="A218" s="6">
        <v>218</v>
      </c>
      <c r="B218" s="1329"/>
      <c r="C218" s="477" t="s">
        <v>1143</v>
      </c>
      <c r="D218" s="932" t="s">
        <v>1833</v>
      </c>
      <c r="E218" s="79"/>
      <c r="F218" s="79"/>
      <c r="G218" s="34" t="s">
        <v>457</v>
      </c>
      <c r="H218" s="34"/>
      <c r="I218" s="34"/>
      <c r="J218" s="34"/>
      <c r="K218" s="919"/>
      <c r="L218" s="34"/>
    </row>
    <row r="219" spans="1:13" ht="15.65" thickBot="1" x14ac:dyDescent="0.35">
      <c r="A219" s="6">
        <v>219</v>
      </c>
      <c r="B219" s="1329"/>
      <c r="C219" s="931" t="s">
        <v>449</v>
      </c>
      <c r="D219" s="916">
        <v>100</v>
      </c>
      <c r="E219" s="478" t="s">
        <v>1875</v>
      </c>
      <c r="F219" s="478"/>
      <c r="G219" s="49" t="s">
        <v>457</v>
      </c>
      <c r="H219" s="49" t="s">
        <v>1905</v>
      </c>
      <c r="I219" s="49" t="s">
        <v>2386</v>
      </c>
      <c r="J219" s="915"/>
      <c r="K219" s="916" t="s">
        <v>1399</v>
      </c>
      <c r="L219" s="478" t="s">
        <v>818</v>
      </c>
      <c r="M219" s="1159"/>
    </row>
    <row r="220" spans="1:13" x14ac:dyDescent="0.3">
      <c r="A220" s="6">
        <v>220</v>
      </c>
      <c r="B220" s="1329"/>
      <c r="C220" s="502" t="s">
        <v>450</v>
      </c>
      <c r="D220" s="933">
        <v>10</v>
      </c>
      <c r="E220" s="85" t="s">
        <v>1875</v>
      </c>
      <c r="F220" s="85"/>
      <c r="G220" s="53" t="s">
        <v>457</v>
      </c>
      <c r="H220" s="53" t="s">
        <v>329</v>
      </c>
      <c r="I220" s="53" t="s">
        <v>2461</v>
      </c>
      <c r="J220" s="53"/>
      <c r="K220" s="177"/>
      <c r="L220" s="53"/>
      <c r="M220" s="1159"/>
    </row>
    <row r="221" spans="1:13" x14ac:dyDescent="0.3">
      <c r="A221" s="6">
        <v>221</v>
      </c>
      <c r="B221" s="1329"/>
      <c r="C221" s="503" t="s">
        <v>451</v>
      </c>
      <c r="D221" s="465">
        <v>25</v>
      </c>
      <c r="E221" s="240" t="s">
        <v>1875</v>
      </c>
      <c r="F221" s="240"/>
      <c r="G221" s="166" t="s">
        <v>457</v>
      </c>
      <c r="H221" s="166" t="s">
        <v>329</v>
      </c>
      <c r="I221" s="166" t="s">
        <v>2462</v>
      </c>
      <c r="J221" s="166"/>
      <c r="K221" s="166"/>
      <c r="L221" s="166"/>
      <c r="M221" s="1159"/>
    </row>
    <row r="222" spans="1:13" ht="15.65" thickBot="1" x14ac:dyDescent="0.35">
      <c r="A222" s="6">
        <v>222</v>
      </c>
      <c r="B222" s="1329"/>
      <c r="C222" s="504" t="s">
        <v>452</v>
      </c>
      <c r="D222" s="934" t="s">
        <v>1833</v>
      </c>
      <c r="E222" s="430"/>
      <c r="F222" s="430"/>
      <c r="G222" s="375" t="s">
        <v>457</v>
      </c>
      <c r="H222" s="375" t="s">
        <v>329</v>
      </c>
      <c r="I222" s="375"/>
      <c r="J222" s="375"/>
      <c r="K222" s="930"/>
      <c r="L222" s="375"/>
      <c r="M222" s="1159"/>
    </row>
    <row r="223" spans="1:13" ht="15.65" thickBot="1" x14ac:dyDescent="0.35">
      <c r="A223" s="6">
        <v>223</v>
      </c>
      <c r="B223" s="1329"/>
      <c r="C223" s="931" t="s">
        <v>453</v>
      </c>
      <c r="D223" s="916">
        <v>100</v>
      </c>
      <c r="E223" s="478" t="s">
        <v>1875</v>
      </c>
      <c r="F223" s="478"/>
      <c r="G223" s="49" t="s">
        <v>457</v>
      </c>
      <c r="H223" s="49" t="s">
        <v>58</v>
      </c>
      <c r="I223" s="49" t="s">
        <v>2386</v>
      </c>
      <c r="J223" s="915"/>
      <c r="K223" s="916" t="s">
        <v>1399</v>
      </c>
      <c r="L223" s="478" t="s">
        <v>818</v>
      </c>
      <c r="M223" s="1159"/>
    </row>
    <row r="224" spans="1:13" x14ac:dyDescent="0.3">
      <c r="A224" s="6">
        <v>224</v>
      </c>
      <c r="B224" s="1329"/>
      <c r="C224" s="486" t="s">
        <v>454</v>
      </c>
      <c r="D224" s="928">
        <v>5</v>
      </c>
      <c r="E224" s="208">
        <v>0.1</v>
      </c>
      <c r="F224" s="208"/>
      <c r="G224" s="66" t="s">
        <v>457</v>
      </c>
      <c r="H224" s="66" t="s">
        <v>1911</v>
      </c>
      <c r="I224" s="66" t="s">
        <v>2463</v>
      </c>
      <c r="J224" s="66" t="s">
        <v>1897</v>
      </c>
      <c r="K224" s="739" t="s">
        <v>1398</v>
      </c>
      <c r="L224" s="66" t="s">
        <v>1897</v>
      </c>
      <c r="M224" s="1159"/>
    </row>
    <row r="225" spans="1:13" ht="15.65" thickBot="1" x14ac:dyDescent="0.35">
      <c r="A225" s="6">
        <v>225</v>
      </c>
      <c r="B225" s="1329"/>
      <c r="C225" s="486" t="s">
        <v>455</v>
      </c>
      <c r="D225" s="938" t="s">
        <v>1833</v>
      </c>
      <c r="E225" s="78"/>
      <c r="F225" s="78"/>
      <c r="G225" s="66" t="s">
        <v>457</v>
      </c>
      <c r="H225" s="66" t="s">
        <v>206</v>
      </c>
      <c r="I225" s="66"/>
      <c r="J225" s="66"/>
      <c r="K225" s="676"/>
      <c r="L225" s="66"/>
      <c r="M225" s="1159"/>
    </row>
    <row r="226" spans="1:13" ht="15.65" thickBot="1" x14ac:dyDescent="0.35">
      <c r="A226" s="6">
        <v>226</v>
      </c>
      <c r="B226" s="1329"/>
      <c r="C226" s="937" t="s">
        <v>456</v>
      </c>
      <c r="D226" s="939">
        <v>7</v>
      </c>
      <c r="E226" s="520" t="s">
        <v>1875</v>
      </c>
      <c r="F226" s="520"/>
      <c r="G226" s="3" t="s">
        <v>457</v>
      </c>
      <c r="H226" s="3" t="s">
        <v>701</v>
      </c>
      <c r="I226" s="3" t="s">
        <v>1541</v>
      </c>
      <c r="J226" s="694" t="s">
        <v>1897</v>
      </c>
      <c r="K226" s="825" t="s">
        <v>1405</v>
      </c>
      <c r="L226" s="522" t="s">
        <v>718</v>
      </c>
      <c r="M226" s="1159"/>
    </row>
    <row r="227" spans="1:13" s="11" customFormat="1" ht="15.65" thickBot="1" x14ac:dyDescent="0.35">
      <c r="A227" s="6">
        <v>227</v>
      </c>
      <c r="B227" s="508"/>
      <c r="C227" s="5"/>
      <c r="D227" s="76"/>
      <c r="E227" s="76"/>
      <c r="F227" s="76"/>
      <c r="M227" s="1159"/>
    </row>
    <row r="228" spans="1:13" ht="15.05" customHeight="1" x14ac:dyDescent="0.3">
      <c r="A228" s="6">
        <v>228</v>
      </c>
      <c r="B228" s="1343" t="s">
        <v>1582</v>
      </c>
      <c r="C228" s="501" t="s">
        <v>523</v>
      </c>
      <c r="D228" s="466">
        <f>ROUND($D$214*$D$41,-3)</f>
        <v>585000</v>
      </c>
      <c r="E228" s="91"/>
      <c r="F228" s="91"/>
      <c r="G228" s="110" t="s">
        <v>524</v>
      </c>
      <c r="H228" s="41" t="s">
        <v>629</v>
      </c>
      <c r="I228" s="110"/>
      <c r="J228" s="110"/>
      <c r="K228" s="110"/>
      <c r="L228" s="110"/>
      <c r="M228" s="1159"/>
    </row>
    <row r="229" spans="1:13" x14ac:dyDescent="0.3">
      <c r="A229" s="6">
        <v>229</v>
      </c>
      <c r="B229" s="1344"/>
      <c r="C229" s="501" t="s">
        <v>525</v>
      </c>
      <c r="D229" s="466">
        <f>ROUND($D$215*$D$42,-3)</f>
        <v>429000</v>
      </c>
      <c r="E229" s="91"/>
      <c r="F229" s="91"/>
      <c r="G229" s="110" t="s">
        <v>524</v>
      </c>
      <c r="H229" s="41" t="s">
        <v>629</v>
      </c>
      <c r="I229" s="110"/>
      <c r="J229" s="110"/>
      <c r="K229" s="110"/>
      <c r="L229" s="110"/>
      <c r="M229" s="1159"/>
    </row>
    <row r="230" spans="1:13" x14ac:dyDescent="0.3">
      <c r="A230" s="6">
        <v>230</v>
      </c>
      <c r="B230" s="1344"/>
      <c r="C230" s="501" t="s">
        <v>526</v>
      </c>
      <c r="D230" s="658" t="s">
        <v>1833</v>
      </c>
      <c r="E230" s="91"/>
      <c r="F230" s="91"/>
      <c r="G230" s="110" t="s">
        <v>524</v>
      </c>
      <c r="H230" s="110"/>
      <c r="I230" s="110"/>
      <c r="J230" s="110"/>
      <c r="K230" s="110"/>
      <c r="L230" s="110"/>
      <c r="M230" s="1159"/>
    </row>
    <row r="231" spans="1:13" x14ac:dyDescent="0.3">
      <c r="A231" s="6">
        <v>231</v>
      </c>
      <c r="B231" s="1344"/>
      <c r="C231" s="258" t="s">
        <v>527</v>
      </c>
      <c r="D231" s="329">
        <f>ROUND($D$217*$D$44,-4)</f>
        <v>1390000</v>
      </c>
      <c r="E231" s="215"/>
      <c r="F231" s="215"/>
      <c r="G231" s="55" t="s">
        <v>524</v>
      </c>
      <c r="H231" s="212" t="s">
        <v>629</v>
      </c>
      <c r="I231" s="55"/>
      <c r="J231" s="55"/>
      <c r="K231" s="55"/>
      <c r="L231" s="55"/>
      <c r="M231" s="1159"/>
    </row>
    <row r="232" spans="1:13" x14ac:dyDescent="0.3">
      <c r="A232" s="6">
        <v>232</v>
      </c>
      <c r="B232" s="1344"/>
      <c r="C232" s="477" t="s">
        <v>1144</v>
      </c>
      <c r="D232" s="257"/>
      <c r="E232" s="257"/>
      <c r="F232" s="257"/>
      <c r="G232" s="34" t="s">
        <v>524</v>
      </c>
      <c r="H232" s="34"/>
      <c r="I232" s="34"/>
      <c r="J232" s="34"/>
      <c r="K232" s="34"/>
      <c r="L232" s="34"/>
      <c r="M232" s="1159"/>
    </row>
    <row r="233" spans="1:13" x14ac:dyDescent="0.3">
      <c r="A233" s="6">
        <v>233</v>
      </c>
      <c r="B233" s="1344"/>
      <c r="C233" s="478" t="s">
        <v>528</v>
      </c>
      <c r="D233" s="203">
        <f>ROUND($D$219*$D$47,-5)</f>
        <v>15800000</v>
      </c>
      <c r="E233" s="49"/>
      <c r="F233" s="49"/>
      <c r="G233" s="49" t="s">
        <v>524</v>
      </c>
      <c r="H233" s="50" t="s">
        <v>629</v>
      </c>
      <c r="I233" s="49"/>
      <c r="J233" s="49"/>
      <c r="K233" s="49"/>
      <c r="L233" s="49"/>
      <c r="M233" s="1159"/>
    </row>
    <row r="234" spans="1:13" x14ac:dyDescent="0.3">
      <c r="A234" s="6">
        <v>234</v>
      </c>
      <c r="B234" s="1344"/>
      <c r="C234" s="502" t="s">
        <v>529</v>
      </c>
      <c r="D234" s="201">
        <f>ROUND($D$220*$D$48,-3)</f>
        <v>490000</v>
      </c>
      <c r="E234" s="82"/>
      <c r="F234" s="82"/>
      <c r="G234" s="53" t="s">
        <v>524</v>
      </c>
      <c r="H234" s="121" t="s">
        <v>629</v>
      </c>
      <c r="I234" s="53"/>
      <c r="J234" s="53"/>
      <c r="K234" s="53"/>
      <c r="L234" s="53"/>
      <c r="M234" s="1159"/>
    </row>
    <row r="235" spans="1:13" x14ac:dyDescent="0.3">
      <c r="A235" s="6">
        <v>235</v>
      </c>
      <c r="B235" s="1344"/>
      <c r="C235" s="503" t="s">
        <v>530</v>
      </c>
      <c r="D235" s="343">
        <f>ROUND($D$221*$D$49,-4)</f>
        <v>1950000</v>
      </c>
      <c r="E235" s="393"/>
      <c r="F235" s="393"/>
      <c r="G235" s="166" t="s">
        <v>524</v>
      </c>
      <c r="H235" s="165" t="s">
        <v>629</v>
      </c>
      <c r="I235" s="166"/>
      <c r="J235" s="166"/>
      <c r="K235" s="166"/>
      <c r="L235" s="166"/>
      <c r="M235" s="1159"/>
    </row>
    <row r="236" spans="1:13" x14ac:dyDescent="0.3">
      <c r="A236" s="6">
        <v>236</v>
      </c>
      <c r="B236" s="1344"/>
      <c r="C236" s="504" t="s">
        <v>531</v>
      </c>
      <c r="D236" s="657" t="s">
        <v>1833</v>
      </c>
      <c r="E236" s="430"/>
      <c r="F236" s="430"/>
      <c r="G236" s="375" t="s">
        <v>524</v>
      </c>
      <c r="H236" s="375"/>
      <c r="I236" s="375"/>
      <c r="J236" s="375"/>
      <c r="K236" s="375"/>
      <c r="L236" s="375"/>
      <c r="M236" s="1159"/>
    </row>
    <row r="237" spans="1:13" x14ac:dyDescent="0.3">
      <c r="A237" s="6">
        <v>237</v>
      </c>
      <c r="B237" s="1344"/>
      <c r="C237" s="478" t="s">
        <v>532</v>
      </c>
      <c r="D237" s="203">
        <f>ROUND($D$223*$D$51,-5)</f>
        <v>7500000</v>
      </c>
      <c r="E237" s="50"/>
      <c r="F237" s="50"/>
      <c r="G237" s="49" t="s">
        <v>524</v>
      </c>
      <c r="H237" s="50" t="s">
        <v>629</v>
      </c>
      <c r="I237" s="49"/>
      <c r="J237" s="49"/>
      <c r="K237" s="49"/>
      <c r="L237" s="49"/>
      <c r="M237" s="1159"/>
    </row>
    <row r="238" spans="1:13" x14ac:dyDescent="0.3">
      <c r="A238" s="6">
        <v>238</v>
      </c>
      <c r="B238" s="1344"/>
      <c r="C238" s="486" t="s">
        <v>533</v>
      </c>
      <c r="D238" s="204">
        <f>ROUND($D$224*$D$52,-4)</f>
        <v>400000</v>
      </c>
      <c r="E238" s="78"/>
      <c r="F238" s="78"/>
      <c r="G238" s="66" t="s">
        <v>524</v>
      </c>
      <c r="H238" s="111" t="s">
        <v>629</v>
      </c>
      <c r="I238" s="66"/>
      <c r="J238" s="66"/>
      <c r="K238" s="66"/>
      <c r="L238" s="66"/>
      <c r="M238" s="1159"/>
    </row>
    <row r="239" spans="1:13" x14ac:dyDescent="0.3">
      <c r="A239" s="6">
        <v>239</v>
      </c>
      <c r="B239" s="1344"/>
      <c r="C239" s="486" t="s">
        <v>534</v>
      </c>
      <c r="D239" s="655" t="s">
        <v>1833</v>
      </c>
      <c r="E239" s="78"/>
      <c r="F239" s="78"/>
      <c r="G239" s="66" t="s">
        <v>524</v>
      </c>
      <c r="H239" s="66"/>
      <c r="I239" s="66"/>
      <c r="J239" s="66"/>
      <c r="K239" s="66"/>
      <c r="L239" s="66"/>
      <c r="M239" s="1159"/>
    </row>
    <row r="240" spans="1:13" x14ac:dyDescent="0.3">
      <c r="A240" s="6">
        <v>240</v>
      </c>
      <c r="B240" s="1344"/>
      <c r="C240" s="487" t="s">
        <v>535</v>
      </c>
      <c r="D240" s="652" t="s">
        <v>1833</v>
      </c>
      <c r="E240" s="84"/>
      <c r="F240" s="84"/>
      <c r="G240" s="3" t="s">
        <v>524</v>
      </c>
      <c r="H240" s="3"/>
      <c r="I240" s="3"/>
      <c r="J240" s="3"/>
      <c r="K240" s="3"/>
      <c r="L240" s="3"/>
    </row>
    <row r="241" spans="1:13" ht="15.65" thickBot="1" x14ac:dyDescent="0.35">
      <c r="A241" s="6">
        <v>241</v>
      </c>
      <c r="B241" s="1344"/>
      <c r="C241" s="124"/>
      <c r="D241" s="276"/>
      <c r="E241" s="276"/>
      <c r="F241" s="276"/>
      <c r="G241" s="131"/>
    </row>
    <row r="242" spans="1:13" s="131" customFormat="1" ht="15.65" thickBot="1" x14ac:dyDescent="0.35">
      <c r="A242" s="6">
        <v>242</v>
      </c>
      <c r="B242" s="1345"/>
      <c r="C242" s="272" t="s">
        <v>536</v>
      </c>
      <c r="D242" s="256">
        <f>ROUND($D$228+$D$231+$D$233+$D$234+$D$235+$D$237+$D$238,-5)</f>
        <v>28100000</v>
      </c>
      <c r="E242" s="306"/>
      <c r="F242" s="306"/>
      <c r="G242" s="120" t="s">
        <v>524</v>
      </c>
      <c r="H242" s="461" t="s">
        <v>629</v>
      </c>
      <c r="M242" s="1159"/>
    </row>
    <row r="243" spans="1:13" ht="15.65" thickBot="1" x14ac:dyDescent="0.35">
      <c r="A243" s="6">
        <v>243</v>
      </c>
      <c r="B243" s="512"/>
      <c r="C243" s="268"/>
      <c r="D243" s="331"/>
      <c r="E243" s="331"/>
      <c r="F243" s="331"/>
      <c r="G243" s="30"/>
      <c r="M243" s="1159"/>
    </row>
    <row r="244" spans="1:13" ht="15.05" customHeight="1" x14ac:dyDescent="0.3">
      <c r="A244" s="6">
        <v>244</v>
      </c>
      <c r="B244" s="1328" t="s">
        <v>1581</v>
      </c>
      <c r="C244" s="501" t="s">
        <v>975</v>
      </c>
      <c r="D244" s="466">
        <f>ROUND($D$228*$D$17,-5)</f>
        <v>26600000</v>
      </c>
      <c r="E244" s="91"/>
      <c r="F244" s="91"/>
      <c r="G244" s="110" t="s">
        <v>976</v>
      </c>
      <c r="H244" s="41" t="s">
        <v>629</v>
      </c>
      <c r="I244" s="110"/>
      <c r="J244" s="110"/>
      <c r="K244" s="110"/>
      <c r="L244" s="110"/>
      <c r="M244" s="1159"/>
    </row>
    <row r="245" spans="1:13" x14ac:dyDescent="0.3">
      <c r="A245" s="6">
        <v>245</v>
      </c>
      <c r="B245" s="1329"/>
      <c r="C245" s="501" t="s">
        <v>977</v>
      </c>
      <c r="D245" s="466">
        <f>ROUND($D$229*$D$17,-5)</f>
        <v>19500000</v>
      </c>
      <c r="E245" s="91"/>
      <c r="F245" s="91"/>
      <c r="G245" s="110" t="s">
        <v>976</v>
      </c>
      <c r="H245" s="41" t="s">
        <v>629</v>
      </c>
      <c r="I245" s="110"/>
      <c r="J245" s="110"/>
      <c r="K245" s="110"/>
      <c r="L245" s="110"/>
      <c r="M245" s="1159"/>
    </row>
    <row r="246" spans="1:13" x14ac:dyDescent="0.3">
      <c r="A246" s="6">
        <v>246</v>
      </c>
      <c r="B246" s="1329"/>
      <c r="C246" s="501" t="s">
        <v>978</v>
      </c>
      <c r="D246" s="671" t="s">
        <v>1833</v>
      </c>
      <c r="E246" s="91"/>
      <c r="F246" s="91"/>
      <c r="G246" s="110" t="s">
        <v>976</v>
      </c>
      <c r="H246" s="110"/>
      <c r="I246" s="110"/>
      <c r="J246" s="110"/>
      <c r="K246" s="110"/>
      <c r="L246" s="110"/>
    </row>
    <row r="247" spans="1:13" x14ac:dyDescent="0.3">
      <c r="A247" s="6">
        <v>247</v>
      </c>
      <c r="B247" s="1329"/>
      <c r="C247" s="258" t="s">
        <v>979</v>
      </c>
      <c r="D247" s="329">
        <f>ROUND($D$231*$D$17,-5)</f>
        <v>63200000</v>
      </c>
      <c r="E247" s="215"/>
      <c r="F247" s="215"/>
      <c r="G247" s="55" t="s">
        <v>976</v>
      </c>
      <c r="H247" s="212" t="s">
        <v>629</v>
      </c>
      <c r="I247" s="55"/>
      <c r="J247" s="55"/>
      <c r="K247" s="55"/>
      <c r="L247" s="55"/>
      <c r="M247" s="1159"/>
    </row>
    <row r="248" spans="1:13" x14ac:dyDescent="0.3">
      <c r="A248" s="6">
        <v>248</v>
      </c>
      <c r="B248" s="1329"/>
      <c r="C248" s="477" t="s">
        <v>1145</v>
      </c>
      <c r="D248" s="672" t="s">
        <v>1833</v>
      </c>
      <c r="E248" s="257"/>
      <c r="F248" s="257"/>
      <c r="G248" s="34"/>
      <c r="H248" s="34"/>
      <c r="I248" s="34"/>
      <c r="J248" s="34"/>
      <c r="K248" s="34"/>
      <c r="L248" s="34"/>
      <c r="M248" s="1159"/>
    </row>
    <row r="249" spans="1:13" x14ac:dyDescent="0.3">
      <c r="A249" s="6">
        <v>249</v>
      </c>
      <c r="B249" s="1329"/>
      <c r="C249" s="478" t="s">
        <v>980</v>
      </c>
      <c r="D249" s="203">
        <f>ROUND($D$233*$D$17,-7)</f>
        <v>720000000</v>
      </c>
      <c r="E249" s="50"/>
      <c r="F249" s="50"/>
      <c r="G249" s="50" t="s">
        <v>976</v>
      </c>
      <c r="H249" s="50" t="s">
        <v>629</v>
      </c>
      <c r="I249" s="50"/>
      <c r="J249" s="50"/>
      <c r="K249" s="50"/>
      <c r="L249" s="49"/>
      <c r="M249" s="1159"/>
    </row>
    <row r="250" spans="1:13" x14ac:dyDescent="0.3">
      <c r="A250" s="6">
        <v>250</v>
      </c>
      <c r="B250" s="1329"/>
      <c r="C250" s="502" t="s">
        <v>981</v>
      </c>
      <c r="D250" s="201">
        <f>ROUND($D$234*$D$17,-5)</f>
        <v>22300000</v>
      </c>
      <c r="E250" s="82"/>
      <c r="F250" s="82"/>
      <c r="G250" s="53" t="s">
        <v>976</v>
      </c>
      <c r="H250" s="121" t="s">
        <v>629</v>
      </c>
      <c r="I250" s="53"/>
      <c r="J250" s="53"/>
      <c r="K250" s="53"/>
      <c r="L250" s="53"/>
      <c r="M250" s="1159"/>
    </row>
    <row r="251" spans="1:13" x14ac:dyDescent="0.3">
      <c r="A251" s="6">
        <v>251</v>
      </c>
      <c r="B251" s="1329"/>
      <c r="C251" s="503" t="s">
        <v>982</v>
      </c>
      <c r="D251" s="343">
        <f>ROUND($D$235*$D$17,-5)</f>
        <v>88600000</v>
      </c>
      <c r="E251" s="393"/>
      <c r="F251" s="393"/>
      <c r="G251" s="166" t="s">
        <v>976</v>
      </c>
      <c r="H251" s="165" t="s">
        <v>629</v>
      </c>
      <c r="I251" s="166"/>
      <c r="J251" s="166"/>
      <c r="K251" s="166"/>
      <c r="L251" s="166"/>
      <c r="M251" s="1159"/>
    </row>
    <row r="252" spans="1:13" x14ac:dyDescent="0.3">
      <c r="A252" s="6">
        <v>252</v>
      </c>
      <c r="B252" s="1329"/>
      <c r="C252" s="504" t="s">
        <v>983</v>
      </c>
      <c r="D252" s="673" t="s">
        <v>1833</v>
      </c>
      <c r="E252" s="430"/>
      <c r="F252" s="430"/>
      <c r="G252" s="375" t="s">
        <v>976</v>
      </c>
      <c r="H252" s="375"/>
      <c r="I252" s="375"/>
      <c r="J252" s="375"/>
      <c r="K252" s="375"/>
      <c r="L252" s="375"/>
      <c r="M252" s="1159"/>
    </row>
    <row r="253" spans="1:13" x14ac:dyDescent="0.3">
      <c r="A253" s="6">
        <v>253</v>
      </c>
      <c r="B253" s="1329"/>
      <c r="C253" s="478" t="s">
        <v>984</v>
      </c>
      <c r="D253" s="203">
        <f>ROUND($D$237*$D$17,-7)</f>
        <v>340000000</v>
      </c>
      <c r="E253" s="86"/>
      <c r="F253" s="86"/>
      <c r="G253" s="49" t="s">
        <v>976</v>
      </c>
      <c r="H253" s="50" t="s">
        <v>629</v>
      </c>
      <c r="I253" s="49"/>
      <c r="J253" s="49"/>
      <c r="K253" s="49"/>
      <c r="L253" s="49"/>
      <c r="M253" s="1159"/>
    </row>
    <row r="254" spans="1:13" x14ac:dyDescent="0.3">
      <c r="A254" s="6">
        <v>254</v>
      </c>
      <c r="B254" s="1329"/>
      <c r="C254" s="501" t="s">
        <v>985</v>
      </c>
      <c r="D254" s="466">
        <f>ROUND($D$238*$D$17,-5)</f>
        <v>18200000</v>
      </c>
      <c r="E254" s="91"/>
      <c r="F254" s="91"/>
      <c r="G254" s="110" t="s">
        <v>976</v>
      </c>
      <c r="H254" s="41" t="s">
        <v>629</v>
      </c>
      <c r="I254" s="110"/>
      <c r="J254" s="110"/>
      <c r="K254" s="110"/>
      <c r="L254" s="110"/>
      <c r="M254" s="1159"/>
    </row>
    <row r="255" spans="1:13" x14ac:dyDescent="0.3">
      <c r="A255" s="6">
        <v>255</v>
      </c>
      <c r="B255" s="1329"/>
      <c r="C255" s="501" t="s">
        <v>986</v>
      </c>
      <c r="D255" s="658" t="s">
        <v>1833</v>
      </c>
      <c r="E255" s="91"/>
      <c r="F255" s="91"/>
      <c r="G255" s="110" t="s">
        <v>976</v>
      </c>
      <c r="H255" s="110"/>
      <c r="I255" s="110"/>
      <c r="J255" s="110"/>
      <c r="K255" s="110"/>
      <c r="L255" s="110"/>
    </row>
    <row r="256" spans="1:13" x14ac:dyDescent="0.3">
      <c r="A256" s="6">
        <v>256</v>
      </c>
      <c r="B256" s="1329"/>
      <c r="C256" s="487" t="s">
        <v>1935</v>
      </c>
      <c r="D256" s="652" t="s">
        <v>1833</v>
      </c>
      <c r="E256" s="84"/>
      <c r="F256" s="84"/>
      <c r="G256" s="3" t="s">
        <v>976</v>
      </c>
      <c r="H256" s="84"/>
      <c r="I256" s="84"/>
      <c r="J256" s="84"/>
      <c r="K256" s="84"/>
      <c r="L256" s="84"/>
    </row>
    <row r="257" spans="1:13" ht="15.65" thickBot="1" x14ac:dyDescent="0.35">
      <c r="A257" s="6">
        <v>257</v>
      </c>
      <c r="B257" s="1329"/>
      <c r="C257" s="505"/>
      <c r="D257" s="136"/>
      <c r="E257" s="136"/>
      <c r="F257" s="136"/>
      <c r="G257" s="131"/>
    </row>
    <row r="258" spans="1:13" ht="15.65" thickBot="1" x14ac:dyDescent="0.35">
      <c r="A258" s="6">
        <v>258</v>
      </c>
      <c r="B258" s="1330"/>
      <c r="C258" s="506" t="s">
        <v>987</v>
      </c>
      <c r="D258" s="256">
        <f>ROUND($D$244+$D$245+$D$247+$D$249+$D$250+$D$251+$D$253+$D$254,-7)</f>
        <v>1300000000</v>
      </c>
      <c r="E258" s="307"/>
      <c r="F258" s="307"/>
      <c r="G258" s="120" t="s">
        <v>976</v>
      </c>
      <c r="H258" s="112" t="s">
        <v>629</v>
      </c>
      <c r="M258" s="1159"/>
    </row>
    <row r="259" spans="1:13" x14ac:dyDescent="0.3">
      <c r="A259" s="6">
        <v>259</v>
      </c>
      <c r="B259" s="512"/>
      <c r="C259" s="5"/>
      <c r="D259" s="207"/>
      <c r="E259" s="207"/>
      <c r="F259" s="207"/>
    </row>
    <row r="260" spans="1:13" ht="15.65" thickBot="1" x14ac:dyDescent="0.35">
      <c r="A260" s="6">
        <v>260</v>
      </c>
      <c r="B260" s="512"/>
      <c r="C260" s="5"/>
      <c r="D260" s="207"/>
      <c r="E260" s="207"/>
      <c r="F260" s="207"/>
    </row>
    <row r="261" spans="1:13" s="30" customFormat="1" ht="15.05" customHeight="1" x14ac:dyDescent="0.3">
      <c r="A261" s="6">
        <v>261</v>
      </c>
      <c r="B261" s="1337" t="s">
        <v>1584</v>
      </c>
      <c r="C261" s="510" t="s">
        <v>431</v>
      </c>
      <c r="D261" s="511">
        <f>$D$200*$D$214</f>
        <v>83.775804095727807</v>
      </c>
      <c r="E261" s="310"/>
      <c r="F261" s="310"/>
      <c r="G261" s="262" t="s">
        <v>458</v>
      </c>
      <c r="H261" s="1078" t="s">
        <v>629</v>
      </c>
      <c r="I261" s="262"/>
      <c r="J261" s="262"/>
      <c r="K261" s="262"/>
      <c r="L261" s="262"/>
      <c r="M261" s="1159"/>
    </row>
    <row r="262" spans="1:13" x14ac:dyDescent="0.3">
      <c r="A262" s="6">
        <v>262</v>
      </c>
      <c r="B262" s="1338"/>
      <c r="C262" s="501" t="s">
        <v>432</v>
      </c>
      <c r="D262" s="466">
        <f>$D$201*$D$215</f>
        <v>83.775804095727807</v>
      </c>
      <c r="E262" s="91"/>
      <c r="F262" s="91"/>
      <c r="G262" s="110" t="s">
        <v>458</v>
      </c>
      <c r="H262" s="41" t="s">
        <v>629</v>
      </c>
      <c r="I262" s="110"/>
      <c r="J262" s="110"/>
      <c r="K262" s="110"/>
      <c r="L262" s="110"/>
      <c r="M262" s="1159"/>
    </row>
    <row r="263" spans="1:13" x14ac:dyDescent="0.3">
      <c r="A263" s="6">
        <v>263</v>
      </c>
      <c r="B263" s="1338"/>
      <c r="C263" s="501" t="s">
        <v>1486</v>
      </c>
      <c r="D263" s="658" t="s">
        <v>1833</v>
      </c>
      <c r="E263" s="91"/>
      <c r="F263" s="91"/>
      <c r="G263" s="110" t="s">
        <v>458</v>
      </c>
      <c r="H263" s="110"/>
      <c r="I263" s="110"/>
      <c r="J263" s="110"/>
      <c r="K263" s="110"/>
      <c r="L263" s="110"/>
    </row>
    <row r="264" spans="1:13" x14ac:dyDescent="0.3">
      <c r="A264" s="6">
        <v>264</v>
      </c>
      <c r="B264" s="1338"/>
      <c r="C264" s="258" t="s">
        <v>422</v>
      </c>
      <c r="D264" s="329">
        <f>ROUND($D$203*$D$217,-1)</f>
        <v>2020</v>
      </c>
      <c r="E264" s="215"/>
      <c r="F264" s="215"/>
      <c r="G264" s="55" t="s">
        <v>458</v>
      </c>
      <c r="H264" s="212" t="s">
        <v>629</v>
      </c>
      <c r="I264" s="55"/>
      <c r="J264" s="55"/>
      <c r="K264" s="55"/>
      <c r="L264" s="55"/>
      <c r="M264" s="1159"/>
    </row>
    <row r="265" spans="1:13" x14ac:dyDescent="0.3">
      <c r="A265" s="6">
        <v>265</v>
      </c>
      <c r="B265" s="1338"/>
      <c r="C265" s="477" t="s">
        <v>1146</v>
      </c>
      <c r="D265" s="656" t="s">
        <v>1833</v>
      </c>
      <c r="E265" s="257"/>
      <c r="F265" s="257"/>
      <c r="G265" s="34" t="s">
        <v>458</v>
      </c>
      <c r="H265" s="34"/>
      <c r="I265" s="34"/>
      <c r="J265" s="34"/>
      <c r="K265" s="34"/>
      <c r="L265" s="34"/>
    </row>
    <row r="266" spans="1:13" x14ac:dyDescent="0.3">
      <c r="A266" s="6">
        <v>266</v>
      </c>
      <c r="B266" s="1338"/>
      <c r="C266" s="478" t="s">
        <v>423</v>
      </c>
      <c r="D266" s="203">
        <f>$D$205*$D$219</f>
        <v>9300</v>
      </c>
      <c r="E266" s="86"/>
      <c r="F266" s="86"/>
      <c r="G266" s="49" t="s">
        <v>458</v>
      </c>
      <c r="H266" s="50" t="s">
        <v>629</v>
      </c>
      <c r="I266" s="49"/>
      <c r="J266" s="49"/>
      <c r="K266" s="49"/>
      <c r="L266" s="49"/>
      <c r="M266" s="1159"/>
    </row>
    <row r="267" spans="1:13" x14ac:dyDescent="0.3">
      <c r="A267" s="6">
        <v>267</v>
      </c>
      <c r="B267" s="1338"/>
      <c r="C267" s="502" t="s">
        <v>424</v>
      </c>
      <c r="D267" s="201">
        <f>ROUND($D$220*$D$206,-1)</f>
        <v>170</v>
      </c>
      <c r="E267" s="82"/>
      <c r="F267" s="82"/>
      <c r="G267" s="53" t="s">
        <v>458</v>
      </c>
      <c r="H267" s="121" t="s">
        <v>629</v>
      </c>
      <c r="I267" s="53"/>
      <c r="J267" s="53"/>
      <c r="K267" s="53"/>
      <c r="L267" s="53"/>
      <c r="M267" s="1159"/>
    </row>
    <row r="268" spans="1:13" x14ac:dyDescent="0.3">
      <c r="A268" s="6">
        <v>268</v>
      </c>
      <c r="B268" s="1338"/>
      <c r="C268" s="503" t="s">
        <v>425</v>
      </c>
      <c r="D268" s="343">
        <f>ROUND($D$221*$D$207,-1)</f>
        <v>890</v>
      </c>
      <c r="E268" s="393"/>
      <c r="F268" s="393"/>
      <c r="G268" s="166" t="s">
        <v>458</v>
      </c>
      <c r="H268" s="165" t="s">
        <v>629</v>
      </c>
      <c r="I268" s="166"/>
      <c r="J268" s="166"/>
      <c r="K268" s="166"/>
      <c r="L268" s="166"/>
      <c r="M268" s="1159"/>
    </row>
    <row r="269" spans="1:13" x14ac:dyDescent="0.3">
      <c r="A269" s="6">
        <v>269</v>
      </c>
      <c r="B269" s="1338"/>
      <c r="C269" s="504" t="s">
        <v>426</v>
      </c>
      <c r="D269" s="657" t="s">
        <v>1833</v>
      </c>
      <c r="E269" s="400"/>
      <c r="F269" s="400"/>
      <c r="G269" s="375" t="s">
        <v>458</v>
      </c>
      <c r="H269" s="375"/>
      <c r="I269" s="375"/>
      <c r="J269" s="375"/>
      <c r="K269" s="375"/>
      <c r="L269" s="375"/>
    </row>
    <row r="270" spans="1:13" x14ac:dyDescent="0.3">
      <c r="A270" s="6">
        <v>270</v>
      </c>
      <c r="B270" s="1338"/>
      <c r="C270" s="478" t="s">
        <v>427</v>
      </c>
      <c r="D270" s="203">
        <f>$D$209*$D$223</f>
        <v>9300</v>
      </c>
      <c r="E270" s="86"/>
      <c r="F270" s="86"/>
      <c r="G270" s="49" t="s">
        <v>458</v>
      </c>
      <c r="H270" s="50" t="s">
        <v>629</v>
      </c>
      <c r="I270" s="49"/>
      <c r="J270" s="49"/>
      <c r="K270" s="49"/>
      <c r="L270" s="49"/>
      <c r="M270" s="1159"/>
    </row>
    <row r="271" spans="1:13" x14ac:dyDescent="0.3">
      <c r="A271" s="6">
        <v>271</v>
      </c>
      <c r="B271" s="1338"/>
      <c r="C271" s="486" t="s">
        <v>428</v>
      </c>
      <c r="D271" s="204">
        <f>ROUND($D$210*$D$224,-1)</f>
        <v>170</v>
      </c>
      <c r="E271" s="78"/>
      <c r="F271" s="78"/>
      <c r="G271" s="66" t="s">
        <v>458</v>
      </c>
      <c r="H271" s="111" t="s">
        <v>629</v>
      </c>
      <c r="I271" s="66"/>
      <c r="J271" s="66"/>
      <c r="K271" s="66"/>
      <c r="L271" s="66"/>
      <c r="M271" s="1159"/>
    </row>
    <row r="272" spans="1:13" x14ac:dyDescent="0.3">
      <c r="A272" s="6">
        <v>272</v>
      </c>
      <c r="B272" s="1338"/>
      <c r="C272" s="486" t="s">
        <v>429</v>
      </c>
      <c r="D272" s="655" t="s">
        <v>1833</v>
      </c>
      <c r="E272" s="87"/>
      <c r="F272" s="87"/>
      <c r="G272" s="66" t="s">
        <v>458</v>
      </c>
      <c r="H272" s="66"/>
      <c r="I272" s="66"/>
      <c r="J272" s="66"/>
      <c r="K272" s="66"/>
      <c r="L272" s="66"/>
      <c r="M272" s="1159"/>
    </row>
    <row r="273" spans="1:13" x14ac:dyDescent="0.3">
      <c r="A273" s="6">
        <v>273</v>
      </c>
      <c r="B273" s="1339"/>
      <c r="C273" s="487" t="s">
        <v>505</v>
      </c>
      <c r="D273" s="652" t="s">
        <v>1833</v>
      </c>
      <c r="E273" s="80"/>
      <c r="F273" s="80"/>
      <c r="G273" s="3" t="s">
        <v>458</v>
      </c>
      <c r="H273" s="3"/>
      <c r="I273" s="3"/>
      <c r="J273" s="3"/>
      <c r="K273" s="3"/>
      <c r="L273" s="3"/>
    </row>
    <row r="274" spans="1:13" s="11" customFormat="1" x14ac:dyDescent="0.3">
      <c r="A274" s="6">
        <v>274</v>
      </c>
      <c r="B274" s="5"/>
      <c r="C274" s="5"/>
      <c r="D274" s="76"/>
      <c r="E274" s="76"/>
      <c r="F274" s="76"/>
    </row>
    <row r="275" spans="1:13" ht="15.65" thickBot="1" x14ac:dyDescent="0.35">
      <c r="A275" s="6">
        <v>275</v>
      </c>
      <c r="B275" s="485"/>
      <c r="C275" s="6"/>
      <c r="D275" s="74"/>
      <c r="E275" s="74"/>
      <c r="F275" s="74"/>
    </row>
    <row r="276" spans="1:13" x14ac:dyDescent="0.3">
      <c r="A276" s="6">
        <v>276</v>
      </c>
      <c r="B276" s="1325" t="s">
        <v>1585</v>
      </c>
      <c r="C276" s="501" t="s">
        <v>433</v>
      </c>
      <c r="D276" s="573">
        <f>($D$261/($D$66*1000))*100</f>
        <v>0.44325822272871856</v>
      </c>
      <c r="E276" s="91"/>
      <c r="F276" s="91"/>
      <c r="G276" s="110" t="s">
        <v>459</v>
      </c>
      <c r="H276" s="41" t="s">
        <v>629</v>
      </c>
      <c r="I276" s="110" t="s">
        <v>341</v>
      </c>
      <c r="J276" s="110"/>
      <c r="K276" s="110"/>
      <c r="L276" s="110"/>
      <c r="M276" s="1159"/>
    </row>
    <row r="277" spans="1:13" x14ac:dyDescent="0.3">
      <c r="A277" s="6">
        <v>277</v>
      </c>
      <c r="B277" s="1326"/>
      <c r="C277" s="501" t="s">
        <v>434</v>
      </c>
      <c r="D277" s="573">
        <f>($D$262/($D$67*1000))*100</f>
        <v>0.21480975409160977</v>
      </c>
      <c r="E277" s="91"/>
      <c r="F277" s="91"/>
      <c r="G277" s="110" t="s">
        <v>459</v>
      </c>
      <c r="H277" s="41" t="s">
        <v>629</v>
      </c>
      <c r="I277" s="110" t="s">
        <v>341</v>
      </c>
      <c r="J277" s="110"/>
      <c r="K277" s="110"/>
      <c r="L277" s="110"/>
      <c r="M277" s="1159"/>
    </row>
    <row r="278" spans="1:13" x14ac:dyDescent="0.3">
      <c r="A278" s="6">
        <v>278</v>
      </c>
      <c r="B278" s="1326"/>
      <c r="C278" s="501" t="s">
        <v>1485</v>
      </c>
      <c r="D278" s="658" t="s">
        <v>1833</v>
      </c>
      <c r="E278" s="91"/>
      <c r="F278" s="91"/>
      <c r="G278" s="110" t="s">
        <v>459</v>
      </c>
      <c r="H278" s="110"/>
      <c r="I278" s="110"/>
      <c r="J278" s="110"/>
      <c r="K278" s="110"/>
      <c r="L278" s="110"/>
      <c r="M278" s="1159"/>
    </row>
    <row r="279" spans="1:13" x14ac:dyDescent="0.3">
      <c r="A279" s="6">
        <v>279</v>
      </c>
      <c r="B279" s="1326"/>
      <c r="C279" s="258" t="s">
        <v>195</v>
      </c>
      <c r="D279" s="329">
        <f>($D$264/($D$69*1000))*100</f>
        <v>19.751637821453016</v>
      </c>
      <c r="E279" s="215"/>
      <c r="F279" s="215"/>
      <c r="G279" s="55" t="s">
        <v>459</v>
      </c>
      <c r="H279" s="212" t="s">
        <v>629</v>
      </c>
      <c r="I279" s="55" t="s">
        <v>341</v>
      </c>
      <c r="J279" s="55"/>
      <c r="K279" s="55"/>
      <c r="L279" s="55"/>
      <c r="M279" s="1159"/>
    </row>
    <row r="280" spans="1:13" x14ac:dyDescent="0.3">
      <c r="A280" s="6">
        <v>280</v>
      </c>
      <c r="B280" s="1326"/>
      <c r="C280" s="477" t="s">
        <v>1147</v>
      </c>
      <c r="D280" s="656" t="s">
        <v>1833</v>
      </c>
      <c r="E280" s="257"/>
      <c r="F280" s="257"/>
      <c r="G280" s="34" t="s">
        <v>459</v>
      </c>
      <c r="H280" s="34"/>
      <c r="I280" s="34"/>
      <c r="J280" s="34"/>
      <c r="K280" s="34"/>
      <c r="L280" s="34"/>
    </row>
    <row r="281" spans="1:13" x14ac:dyDescent="0.3">
      <c r="A281" s="6">
        <v>281</v>
      </c>
      <c r="B281" s="1326"/>
      <c r="C281" s="478" t="s">
        <v>192</v>
      </c>
      <c r="D281" s="330">
        <f>$D$266/($D$72*1000)*100</f>
        <v>9.3000000000000007</v>
      </c>
      <c r="E281" s="86"/>
      <c r="F281" s="86"/>
      <c r="G281" s="49" t="s">
        <v>459</v>
      </c>
      <c r="H281" s="50" t="s">
        <v>629</v>
      </c>
      <c r="I281" s="49" t="s">
        <v>341</v>
      </c>
      <c r="J281" s="49"/>
      <c r="K281" s="49"/>
      <c r="L281" s="49"/>
      <c r="M281" s="1159"/>
    </row>
    <row r="282" spans="1:13" x14ac:dyDescent="0.3">
      <c r="A282" s="6">
        <v>282</v>
      </c>
      <c r="B282" s="1326"/>
      <c r="C282" s="502" t="s">
        <v>877</v>
      </c>
      <c r="D282" s="254">
        <f>$D$267/($D$73*1000)*100</f>
        <v>20</v>
      </c>
      <c r="E282" s="82"/>
      <c r="F282" s="82"/>
      <c r="G282" s="25" t="s">
        <v>459</v>
      </c>
      <c r="H282" s="121" t="s">
        <v>629</v>
      </c>
      <c r="I282" s="25" t="s">
        <v>341</v>
      </c>
      <c r="J282" s="25"/>
      <c r="K282" s="25"/>
      <c r="L282" s="25"/>
      <c r="M282" s="1159"/>
    </row>
    <row r="283" spans="1:13" x14ac:dyDescent="0.3">
      <c r="A283" s="6">
        <v>283</v>
      </c>
      <c r="B283" s="1326"/>
      <c r="C283" s="503" t="s">
        <v>878</v>
      </c>
      <c r="D283" s="1255">
        <f>$D$268/($D$74*1000)*100</f>
        <v>140.80050624901125</v>
      </c>
      <c r="E283" s="393"/>
      <c r="F283" s="393"/>
      <c r="G283" s="70" t="s">
        <v>459</v>
      </c>
      <c r="H283" s="165" t="s">
        <v>629</v>
      </c>
      <c r="I283" s="70" t="s">
        <v>2530</v>
      </c>
      <c r="J283" s="70"/>
      <c r="K283" s="70"/>
      <c r="L283" s="70"/>
      <c r="M283" s="1159"/>
    </row>
    <row r="284" spans="1:13" x14ac:dyDescent="0.3">
      <c r="A284" s="6">
        <v>284</v>
      </c>
      <c r="B284" s="1326"/>
      <c r="C284" s="504" t="s">
        <v>435</v>
      </c>
      <c r="D284" s="657" t="s">
        <v>1833</v>
      </c>
      <c r="E284" s="400"/>
      <c r="F284" s="400"/>
      <c r="G284" s="391" t="s">
        <v>459</v>
      </c>
      <c r="H284" s="391"/>
      <c r="I284" s="391"/>
      <c r="J284" s="391"/>
      <c r="K284" s="391"/>
      <c r="L284" s="391"/>
      <c r="M284" s="1159"/>
    </row>
    <row r="285" spans="1:13" x14ac:dyDescent="0.3">
      <c r="A285" s="6">
        <v>285</v>
      </c>
      <c r="B285" s="1326"/>
      <c r="C285" s="478" t="s">
        <v>193</v>
      </c>
      <c r="D285" s="330">
        <f>$D$270/($D$76*1000)*100</f>
        <v>15.5</v>
      </c>
      <c r="E285" s="86"/>
      <c r="F285" s="86"/>
      <c r="G285" s="49" t="s">
        <v>459</v>
      </c>
      <c r="H285" s="50" t="s">
        <v>629</v>
      </c>
      <c r="I285" s="49" t="s">
        <v>341</v>
      </c>
      <c r="J285" s="49"/>
      <c r="K285" s="49"/>
      <c r="L285" s="49"/>
      <c r="M285" s="1159"/>
    </row>
    <row r="286" spans="1:13" x14ac:dyDescent="0.3">
      <c r="A286" s="6">
        <v>286</v>
      </c>
      <c r="B286" s="1326"/>
      <c r="C286" s="501" t="s">
        <v>229</v>
      </c>
      <c r="D286" s="466">
        <f>($D$271/($D$77*1000))*100</f>
        <v>21.711366538952745</v>
      </c>
      <c r="E286" s="91"/>
      <c r="F286" s="91"/>
      <c r="G286" s="110" t="s">
        <v>459</v>
      </c>
      <c r="H286" s="41" t="s">
        <v>629</v>
      </c>
      <c r="I286" s="110" t="s">
        <v>341</v>
      </c>
      <c r="J286" s="110"/>
      <c r="K286" s="110"/>
      <c r="L286" s="110"/>
      <c r="M286" s="1159"/>
    </row>
    <row r="287" spans="1:13" x14ac:dyDescent="0.3">
      <c r="A287" s="6">
        <v>287</v>
      </c>
      <c r="B287" s="1326"/>
      <c r="C287" s="501" t="s">
        <v>430</v>
      </c>
      <c r="D287" s="658" t="s">
        <v>1833</v>
      </c>
      <c r="E287" s="222"/>
      <c r="F287" s="222"/>
      <c r="G287" s="110" t="s">
        <v>459</v>
      </c>
      <c r="H287" s="110"/>
      <c r="I287" s="110"/>
      <c r="J287" s="110"/>
      <c r="K287" s="110"/>
      <c r="L287" s="110"/>
    </row>
    <row r="288" spans="1:13" ht="15.65" thickBot="1" x14ac:dyDescent="0.35">
      <c r="A288" s="6">
        <v>288</v>
      </c>
      <c r="B288" s="1327"/>
      <c r="C288" s="487" t="s">
        <v>879</v>
      </c>
      <c r="D288" s="652" t="s">
        <v>1833</v>
      </c>
      <c r="E288" s="80"/>
      <c r="F288" s="80"/>
      <c r="G288" s="52" t="s">
        <v>459</v>
      </c>
      <c r="H288" s="52"/>
      <c r="I288" s="52"/>
      <c r="J288" s="52"/>
      <c r="K288" s="52"/>
      <c r="L288" s="52"/>
    </row>
    <row r="289" spans="1:13" ht="15.65" thickBot="1" x14ac:dyDescent="0.35">
      <c r="A289" s="6">
        <v>289</v>
      </c>
      <c r="B289" s="485"/>
      <c r="C289" s="6"/>
      <c r="D289" s="75"/>
      <c r="E289" s="75"/>
      <c r="F289" s="75"/>
    </row>
    <row r="290" spans="1:13" ht="15.05" customHeight="1" x14ac:dyDescent="0.3">
      <c r="A290" s="6">
        <v>290</v>
      </c>
      <c r="B290" s="1328" t="s">
        <v>1562</v>
      </c>
      <c r="C290" s="501" t="s">
        <v>1783</v>
      </c>
      <c r="D290" s="91">
        <f>$D$41*$D$261/1000000000</f>
        <v>4.9008845396000767E-3</v>
      </c>
      <c r="E290" s="91"/>
      <c r="F290" s="91"/>
      <c r="G290" s="110" t="s">
        <v>537</v>
      </c>
      <c r="H290" s="41" t="s">
        <v>629</v>
      </c>
      <c r="I290" s="221" t="s">
        <v>342</v>
      </c>
      <c r="J290" s="110"/>
      <c r="K290" s="110"/>
      <c r="L290" s="110"/>
      <c r="M290" s="1159"/>
    </row>
    <row r="291" spans="1:13" x14ac:dyDescent="0.3">
      <c r="A291" s="6">
        <v>291</v>
      </c>
      <c r="B291" s="1329"/>
      <c r="C291" s="501" t="s">
        <v>1784</v>
      </c>
      <c r="D291" s="91">
        <f>$D$42*$D$262/1000000000</f>
        <v>3.5939819957067232E-3</v>
      </c>
      <c r="E291" s="91"/>
      <c r="F291" s="91"/>
      <c r="G291" s="110" t="s">
        <v>537</v>
      </c>
      <c r="H291" s="41" t="s">
        <v>629</v>
      </c>
      <c r="I291" s="221" t="s">
        <v>342</v>
      </c>
      <c r="J291" s="110"/>
      <c r="K291" s="110"/>
      <c r="L291" s="110"/>
      <c r="M291" s="1159"/>
    </row>
    <row r="292" spans="1:13" x14ac:dyDescent="0.3">
      <c r="A292" s="6">
        <v>292</v>
      </c>
      <c r="B292" s="1329"/>
      <c r="C292" s="501" t="s">
        <v>1785</v>
      </c>
      <c r="D292" s="658" t="s">
        <v>1833</v>
      </c>
      <c r="E292" s="91"/>
      <c r="F292" s="91"/>
      <c r="G292" s="110" t="s">
        <v>537</v>
      </c>
      <c r="H292" s="221"/>
      <c r="I292" s="221"/>
      <c r="J292" s="110"/>
      <c r="K292" s="110"/>
      <c r="L292" s="110"/>
    </row>
    <row r="293" spans="1:13" x14ac:dyDescent="0.3">
      <c r="A293" s="6">
        <v>293</v>
      </c>
      <c r="B293" s="1329"/>
      <c r="C293" s="258" t="s">
        <v>1786</v>
      </c>
      <c r="D293" s="214">
        <f>$D$44*$D$264/1000000000</f>
        <v>0.12726000000000001</v>
      </c>
      <c r="E293" s="215"/>
      <c r="F293" s="215"/>
      <c r="G293" s="55" t="s">
        <v>537</v>
      </c>
      <c r="H293" s="212" t="s">
        <v>629</v>
      </c>
      <c r="I293" s="69" t="s">
        <v>342</v>
      </c>
      <c r="J293" s="55"/>
      <c r="K293" s="55"/>
      <c r="L293" s="55"/>
      <c r="M293" s="1159"/>
    </row>
    <row r="294" spans="1:13" x14ac:dyDescent="0.3">
      <c r="A294" s="6">
        <v>294</v>
      </c>
      <c r="B294" s="1329"/>
      <c r="C294" s="477" t="s">
        <v>1787</v>
      </c>
      <c r="D294" s="656" t="s">
        <v>1833</v>
      </c>
      <c r="E294" s="79"/>
      <c r="F294" s="79"/>
      <c r="G294" s="34" t="s">
        <v>537</v>
      </c>
      <c r="H294" s="68"/>
      <c r="I294" s="68"/>
      <c r="J294" s="34"/>
      <c r="K294" s="34"/>
      <c r="L294" s="34"/>
      <c r="M294" s="1159"/>
    </row>
    <row r="295" spans="1:13" x14ac:dyDescent="0.3">
      <c r="A295" s="6">
        <v>295</v>
      </c>
      <c r="B295" s="1329"/>
      <c r="C295" s="478" t="s">
        <v>1788</v>
      </c>
      <c r="D295" s="330">
        <f>$D$266*$D$47/1000000000</f>
        <v>1.46475</v>
      </c>
      <c r="E295" s="86"/>
      <c r="F295" s="86"/>
      <c r="G295" s="49" t="s">
        <v>537</v>
      </c>
      <c r="H295" s="50" t="s">
        <v>629</v>
      </c>
      <c r="I295" s="67" t="s">
        <v>342</v>
      </c>
      <c r="J295" s="49"/>
      <c r="K295" s="49"/>
      <c r="L295" s="49"/>
      <c r="M295" s="1159"/>
    </row>
    <row r="296" spans="1:13" x14ac:dyDescent="0.3">
      <c r="A296" s="6">
        <v>296</v>
      </c>
      <c r="B296" s="1329"/>
      <c r="C296" s="502" t="s">
        <v>1789</v>
      </c>
      <c r="D296" s="82">
        <f>$D$267*$D$48/1000000000</f>
        <v>8.3300000000000006E-3</v>
      </c>
      <c r="E296" s="82"/>
      <c r="F296" s="82"/>
      <c r="G296" s="53" t="s">
        <v>537</v>
      </c>
      <c r="H296" s="121" t="s">
        <v>629</v>
      </c>
      <c r="I296" s="25" t="s">
        <v>342</v>
      </c>
      <c r="J296" s="53"/>
      <c r="K296" s="53"/>
      <c r="L296" s="53"/>
      <c r="M296" s="1159"/>
    </row>
    <row r="297" spans="1:13" x14ac:dyDescent="0.3">
      <c r="A297" s="6">
        <v>297</v>
      </c>
      <c r="B297" s="1329"/>
      <c r="C297" s="503" t="s">
        <v>1790</v>
      </c>
      <c r="D297" s="467">
        <f>$D$268*$D$49/1000000000</f>
        <v>6.9419999999999996E-2</v>
      </c>
      <c r="E297" s="393"/>
      <c r="F297" s="393"/>
      <c r="G297" s="166" t="s">
        <v>537</v>
      </c>
      <c r="H297" s="70"/>
      <c r="I297" s="70"/>
      <c r="J297" s="166"/>
      <c r="K297" s="166"/>
      <c r="L297" s="166"/>
    </row>
    <row r="298" spans="1:13" x14ac:dyDescent="0.3">
      <c r="A298" s="6">
        <v>298</v>
      </c>
      <c r="B298" s="1329"/>
      <c r="C298" s="504" t="s">
        <v>1791</v>
      </c>
      <c r="D298" s="657" t="s">
        <v>1833</v>
      </c>
      <c r="E298" s="400"/>
      <c r="F298" s="400"/>
      <c r="G298" s="375" t="s">
        <v>537</v>
      </c>
      <c r="H298" s="391"/>
      <c r="I298" s="391"/>
      <c r="J298" s="375"/>
      <c r="K298" s="375"/>
      <c r="L298" s="375"/>
    </row>
    <row r="299" spans="1:13" x14ac:dyDescent="0.3">
      <c r="A299" s="6">
        <v>299</v>
      </c>
      <c r="B299" s="1329"/>
      <c r="C299" s="518" t="s">
        <v>1792</v>
      </c>
      <c r="D299" s="330">
        <f>$D$51*$D$270/1000000000</f>
        <v>0.69601199999999996</v>
      </c>
      <c r="E299" s="86"/>
      <c r="F299" s="86"/>
      <c r="G299" s="49" t="s">
        <v>537</v>
      </c>
      <c r="H299" s="50" t="s">
        <v>629</v>
      </c>
      <c r="I299" s="67" t="s">
        <v>342</v>
      </c>
      <c r="J299" s="49"/>
      <c r="K299" s="49"/>
      <c r="L299" s="49"/>
      <c r="M299" s="1159"/>
    </row>
    <row r="300" spans="1:13" x14ac:dyDescent="0.3">
      <c r="A300" s="6">
        <v>300</v>
      </c>
      <c r="B300" s="1329"/>
      <c r="C300" s="501" t="s">
        <v>1793</v>
      </c>
      <c r="D300" s="91">
        <f>$D$52*$D$271/1000000000</f>
        <v>1.3617000000000001E-2</v>
      </c>
      <c r="E300" s="91"/>
      <c r="F300" s="91"/>
      <c r="G300" s="110" t="s">
        <v>537</v>
      </c>
      <c r="H300" s="41" t="s">
        <v>629</v>
      </c>
      <c r="I300" s="221" t="s">
        <v>342</v>
      </c>
      <c r="J300" s="110"/>
      <c r="K300" s="110"/>
      <c r="L300" s="110"/>
      <c r="M300" s="1159"/>
    </row>
    <row r="301" spans="1:13" x14ac:dyDescent="0.3">
      <c r="A301" s="6">
        <v>301</v>
      </c>
      <c r="B301" s="1329"/>
      <c r="C301" s="501" t="s">
        <v>1794</v>
      </c>
      <c r="D301" s="658" t="s">
        <v>1833</v>
      </c>
      <c r="E301" s="91"/>
      <c r="F301" s="91"/>
      <c r="G301" s="110" t="s">
        <v>537</v>
      </c>
      <c r="H301" s="221"/>
      <c r="I301" s="110"/>
      <c r="J301" s="110"/>
      <c r="K301" s="110"/>
      <c r="L301" s="110"/>
    </row>
    <row r="302" spans="1:13" x14ac:dyDescent="0.3">
      <c r="A302" s="6">
        <v>302</v>
      </c>
      <c r="B302" s="1329"/>
      <c r="C302" s="487" t="s">
        <v>1536</v>
      </c>
      <c r="D302" s="652" t="s">
        <v>1833</v>
      </c>
      <c r="E302" s="84"/>
      <c r="F302" s="84"/>
      <c r="G302" s="3" t="s">
        <v>537</v>
      </c>
      <c r="H302" s="52"/>
      <c r="I302" s="3"/>
      <c r="J302" s="3"/>
      <c r="K302" s="3"/>
      <c r="L302" s="3"/>
    </row>
    <row r="303" spans="1:13" x14ac:dyDescent="0.3">
      <c r="A303" s="6">
        <v>303</v>
      </c>
      <c r="B303" s="1329"/>
      <c r="C303" s="516"/>
      <c r="D303" s="75"/>
      <c r="E303" s="75"/>
      <c r="F303" s="75"/>
      <c r="H303" s="6"/>
    </row>
    <row r="304" spans="1:13" x14ac:dyDescent="0.3">
      <c r="A304" s="6">
        <v>304</v>
      </c>
      <c r="B304" s="1329"/>
      <c r="C304" s="501" t="s">
        <v>637</v>
      </c>
      <c r="D304" s="91">
        <f>$D$290+$D$291+$D$300</f>
        <v>2.21118665353068E-2</v>
      </c>
      <c r="E304" s="91"/>
      <c r="F304" s="91"/>
      <c r="G304" s="110" t="s">
        <v>537</v>
      </c>
      <c r="H304" s="41" t="s">
        <v>629</v>
      </c>
      <c r="I304" s="110"/>
      <c r="J304" s="110"/>
      <c r="K304" s="110"/>
      <c r="L304" s="110"/>
      <c r="M304" s="1159"/>
    </row>
    <row r="305" spans="1:13" x14ac:dyDescent="0.3">
      <c r="A305" s="6">
        <v>305</v>
      </c>
      <c r="B305" s="1329"/>
      <c r="C305" s="518" t="s">
        <v>635</v>
      </c>
      <c r="D305" s="330">
        <f>$D$295+$D$299</f>
        <v>2.1607620000000001</v>
      </c>
      <c r="E305" s="86"/>
      <c r="F305" s="86"/>
      <c r="G305" s="49" t="s">
        <v>537</v>
      </c>
      <c r="H305" s="50" t="s">
        <v>629</v>
      </c>
      <c r="I305" s="49"/>
      <c r="J305" s="49"/>
      <c r="K305" s="49"/>
      <c r="L305" s="49"/>
      <c r="M305" s="1159"/>
    </row>
    <row r="306" spans="1:13" x14ac:dyDescent="0.3">
      <c r="A306" s="6">
        <v>306</v>
      </c>
      <c r="B306" s="1329"/>
      <c r="C306" s="502" t="s">
        <v>636</v>
      </c>
      <c r="D306" s="143">
        <f>$D$296+$D$297</f>
        <v>7.775E-2</v>
      </c>
      <c r="E306" s="82"/>
      <c r="F306" s="82"/>
      <c r="G306" s="53" t="s">
        <v>537</v>
      </c>
      <c r="H306" s="121" t="s">
        <v>629</v>
      </c>
      <c r="I306" s="53"/>
      <c r="J306" s="53"/>
      <c r="K306" s="53"/>
      <c r="L306" s="53"/>
      <c r="M306" s="1159"/>
    </row>
    <row r="307" spans="1:13" ht="15.65" thickBot="1" x14ac:dyDescent="0.35">
      <c r="A307" s="6">
        <v>307</v>
      </c>
      <c r="B307" s="1329"/>
      <c r="C307" s="505"/>
      <c r="D307" s="136"/>
      <c r="E307" s="136"/>
      <c r="F307" s="136"/>
      <c r="G307" s="131"/>
      <c r="H307" s="6"/>
    </row>
    <row r="308" spans="1:13" ht="15.65" thickBot="1" x14ac:dyDescent="0.35">
      <c r="A308" s="6">
        <v>308</v>
      </c>
      <c r="B308" s="1330"/>
      <c r="C308" s="338" t="s">
        <v>1531</v>
      </c>
      <c r="D308" s="335">
        <f>$D$290+$D$291+$D$293+$D$295+$D$296+$D$297+$D$299+$D$300</f>
        <v>2.3878838665353066</v>
      </c>
      <c r="E308" s="307"/>
      <c r="F308" s="307"/>
      <c r="G308" s="120" t="s">
        <v>537</v>
      </c>
      <c r="H308" s="1" t="s">
        <v>629</v>
      </c>
      <c r="M308" s="1159"/>
    </row>
    <row r="309" spans="1:13" x14ac:dyDescent="0.3">
      <c r="A309" s="6">
        <v>309</v>
      </c>
      <c r="B309" s="30"/>
      <c r="C309" s="116"/>
      <c r="D309" s="117"/>
      <c r="E309" s="117"/>
      <c r="F309" s="117"/>
      <c r="G309" s="30"/>
      <c r="H309" s="6"/>
    </row>
    <row r="310" spans="1:13" x14ac:dyDescent="0.3">
      <c r="A310" s="6">
        <v>310</v>
      </c>
      <c r="C310" s="69" t="s">
        <v>638</v>
      </c>
      <c r="D310" s="252">
        <f>$D$293/($D$308)*100</f>
        <v>5.3294049088177617</v>
      </c>
      <c r="E310" s="215"/>
      <c r="F310" s="215"/>
      <c r="G310" s="55" t="s">
        <v>4</v>
      </c>
      <c r="H310" s="212" t="s">
        <v>629</v>
      </c>
      <c r="I310" s="55"/>
      <c r="J310" s="55"/>
      <c r="K310" s="55"/>
      <c r="L310" s="55"/>
      <c r="M310" s="1159"/>
    </row>
    <row r="311" spans="1:13" x14ac:dyDescent="0.3">
      <c r="A311" s="6">
        <v>311</v>
      </c>
      <c r="C311" s="65" t="s">
        <v>639</v>
      </c>
      <c r="D311" s="255">
        <f>($D$290+$D$291+$D$300)/$D$308*100</f>
        <v>0.92600259355954151</v>
      </c>
      <c r="E311" s="78"/>
      <c r="F311" s="78"/>
      <c r="G311" s="66" t="s">
        <v>4</v>
      </c>
      <c r="H311" s="111" t="s">
        <v>629</v>
      </c>
      <c r="I311" s="66"/>
      <c r="J311" s="66"/>
      <c r="K311" s="66"/>
      <c r="L311" s="66"/>
    </row>
    <row r="312" spans="1:13" x14ac:dyDescent="0.3">
      <c r="A312" s="6">
        <v>312</v>
      </c>
      <c r="C312" s="67" t="s">
        <v>640</v>
      </c>
      <c r="D312" s="330">
        <f>($D$295+$D$299)/$D$308*100</f>
        <v>90.488571503904495</v>
      </c>
      <c r="E312" s="86"/>
      <c r="F312" s="86"/>
      <c r="G312" s="49" t="s">
        <v>4</v>
      </c>
      <c r="H312" s="572" t="s">
        <v>629</v>
      </c>
      <c r="I312" s="49"/>
      <c r="J312" s="49"/>
      <c r="K312" s="49"/>
      <c r="L312" s="49"/>
      <c r="M312" s="1159"/>
    </row>
    <row r="313" spans="1:13" x14ac:dyDescent="0.3">
      <c r="A313" s="6">
        <v>313</v>
      </c>
      <c r="C313" s="25" t="s">
        <v>641</v>
      </c>
      <c r="D313" s="254">
        <f>($D$296+$D$297)/$D$308*100</f>
        <v>3.2560209937182218</v>
      </c>
      <c r="E313" s="82"/>
      <c r="F313" s="82"/>
      <c r="G313" s="53" t="s">
        <v>4</v>
      </c>
      <c r="H313" s="121" t="s">
        <v>629</v>
      </c>
      <c r="I313" s="53"/>
      <c r="J313" s="53"/>
      <c r="K313" s="53"/>
      <c r="L313" s="53"/>
      <c r="M313" s="1159"/>
    </row>
    <row r="314" spans="1:13" x14ac:dyDescent="0.3">
      <c r="A314" s="6">
        <v>314</v>
      </c>
    </row>
    <row r="315" spans="1:13" ht="15.65" thickBot="1" x14ac:dyDescent="0.35">
      <c r="A315" s="6">
        <v>315</v>
      </c>
      <c r="B315" s="131"/>
      <c r="C315" s="6"/>
      <c r="D315" s="76"/>
      <c r="E315" s="76"/>
      <c r="F315" s="76"/>
      <c r="G315" s="11"/>
    </row>
    <row r="316" spans="1:13" x14ac:dyDescent="0.3">
      <c r="A316" s="6">
        <v>316</v>
      </c>
      <c r="B316" s="1328" t="s">
        <v>1564</v>
      </c>
      <c r="C316" s="486" t="s">
        <v>988</v>
      </c>
      <c r="D316" s="278">
        <f>$D$17*$D$290</f>
        <v>0.22276747907273076</v>
      </c>
      <c r="E316" s="91"/>
      <c r="F316" s="91"/>
      <c r="G316" s="110" t="s">
        <v>948</v>
      </c>
      <c r="H316" s="41" t="s">
        <v>629</v>
      </c>
      <c r="I316" s="110"/>
      <c r="J316" s="110"/>
      <c r="K316" s="110"/>
      <c r="L316" s="110"/>
      <c r="M316" s="1159"/>
    </row>
    <row r="317" spans="1:13" x14ac:dyDescent="0.3">
      <c r="A317" s="6">
        <v>317</v>
      </c>
      <c r="B317" s="1329"/>
      <c r="C317" s="486" t="s">
        <v>989</v>
      </c>
      <c r="D317" s="278">
        <f>$D$17*$D$291</f>
        <v>0.16336281798666924</v>
      </c>
      <c r="E317" s="91"/>
      <c r="F317" s="91"/>
      <c r="G317" s="110" t="s">
        <v>948</v>
      </c>
      <c r="H317" s="41" t="s">
        <v>629</v>
      </c>
      <c r="I317" s="110"/>
      <c r="J317" s="110"/>
      <c r="K317" s="110"/>
      <c r="L317" s="110"/>
      <c r="M317" s="1159"/>
    </row>
    <row r="318" spans="1:13" x14ac:dyDescent="0.3">
      <c r="A318" s="6">
        <v>318</v>
      </c>
      <c r="B318" s="1329"/>
      <c r="C318" s="486" t="s">
        <v>990</v>
      </c>
      <c r="D318" s="658" t="s">
        <v>1833</v>
      </c>
      <c r="E318" s="91"/>
      <c r="F318" s="91"/>
      <c r="G318" s="110" t="s">
        <v>948</v>
      </c>
      <c r="H318" s="110"/>
      <c r="I318" s="110"/>
      <c r="J318" s="110"/>
      <c r="K318" s="110"/>
      <c r="L318" s="110"/>
      <c r="M318" s="1159"/>
    </row>
    <row r="319" spans="1:13" x14ac:dyDescent="0.3">
      <c r="A319" s="6">
        <v>319</v>
      </c>
      <c r="B319" s="1329"/>
      <c r="C319" s="258" t="s">
        <v>991</v>
      </c>
      <c r="D319" s="252">
        <f>$D$17*$D$293</f>
        <v>5.7845454545454551</v>
      </c>
      <c r="E319" s="215"/>
      <c r="F319" s="215"/>
      <c r="G319" s="55" t="s">
        <v>948</v>
      </c>
      <c r="H319" s="212" t="s">
        <v>629</v>
      </c>
      <c r="I319" s="55"/>
      <c r="J319" s="55"/>
      <c r="K319" s="55"/>
      <c r="L319" s="55"/>
      <c r="M319" s="1159"/>
    </row>
    <row r="320" spans="1:13" x14ac:dyDescent="0.3">
      <c r="A320" s="6">
        <v>320</v>
      </c>
      <c r="B320" s="1329"/>
      <c r="C320" s="478" t="s">
        <v>992</v>
      </c>
      <c r="D320" s="203">
        <f>$D$17*$D$295</f>
        <v>66.579545454545453</v>
      </c>
      <c r="E320" s="86"/>
      <c r="F320" s="86"/>
      <c r="G320" s="49" t="s">
        <v>948</v>
      </c>
      <c r="H320" s="50" t="s">
        <v>629</v>
      </c>
      <c r="I320" s="49"/>
      <c r="J320" s="49"/>
      <c r="K320" s="49"/>
      <c r="L320" s="49"/>
      <c r="M320" s="1159"/>
    </row>
    <row r="321" spans="1:13" x14ac:dyDescent="0.3">
      <c r="A321" s="6">
        <v>321</v>
      </c>
      <c r="B321" s="1329"/>
      <c r="C321" s="502" t="s">
        <v>993</v>
      </c>
      <c r="D321" s="254">
        <f>$D$17*$D$296</f>
        <v>0.37863636363636366</v>
      </c>
      <c r="E321" s="82"/>
      <c r="F321" s="82"/>
      <c r="G321" s="53" t="s">
        <v>948</v>
      </c>
      <c r="H321" s="121" t="s">
        <v>629</v>
      </c>
      <c r="I321" s="53"/>
      <c r="J321" s="53"/>
      <c r="K321" s="53"/>
      <c r="L321" s="53"/>
      <c r="M321" s="1159"/>
    </row>
    <row r="322" spans="1:13" x14ac:dyDescent="0.3">
      <c r="A322" s="6">
        <v>322</v>
      </c>
      <c r="B322" s="1329"/>
      <c r="C322" s="503" t="s">
        <v>994</v>
      </c>
      <c r="D322" s="395">
        <f>$D$17*$D$297</f>
        <v>3.1554545454545453</v>
      </c>
      <c r="E322" s="393"/>
      <c r="F322" s="393"/>
      <c r="G322" s="166" t="s">
        <v>948</v>
      </c>
      <c r="H322" s="165" t="s">
        <v>629</v>
      </c>
      <c r="I322" s="166"/>
      <c r="J322" s="166"/>
      <c r="K322" s="166"/>
      <c r="L322" s="166"/>
      <c r="M322" s="1159"/>
    </row>
    <row r="323" spans="1:13" x14ac:dyDescent="0.3">
      <c r="A323" s="6">
        <v>323</v>
      </c>
      <c r="B323" s="1329"/>
      <c r="C323" s="504" t="s">
        <v>995</v>
      </c>
      <c r="D323" s="657" t="s">
        <v>1833</v>
      </c>
      <c r="E323" s="430"/>
      <c r="F323" s="430"/>
      <c r="G323" s="375" t="s">
        <v>948</v>
      </c>
      <c r="H323" s="375"/>
      <c r="I323" s="375"/>
      <c r="J323" s="375"/>
      <c r="K323" s="375"/>
      <c r="L323" s="375"/>
    </row>
    <row r="324" spans="1:13" x14ac:dyDescent="0.3">
      <c r="A324" s="6">
        <v>324</v>
      </c>
      <c r="B324" s="1329"/>
      <c r="C324" s="478" t="s">
        <v>996</v>
      </c>
      <c r="D324" s="203">
        <f>$D$17*$D$299</f>
        <v>31.636909090909089</v>
      </c>
      <c r="E324" s="86"/>
      <c r="F324" s="86"/>
      <c r="G324" s="49" t="s">
        <v>948</v>
      </c>
      <c r="H324" s="50" t="s">
        <v>629</v>
      </c>
      <c r="I324" s="49"/>
      <c r="J324" s="49"/>
      <c r="K324" s="49"/>
      <c r="L324" s="49"/>
      <c r="M324" s="1159"/>
    </row>
    <row r="325" spans="1:13" x14ac:dyDescent="0.3">
      <c r="A325" s="6">
        <v>325</v>
      </c>
      <c r="B325" s="1329"/>
      <c r="C325" s="501" t="s">
        <v>997</v>
      </c>
      <c r="D325" s="573">
        <f>$D$17*$D$300</f>
        <v>0.61895454545454542</v>
      </c>
      <c r="E325" s="91"/>
      <c r="F325" s="91"/>
      <c r="G325" s="110" t="s">
        <v>948</v>
      </c>
      <c r="H325" s="41" t="s">
        <v>629</v>
      </c>
      <c r="I325" s="110"/>
      <c r="J325" s="110"/>
      <c r="K325" s="110"/>
      <c r="L325" s="110"/>
      <c r="M325" s="1159"/>
    </row>
    <row r="326" spans="1:13" x14ac:dyDescent="0.3">
      <c r="A326" s="6">
        <v>326</v>
      </c>
      <c r="B326" s="1329"/>
      <c r="C326" s="501" t="s">
        <v>998</v>
      </c>
      <c r="D326" s="658" t="s">
        <v>1833</v>
      </c>
      <c r="E326" s="91"/>
      <c r="F326" s="91"/>
      <c r="G326" s="110" t="s">
        <v>948</v>
      </c>
      <c r="H326" s="110"/>
      <c r="I326" s="110"/>
      <c r="J326" s="110"/>
      <c r="K326" s="110"/>
      <c r="L326" s="110"/>
    </row>
    <row r="327" spans="1:13" x14ac:dyDescent="0.3">
      <c r="A327" s="6">
        <v>327</v>
      </c>
      <c r="B327" s="1329"/>
      <c r="C327" s="487" t="s">
        <v>999</v>
      </c>
      <c r="D327" s="652" t="s">
        <v>1833</v>
      </c>
      <c r="E327" s="84"/>
      <c r="F327" s="84"/>
      <c r="G327" s="3" t="s">
        <v>948</v>
      </c>
      <c r="H327" s="3"/>
      <c r="I327" s="3"/>
      <c r="J327" s="3"/>
      <c r="K327" s="3"/>
      <c r="L327" s="3"/>
    </row>
    <row r="328" spans="1:13" ht="15.65" thickBot="1" x14ac:dyDescent="0.35">
      <c r="A328" s="6">
        <v>328</v>
      </c>
      <c r="B328" s="1329"/>
      <c r="C328" s="505"/>
      <c r="D328" s="114"/>
      <c r="E328" s="114"/>
      <c r="F328" s="114"/>
      <c r="G328" s="115"/>
    </row>
    <row r="329" spans="1:13" s="131" customFormat="1" ht="15.65" thickBot="1" x14ac:dyDescent="0.35">
      <c r="A329" s="6">
        <v>329</v>
      </c>
      <c r="B329" s="1329"/>
      <c r="C329" s="506" t="s">
        <v>1000</v>
      </c>
      <c r="D329" s="554">
        <f>ROUND(SUM(D316:D327),-1)</f>
        <v>110</v>
      </c>
      <c r="E329" s="308"/>
      <c r="F329" s="308"/>
      <c r="G329" s="129" t="s">
        <v>948</v>
      </c>
      <c r="H329" s="461" t="s">
        <v>629</v>
      </c>
      <c r="M329" s="1159"/>
    </row>
    <row r="330" spans="1:13" x14ac:dyDescent="0.3">
      <c r="A330" s="6">
        <v>330</v>
      </c>
      <c r="B330" s="1329"/>
      <c r="C330" s="517"/>
      <c r="D330" s="126"/>
      <c r="E330" s="126"/>
      <c r="F330" s="126"/>
      <c r="G330" s="125"/>
      <c r="H330" s="1"/>
    </row>
    <row r="331" spans="1:13" x14ac:dyDescent="0.3">
      <c r="A331" s="6">
        <v>331</v>
      </c>
      <c r="B331" s="1329"/>
      <c r="C331" s="518" t="s">
        <v>1001</v>
      </c>
      <c r="D331" s="203">
        <f>ROUND($D$320+$D$324,-1)</f>
        <v>100</v>
      </c>
      <c r="E331" s="86"/>
      <c r="F331" s="86"/>
      <c r="G331" s="49" t="s">
        <v>948</v>
      </c>
      <c r="H331" s="50" t="s">
        <v>629</v>
      </c>
      <c r="I331" s="49" t="s">
        <v>1002</v>
      </c>
      <c r="J331" s="49"/>
      <c r="K331" s="49"/>
      <c r="L331" s="49"/>
      <c r="M331" s="1159"/>
    </row>
    <row r="332" spans="1:13" x14ac:dyDescent="0.3">
      <c r="A332" s="6">
        <v>332</v>
      </c>
      <c r="B332" s="1329"/>
      <c r="C332" s="518" t="s">
        <v>1003</v>
      </c>
      <c r="D332" s="203">
        <f>$D$319+$D$331</f>
        <v>105.78454545454545</v>
      </c>
      <c r="E332" s="86"/>
      <c r="F332" s="86"/>
      <c r="G332" s="49" t="s">
        <v>948</v>
      </c>
      <c r="H332" s="572" t="s">
        <v>629</v>
      </c>
      <c r="I332" s="49"/>
      <c r="J332" s="49"/>
      <c r="K332" s="49"/>
      <c r="L332" s="49"/>
      <c r="M332" s="1159"/>
    </row>
    <row r="333" spans="1:13" ht="15.65" thickBot="1" x14ac:dyDescent="0.35">
      <c r="A333" s="6">
        <v>333</v>
      </c>
      <c r="B333" s="1330"/>
      <c r="C333" s="502" t="s">
        <v>1004</v>
      </c>
      <c r="D333" s="254">
        <f>D321+D322</f>
        <v>3.5340909090909092</v>
      </c>
      <c r="E333" s="82"/>
      <c r="F333" s="82"/>
      <c r="G333" s="25" t="s">
        <v>948</v>
      </c>
      <c r="H333" s="121" t="s">
        <v>629</v>
      </c>
      <c r="I333" s="25"/>
      <c r="J333" s="25"/>
      <c r="K333" s="25"/>
      <c r="L333" s="25"/>
      <c r="M333" s="1159"/>
    </row>
    <row r="334" spans="1:13" x14ac:dyDescent="0.3">
      <c r="A334" s="6">
        <v>334</v>
      </c>
      <c r="B334" s="30"/>
      <c r="D334" s="2"/>
      <c r="E334" s="2"/>
      <c r="F334" s="2"/>
    </row>
    <row r="335" spans="1:13" x14ac:dyDescent="0.3">
      <c r="A335" s="6">
        <v>335</v>
      </c>
      <c r="C335" s="1" t="s">
        <v>1537</v>
      </c>
      <c r="D335" s="76"/>
      <c r="E335" s="76"/>
      <c r="F335" s="76"/>
      <c r="G335" s="11"/>
      <c r="H335" s="28"/>
    </row>
    <row r="336" spans="1:13" ht="15.65" thickBot="1" x14ac:dyDescent="0.35">
      <c r="A336" s="6">
        <v>336</v>
      </c>
      <c r="B336" s="131"/>
      <c r="D336" s="76"/>
      <c r="E336" s="76"/>
      <c r="F336" s="76"/>
      <c r="G336" s="11"/>
      <c r="H336" s="28"/>
    </row>
    <row r="337" spans="1:13" ht="15.65" thickBot="1" x14ac:dyDescent="0.35">
      <c r="A337" s="6">
        <v>337</v>
      </c>
      <c r="B337" s="1331" t="s">
        <v>1566</v>
      </c>
      <c r="C337" s="515" t="s">
        <v>462</v>
      </c>
      <c r="D337" s="941"/>
      <c r="E337" s="93"/>
      <c r="F337" s="93"/>
      <c r="G337" s="22"/>
      <c r="H337" s="22"/>
      <c r="I337" s="22"/>
      <c r="J337" s="22"/>
      <c r="K337" s="22"/>
      <c r="L337" s="22"/>
    </row>
    <row r="338" spans="1:13" ht="15.65" thickBot="1" x14ac:dyDescent="0.35">
      <c r="A338" s="6">
        <v>338</v>
      </c>
      <c r="B338" s="1332"/>
      <c r="C338" s="940" t="s">
        <v>59</v>
      </c>
      <c r="D338" s="943">
        <v>61.3</v>
      </c>
      <c r="E338" s="1170">
        <v>4.3</v>
      </c>
      <c r="F338" s="1201"/>
      <c r="G338" s="2" t="s">
        <v>4</v>
      </c>
      <c r="H338" s="2" t="s">
        <v>880</v>
      </c>
      <c r="I338" s="6" t="s">
        <v>2460</v>
      </c>
      <c r="J338" s="2" t="s">
        <v>881</v>
      </c>
      <c r="M338" s="1159"/>
    </row>
    <row r="339" spans="1:13" x14ac:dyDescent="0.3">
      <c r="A339" s="6">
        <v>339</v>
      </c>
      <c r="B339" s="1332"/>
      <c r="C339" s="274" t="s">
        <v>540</v>
      </c>
      <c r="D339" s="942">
        <f>$D$305*$D$338/100</f>
        <v>1.324547106</v>
      </c>
      <c r="E339" s="76"/>
      <c r="F339" s="76"/>
      <c r="G339" s="2" t="s">
        <v>23</v>
      </c>
      <c r="H339" s="1" t="s">
        <v>629</v>
      </c>
      <c r="M339" s="1159"/>
    </row>
    <row r="340" spans="1:13" ht="15.65" thickBot="1" x14ac:dyDescent="0.35">
      <c r="A340" s="6">
        <v>340</v>
      </c>
      <c r="B340" s="1333"/>
      <c r="C340" s="274" t="s">
        <v>1768</v>
      </c>
      <c r="D340" s="251">
        <f>$D$17*$D$339</f>
        <v>60.206686636363635</v>
      </c>
      <c r="E340" s="76"/>
      <c r="F340" s="76"/>
      <c r="G340" s="2" t="s">
        <v>948</v>
      </c>
      <c r="H340" s="1" t="s">
        <v>629</v>
      </c>
      <c r="M340" s="1159"/>
    </row>
    <row r="341" spans="1:13" ht="15.65" thickBot="1" x14ac:dyDescent="0.35">
      <c r="A341" s="6">
        <v>341</v>
      </c>
      <c r="B341" s="485"/>
      <c r="C341" s="5"/>
      <c r="D341" s="76"/>
      <c r="E341" s="76"/>
      <c r="F341" s="76"/>
    </row>
    <row r="342" spans="1:13" ht="15.65" thickBot="1" x14ac:dyDescent="0.35">
      <c r="A342" s="6">
        <v>342</v>
      </c>
      <c r="B342" s="1334" t="s">
        <v>1565</v>
      </c>
      <c r="C342" s="513" t="s">
        <v>463</v>
      </c>
      <c r="D342" s="94"/>
      <c r="E342" s="94"/>
      <c r="F342" s="94"/>
      <c r="G342" s="42"/>
      <c r="H342" s="42"/>
      <c r="I342" s="42"/>
      <c r="J342" s="42"/>
      <c r="K342" s="42"/>
      <c r="L342" s="42"/>
    </row>
    <row r="343" spans="1:13" ht="15.65" thickBot="1" x14ac:dyDescent="0.35">
      <c r="A343" s="6">
        <v>343</v>
      </c>
      <c r="B343" s="1335"/>
      <c r="C343" s="274" t="s">
        <v>346</v>
      </c>
      <c r="D343" s="943">
        <v>22.6</v>
      </c>
      <c r="E343" s="292">
        <v>3.2</v>
      </c>
      <c r="F343" s="292"/>
      <c r="G343" s="10" t="s">
        <v>4</v>
      </c>
      <c r="H343" s="2" t="s">
        <v>880</v>
      </c>
      <c r="I343" s="261" t="s">
        <v>882</v>
      </c>
      <c r="J343" s="2" t="s">
        <v>881</v>
      </c>
      <c r="M343" s="1159"/>
    </row>
    <row r="344" spans="1:13" ht="15.65" thickBot="1" x14ac:dyDescent="0.35">
      <c r="A344" s="6">
        <v>344</v>
      </c>
      <c r="B344" s="1335"/>
      <c r="C344" s="274" t="s">
        <v>347</v>
      </c>
      <c r="D344" s="1122">
        <v>66</v>
      </c>
      <c r="E344" s="95" t="s">
        <v>1833</v>
      </c>
      <c r="F344" s="95"/>
      <c r="G344" s="10" t="s">
        <v>4</v>
      </c>
      <c r="H344" s="11" t="s">
        <v>2387</v>
      </c>
      <c r="I344" s="261" t="s">
        <v>882</v>
      </c>
      <c r="J344" s="2" t="s">
        <v>696</v>
      </c>
      <c r="M344" s="1159"/>
    </row>
    <row r="345" spans="1:13" ht="15.65" thickBot="1" x14ac:dyDescent="0.35">
      <c r="A345" s="6">
        <v>345</v>
      </c>
      <c r="B345" s="1335"/>
      <c r="C345" s="274" t="s">
        <v>348</v>
      </c>
      <c r="D345" s="1122">
        <v>34</v>
      </c>
      <c r="E345" s="95" t="s">
        <v>1833</v>
      </c>
      <c r="F345" s="95"/>
      <c r="G345" s="10" t="s">
        <v>4</v>
      </c>
      <c r="H345" s="11" t="s">
        <v>2387</v>
      </c>
      <c r="I345" s="261" t="s">
        <v>882</v>
      </c>
      <c r="J345" s="2" t="s">
        <v>696</v>
      </c>
      <c r="M345" s="1159"/>
    </row>
    <row r="346" spans="1:13" s="11" customFormat="1" x14ac:dyDescent="0.3">
      <c r="A346" s="6">
        <v>346</v>
      </c>
      <c r="B346" s="1335"/>
      <c r="C346" s="514" t="s">
        <v>376</v>
      </c>
      <c r="D346" s="251">
        <f>$D$343*($D$344/100)</f>
        <v>14.916000000000002</v>
      </c>
      <c r="E346" s="76"/>
      <c r="F346" s="76"/>
      <c r="G346" s="11" t="s">
        <v>4</v>
      </c>
      <c r="H346" s="11" t="s">
        <v>2387</v>
      </c>
      <c r="I346" s="2" t="s">
        <v>1795</v>
      </c>
      <c r="M346" s="1159"/>
    </row>
    <row r="347" spans="1:13" x14ac:dyDescent="0.3">
      <c r="A347" s="6">
        <v>347</v>
      </c>
      <c r="B347" s="1335"/>
      <c r="C347" s="274" t="s">
        <v>541</v>
      </c>
      <c r="D347" s="322">
        <f>$D$305*$D$346/100</f>
        <v>0.32229925992000008</v>
      </c>
      <c r="E347" s="76"/>
      <c r="F347" s="76"/>
      <c r="G347" s="2" t="s">
        <v>23</v>
      </c>
      <c r="H347" s="1" t="s">
        <v>629</v>
      </c>
      <c r="M347" s="1159"/>
    </row>
    <row r="348" spans="1:13" ht="15.65" thickBot="1" x14ac:dyDescent="0.35">
      <c r="A348" s="6">
        <v>348</v>
      </c>
      <c r="B348" s="1336"/>
      <c r="C348" s="274" t="s">
        <v>1769</v>
      </c>
      <c r="D348" s="251">
        <f>$D$17*$D$347</f>
        <v>14.649966360000004</v>
      </c>
      <c r="E348" s="76"/>
      <c r="F348" s="76"/>
      <c r="G348" s="2" t="s">
        <v>948</v>
      </c>
      <c r="H348" s="1" t="s">
        <v>629</v>
      </c>
      <c r="M348" s="1159"/>
    </row>
    <row r="349" spans="1:13" ht="15.65" thickBot="1" x14ac:dyDescent="0.35">
      <c r="A349" s="6">
        <v>349</v>
      </c>
      <c r="B349" s="485"/>
      <c r="C349" s="5"/>
      <c r="D349" s="76"/>
      <c r="E349" s="76"/>
      <c r="F349" s="76"/>
    </row>
    <row r="350" spans="1:13" ht="15.65" thickBot="1" x14ac:dyDescent="0.35">
      <c r="A350" s="6">
        <v>350</v>
      </c>
      <c r="B350" s="1355" t="s">
        <v>1567</v>
      </c>
      <c r="C350" s="581" t="s">
        <v>464</v>
      </c>
      <c r="D350" s="946"/>
      <c r="E350" s="96"/>
      <c r="F350" s="96"/>
      <c r="G350" s="43"/>
      <c r="H350" s="43"/>
      <c r="I350" s="43"/>
      <c r="J350" s="43"/>
      <c r="K350" s="43"/>
      <c r="L350" s="43"/>
    </row>
    <row r="351" spans="1:13" s="11" customFormat="1" ht="15.65" thickBot="1" x14ac:dyDescent="0.35">
      <c r="A351" s="6">
        <v>351</v>
      </c>
      <c r="B351" s="1356"/>
      <c r="C351" s="944" t="s">
        <v>91</v>
      </c>
      <c r="D351" s="1171">
        <f>$D$343*$D$345/100</f>
        <v>7.6840000000000011</v>
      </c>
      <c r="E351" s="945"/>
      <c r="F351" s="945"/>
      <c r="G351" s="11" t="s">
        <v>4</v>
      </c>
      <c r="H351" s="11" t="s">
        <v>2388</v>
      </c>
      <c r="I351" s="2" t="s">
        <v>1796</v>
      </c>
      <c r="M351" s="1159"/>
    </row>
    <row r="352" spans="1:13" x14ac:dyDescent="0.3">
      <c r="A352" s="6">
        <v>352</v>
      </c>
      <c r="B352" s="1356"/>
      <c r="C352" s="274" t="s">
        <v>542</v>
      </c>
      <c r="D352" s="468">
        <f>$D$305*($D$351/100)</f>
        <v>0.16603295208000002</v>
      </c>
      <c r="E352" s="76"/>
      <c r="F352" s="76"/>
      <c r="G352" s="2" t="s">
        <v>23</v>
      </c>
      <c r="H352" s="1" t="s">
        <v>629</v>
      </c>
      <c r="M352" s="1159"/>
    </row>
    <row r="353" spans="1:13" ht="15.65" thickBot="1" x14ac:dyDescent="0.35">
      <c r="A353" s="6">
        <v>353</v>
      </c>
      <c r="B353" s="1357"/>
      <c r="C353" s="274" t="s">
        <v>1770</v>
      </c>
      <c r="D353" s="322">
        <f>$D$17*$D$352</f>
        <v>7.5469523672727279</v>
      </c>
      <c r="E353" s="76"/>
      <c r="F353" s="76"/>
      <c r="G353" s="2" t="s">
        <v>948</v>
      </c>
      <c r="H353" s="1" t="s">
        <v>629</v>
      </c>
      <c r="M353" s="1159"/>
    </row>
    <row r="354" spans="1:13" ht="15.65" thickBot="1" x14ac:dyDescent="0.35">
      <c r="A354" s="6">
        <v>354</v>
      </c>
      <c r="B354" s="485"/>
      <c r="C354" s="5"/>
      <c r="D354" s="76"/>
      <c r="E354" s="76"/>
      <c r="F354" s="76"/>
    </row>
    <row r="355" spans="1:13" ht="15.65" thickBot="1" x14ac:dyDescent="0.35">
      <c r="A355" s="6">
        <v>355</v>
      </c>
      <c r="B355" s="1313" t="s">
        <v>1568</v>
      </c>
      <c r="C355" s="580" t="s">
        <v>322</v>
      </c>
      <c r="D355" s="948"/>
      <c r="E355" s="97"/>
      <c r="F355" s="97"/>
      <c r="G355" s="26"/>
      <c r="H355" s="26"/>
      <c r="I355" s="26"/>
      <c r="J355" s="26"/>
      <c r="K355" s="26"/>
      <c r="L355" s="26"/>
    </row>
    <row r="356" spans="1:13" ht="15.65" thickBot="1" x14ac:dyDescent="0.35">
      <c r="A356" s="6">
        <v>356</v>
      </c>
      <c r="B356" s="1314"/>
      <c r="C356" s="944" t="s">
        <v>101</v>
      </c>
      <c r="D356" s="949">
        <v>0.32</v>
      </c>
      <c r="E356" s="947" t="s">
        <v>1833</v>
      </c>
      <c r="F356" s="947"/>
      <c r="G356" s="2" t="s">
        <v>4</v>
      </c>
      <c r="H356" s="2" t="s">
        <v>880</v>
      </c>
      <c r="I356" s="2" t="s">
        <v>2512</v>
      </c>
      <c r="M356" s="1159"/>
    </row>
    <row r="357" spans="1:13" x14ac:dyDescent="0.3">
      <c r="A357" s="6">
        <v>357</v>
      </c>
      <c r="B357" s="1314"/>
      <c r="C357" s="274" t="s">
        <v>543</v>
      </c>
      <c r="D357" s="126">
        <f>$D$305*($D$356/100)</f>
        <v>6.9144384000000003E-3</v>
      </c>
      <c r="E357" s="76"/>
      <c r="F357" s="76"/>
      <c r="G357" s="2" t="s">
        <v>23</v>
      </c>
      <c r="H357" s="1" t="s">
        <v>629</v>
      </c>
      <c r="M357" s="1159"/>
    </row>
    <row r="358" spans="1:13" ht="15.65" thickBot="1" x14ac:dyDescent="0.35">
      <c r="A358" s="6">
        <v>358</v>
      </c>
      <c r="B358" s="1315"/>
      <c r="C358" s="274" t="s">
        <v>1771</v>
      </c>
      <c r="D358" s="322">
        <f>$D$17*$D$357</f>
        <v>0.31429265454545458</v>
      </c>
      <c r="E358" s="76"/>
      <c r="F358" s="76"/>
      <c r="G358" s="2" t="s">
        <v>948</v>
      </c>
      <c r="H358" s="1" t="s">
        <v>629</v>
      </c>
      <c r="M358" s="1159"/>
    </row>
    <row r="359" spans="1:13" ht="15.65" thickBot="1" x14ac:dyDescent="0.35">
      <c r="A359" s="6">
        <v>359</v>
      </c>
      <c r="B359" s="485"/>
      <c r="C359" s="5"/>
      <c r="D359" s="83"/>
      <c r="E359" s="83"/>
      <c r="F359" s="83"/>
    </row>
    <row r="360" spans="1:13" ht="15.65" thickBot="1" x14ac:dyDescent="0.35">
      <c r="A360" s="6">
        <v>360</v>
      </c>
      <c r="B360" s="1316" t="s">
        <v>1569</v>
      </c>
      <c r="C360" s="579" t="s">
        <v>465</v>
      </c>
      <c r="D360" s="952"/>
      <c r="E360" s="98"/>
      <c r="F360" s="98"/>
      <c r="G360" s="44"/>
      <c r="H360" s="44"/>
      <c r="I360" s="44"/>
      <c r="J360" s="44"/>
      <c r="K360" s="950"/>
      <c r="L360" s="44"/>
    </row>
    <row r="361" spans="1:13" ht="15.65" thickBot="1" x14ac:dyDescent="0.35">
      <c r="A361" s="6">
        <v>361</v>
      </c>
      <c r="B361" s="1317"/>
      <c r="C361" s="944" t="s">
        <v>92</v>
      </c>
      <c r="D361" s="955">
        <v>3.9</v>
      </c>
      <c r="E361" s="947" t="s">
        <v>1875</v>
      </c>
      <c r="F361" s="947"/>
      <c r="G361" s="2" t="s">
        <v>4</v>
      </c>
      <c r="H361" s="2" t="s">
        <v>20</v>
      </c>
      <c r="I361" s="2" t="s">
        <v>1797</v>
      </c>
      <c r="J361" s="602" t="s">
        <v>1897</v>
      </c>
      <c r="K361" s="951" t="s">
        <v>1912</v>
      </c>
      <c r="L361" s="29" t="s">
        <v>1913</v>
      </c>
      <c r="M361" s="1159"/>
    </row>
    <row r="362" spans="1:13" x14ac:dyDescent="0.3">
      <c r="A362" s="6">
        <v>362</v>
      </c>
      <c r="B362" s="1317"/>
      <c r="C362" s="274" t="s">
        <v>544</v>
      </c>
      <c r="D362" s="126">
        <f>$D$361*$D$305/100</f>
        <v>8.4269718000000007E-2</v>
      </c>
      <c r="E362" s="76"/>
      <c r="F362" s="76"/>
      <c r="G362" s="2" t="s">
        <v>23</v>
      </c>
      <c r="H362" s="1" t="s">
        <v>629</v>
      </c>
      <c r="K362" s="30"/>
      <c r="M362" s="1159"/>
    </row>
    <row r="363" spans="1:13" ht="15.65" thickBot="1" x14ac:dyDescent="0.35">
      <c r="A363" s="6">
        <v>363</v>
      </c>
      <c r="B363" s="1318"/>
      <c r="C363" s="274" t="s">
        <v>1772</v>
      </c>
      <c r="D363" s="322">
        <f>$D$362*$D$17</f>
        <v>3.8304417272727274</v>
      </c>
      <c r="E363" s="76"/>
      <c r="F363" s="76"/>
      <c r="G363" s="2" t="s">
        <v>948</v>
      </c>
      <c r="H363" s="1" t="s">
        <v>629</v>
      </c>
      <c r="M363" s="1159"/>
    </row>
    <row r="364" spans="1:13" ht="15.65" thickBot="1" x14ac:dyDescent="0.35">
      <c r="A364" s="6">
        <v>364</v>
      </c>
      <c r="B364" s="485"/>
      <c r="C364" s="5"/>
      <c r="D364" s="76"/>
      <c r="E364" s="76"/>
      <c r="F364" s="76"/>
      <c r="H364" s="1"/>
    </row>
    <row r="365" spans="1:13" ht="15.65" thickBot="1" x14ac:dyDescent="0.35">
      <c r="A365" s="6">
        <v>365</v>
      </c>
      <c r="B365" s="1319" t="s">
        <v>1570</v>
      </c>
      <c r="C365" s="578" t="s">
        <v>1315</v>
      </c>
      <c r="D365" s="953"/>
      <c r="E365" s="444"/>
      <c r="F365" s="444"/>
      <c r="G365" s="54"/>
      <c r="H365" s="133"/>
      <c r="I365" s="54"/>
      <c r="J365" s="54"/>
      <c r="K365" s="54"/>
      <c r="L365" s="54"/>
    </row>
    <row r="366" spans="1:13" ht="15.65" thickBot="1" x14ac:dyDescent="0.35">
      <c r="A366" s="6">
        <v>366</v>
      </c>
      <c r="B366" s="1320"/>
      <c r="C366" s="944" t="s">
        <v>1318</v>
      </c>
      <c r="D366" s="1158">
        <v>1</v>
      </c>
      <c r="E366" s="947" t="s">
        <v>1875</v>
      </c>
      <c r="F366" s="947"/>
      <c r="G366" s="2" t="s">
        <v>4</v>
      </c>
      <c r="H366" s="6" t="s">
        <v>1330</v>
      </c>
      <c r="I366" s="2" t="s">
        <v>1336</v>
      </c>
      <c r="J366" s="2" t="s">
        <v>1897</v>
      </c>
      <c r="M366" s="1159"/>
    </row>
    <row r="367" spans="1:13" x14ac:dyDescent="0.3">
      <c r="A367" s="6">
        <v>367</v>
      </c>
      <c r="B367" s="1320"/>
      <c r="C367" s="274" t="s">
        <v>1317</v>
      </c>
      <c r="D367" s="468">
        <f>$D$366*$D$305/100</f>
        <v>2.1607620000000001E-2</v>
      </c>
      <c r="E367" s="76"/>
      <c r="F367" s="76"/>
      <c r="G367" s="2" t="s">
        <v>23</v>
      </c>
      <c r="H367" s="1" t="s">
        <v>629</v>
      </c>
      <c r="M367" s="1159"/>
    </row>
    <row r="368" spans="1:13" ht="15.65" thickBot="1" x14ac:dyDescent="0.35">
      <c r="A368" s="6">
        <v>368</v>
      </c>
      <c r="B368" s="1321"/>
      <c r="C368" s="274" t="s">
        <v>1773</v>
      </c>
      <c r="D368" s="322">
        <f>$D$367*$D$17</f>
        <v>0.98216454545454546</v>
      </c>
      <c r="E368" s="83"/>
      <c r="F368" s="83"/>
      <c r="G368" s="2" t="s">
        <v>948</v>
      </c>
      <c r="H368" s="1" t="s">
        <v>629</v>
      </c>
      <c r="M368" s="1159"/>
    </row>
    <row r="369" spans="1:13" ht="15.65" thickBot="1" x14ac:dyDescent="0.35">
      <c r="A369" s="6">
        <v>369</v>
      </c>
      <c r="B369" s="485"/>
      <c r="C369" s="5"/>
      <c r="D369" s="83"/>
      <c r="E369" s="83"/>
      <c r="F369" s="83"/>
    </row>
    <row r="370" spans="1:13" ht="15.65" thickBot="1" x14ac:dyDescent="0.35">
      <c r="A370" s="6">
        <v>370</v>
      </c>
      <c r="B370" s="1304" t="s">
        <v>1571</v>
      </c>
      <c r="C370" s="577" t="s">
        <v>323</v>
      </c>
      <c r="D370" s="954"/>
      <c r="E370" s="99"/>
      <c r="F370" s="99"/>
      <c r="G370" s="47"/>
      <c r="H370" s="47"/>
      <c r="I370" s="47"/>
      <c r="J370" s="47"/>
      <c r="K370" s="47"/>
      <c r="L370" s="47"/>
    </row>
    <row r="371" spans="1:13" ht="15.65" thickBot="1" x14ac:dyDescent="0.35">
      <c r="A371" s="6">
        <v>371</v>
      </c>
      <c r="B371" s="1305"/>
      <c r="C371" s="748" t="s">
        <v>421</v>
      </c>
      <c r="D371" s="955">
        <f>100-$D$338-$D$346-$D$351-$D$356-$D$361-$D$366</f>
        <v>10.879999999999997</v>
      </c>
      <c r="E371" s="945"/>
      <c r="F371" s="945"/>
      <c r="G371" s="2" t="s">
        <v>4</v>
      </c>
      <c r="H371" s="2" t="s">
        <v>58</v>
      </c>
      <c r="I371" s="2" t="s">
        <v>1798</v>
      </c>
      <c r="J371" s="2" t="s">
        <v>1897</v>
      </c>
      <c r="K371" s="881" t="s">
        <v>1399</v>
      </c>
      <c r="L371" s="882" t="s">
        <v>818</v>
      </c>
      <c r="M371" s="1159"/>
    </row>
    <row r="372" spans="1:13" x14ac:dyDescent="0.3">
      <c r="A372" s="6">
        <v>372</v>
      </c>
      <c r="B372" s="1305"/>
      <c r="C372" s="274" t="s">
        <v>545</v>
      </c>
      <c r="D372" s="468">
        <f>$D$305*($D$371/100)</f>
        <v>0.23509090559999993</v>
      </c>
      <c r="E372" s="76"/>
      <c r="F372" s="76"/>
      <c r="G372" s="2" t="s">
        <v>23</v>
      </c>
      <c r="H372" s="1" t="s">
        <v>629</v>
      </c>
      <c r="M372" s="1159"/>
    </row>
    <row r="373" spans="1:13" ht="15.65" thickBot="1" x14ac:dyDescent="0.35">
      <c r="A373" s="6">
        <v>373</v>
      </c>
      <c r="B373" s="1306"/>
      <c r="C373" s="274" t="s">
        <v>1774</v>
      </c>
      <c r="D373" s="322">
        <f>$D$17*$D$372</f>
        <v>10.685950254545451</v>
      </c>
      <c r="E373" s="76"/>
      <c r="F373" s="76"/>
      <c r="G373" s="2" t="s">
        <v>948</v>
      </c>
      <c r="H373" s="1" t="s">
        <v>629</v>
      </c>
      <c r="M373" s="1159"/>
    </row>
    <row r="374" spans="1:13" x14ac:dyDescent="0.3">
      <c r="A374" s="6">
        <v>374</v>
      </c>
      <c r="B374" s="30"/>
      <c r="C374" s="5"/>
      <c r="D374" s="83"/>
      <c r="E374" s="83"/>
      <c r="F374" s="83"/>
    </row>
    <row r="375" spans="1:13" x14ac:dyDescent="0.3">
      <c r="A375" s="6">
        <v>375</v>
      </c>
      <c r="C375" s="5" t="s">
        <v>1572</v>
      </c>
      <c r="D375" s="251">
        <f>$D$338+$D$346+$D$351+$D$356+$D$361+$D$366+$D$371</f>
        <v>99.999999999999986</v>
      </c>
      <c r="E375" s="76"/>
      <c r="F375" s="76"/>
      <c r="G375" s="2" t="s">
        <v>4</v>
      </c>
      <c r="H375" s="1" t="s">
        <v>629</v>
      </c>
      <c r="M375" s="1159"/>
    </row>
    <row r="376" spans="1:13" x14ac:dyDescent="0.3">
      <c r="A376" s="6">
        <v>376</v>
      </c>
      <c r="B376" s="131"/>
      <c r="C376" s="124"/>
      <c r="D376" s="219"/>
      <c r="E376" s="219"/>
      <c r="F376" s="219"/>
      <c r="G376" s="131"/>
      <c r="H376" s="131"/>
      <c r="I376" s="131"/>
    </row>
    <row r="377" spans="1:13" x14ac:dyDescent="0.3">
      <c r="A377" s="6">
        <v>377</v>
      </c>
      <c r="B377" s="111" t="s">
        <v>324</v>
      </c>
      <c r="C377" s="111" t="s">
        <v>324</v>
      </c>
      <c r="D377" s="111"/>
      <c r="E377" s="111"/>
      <c r="F377" s="111"/>
      <c r="G377" s="111"/>
      <c r="H377" s="111"/>
      <c r="I377" s="111"/>
      <c r="J377" s="111"/>
      <c r="K377" s="111"/>
      <c r="L377" s="111"/>
    </row>
    <row r="378" spans="1:13" ht="15.65" thickBot="1" x14ac:dyDescent="0.35">
      <c r="A378" s="6">
        <v>378</v>
      </c>
      <c r="B378" s="326"/>
      <c r="C378" s="39"/>
      <c r="D378" s="100"/>
      <c r="E378" s="309"/>
      <c r="F378" s="309"/>
      <c r="G378" s="40"/>
      <c r="H378" s="220"/>
      <c r="I378" s="30"/>
      <c r="J378" s="30"/>
      <c r="K378" s="30"/>
      <c r="L378" s="30"/>
    </row>
    <row r="379" spans="1:13" x14ac:dyDescent="0.3">
      <c r="A379" s="6">
        <v>379</v>
      </c>
      <c r="B379" s="1307" t="s">
        <v>1803</v>
      </c>
      <c r="C379" s="501" t="s">
        <v>294</v>
      </c>
      <c r="D379" s="573">
        <f>'Table S1.4 (ER,Golgi)'!$B$11</f>
        <v>4.6357837396825401</v>
      </c>
      <c r="E379" s="91"/>
      <c r="F379" s="91"/>
      <c r="G379" s="110" t="s">
        <v>4</v>
      </c>
      <c r="H379" s="221" t="s">
        <v>1914</v>
      </c>
      <c r="I379" s="110"/>
      <c r="J379" s="110"/>
      <c r="K379" s="110"/>
      <c r="L379" s="110"/>
      <c r="M379" s="1159"/>
    </row>
    <row r="380" spans="1:13" x14ac:dyDescent="0.3">
      <c r="A380" s="6">
        <v>380</v>
      </c>
      <c r="B380" s="1308"/>
      <c r="C380" s="501" t="s">
        <v>295</v>
      </c>
      <c r="D380" s="573">
        <f>'Table S1.4 (ER,Golgi)'!$B$20</f>
        <v>4.7094122256410262</v>
      </c>
      <c r="E380" s="310"/>
      <c r="F380" s="310"/>
      <c r="G380" s="262" t="s">
        <v>4</v>
      </c>
      <c r="H380" s="221" t="s">
        <v>1914</v>
      </c>
      <c r="I380" s="110"/>
      <c r="J380" s="110"/>
      <c r="K380" s="110"/>
      <c r="L380" s="110"/>
      <c r="M380" s="1159"/>
    </row>
    <row r="381" spans="1:13" x14ac:dyDescent="0.3">
      <c r="A381" s="6">
        <v>381</v>
      </c>
      <c r="B381" s="1308"/>
      <c r="C381" s="501" t="s">
        <v>211</v>
      </c>
      <c r="D381" s="658" t="s">
        <v>1833</v>
      </c>
      <c r="E381" s="311"/>
      <c r="F381" s="311"/>
      <c r="G381" s="262" t="s">
        <v>4</v>
      </c>
      <c r="H381" s="260"/>
      <c r="I381" s="110"/>
      <c r="J381" s="110"/>
      <c r="K381" s="110"/>
      <c r="L381" s="110"/>
    </row>
    <row r="382" spans="1:13" x14ac:dyDescent="0.3">
      <c r="A382" s="6">
        <v>382</v>
      </c>
      <c r="B382" s="1308"/>
      <c r="C382" s="258" t="s">
        <v>212</v>
      </c>
      <c r="D382" s="659" t="s">
        <v>1833</v>
      </c>
      <c r="E382" s="312"/>
      <c r="F382" s="312"/>
      <c r="G382" s="263" t="s">
        <v>4</v>
      </c>
      <c r="H382" s="264"/>
      <c r="I382" s="55"/>
      <c r="J382" s="55"/>
      <c r="K382" s="55"/>
      <c r="L382" s="55"/>
    </row>
    <row r="383" spans="1:13" x14ac:dyDescent="0.3">
      <c r="A383" s="6">
        <v>383</v>
      </c>
      <c r="B383" s="1308"/>
      <c r="C383" s="478" t="s">
        <v>85</v>
      </c>
      <c r="D383" s="330">
        <f>'Table S1.4 (ER,Golgi)'!$B$27</f>
        <v>3.6360519</v>
      </c>
      <c r="E383" s="313"/>
      <c r="F383" s="313"/>
      <c r="G383" s="223" t="s">
        <v>4</v>
      </c>
      <c r="H383" s="67" t="s">
        <v>1914</v>
      </c>
      <c r="I383" s="49"/>
      <c r="J383" s="49"/>
      <c r="K383" s="49"/>
      <c r="L383" s="49"/>
      <c r="M383" s="1159"/>
    </row>
    <row r="384" spans="1:13" x14ac:dyDescent="0.3">
      <c r="A384" s="6">
        <v>384</v>
      </c>
      <c r="B384" s="1308"/>
      <c r="C384" s="502" t="s">
        <v>213</v>
      </c>
      <c r="D384" s="660" t="s">
        <v>1833</v>
      </c>
      <c r="E384" s="314"/>
      <c r="F384" s="314"/>
      <c r="G384" s="177" t="s">
        <v>4</v>
      </c>
      <c r="H384" s="25"/>
      <c r="I384" s="53"/>
      <c r="J384" s="53"/>
      <c r="K384" s="53"/>
      <c r="L384" s="53"/>
    </row>
    <row r="385" spans="1:13" x14ac:dyDescent="0.3">
      <c r="A385" s="6">
        <v>385</v>
      </c>
      <c r="B385" s="1308"/>
      <c r="C385" s="503" t="s">
        <v>214</v>
      </c>
      <c r="D385" s="661" t="s">
        <v>1833</v>
      </c>
      <c r="E385" s="397"/>
      <c r="F385" s="397"/>
      <c r="G385" s="398" t="s">
        <v>4</v>
      </c>
      <c r="H385" s="399"/>
      <c r="I385" s="166"/>
      <c r="J385" s="166"/>
      <c r="K385" s="166"/>
      <c r="L385" s="166"/>
    </row>
    <row r="386" spans="1:13" x14ac:dyDescent="0.3">
      <c r="A386" s="6">
        <v>386</v>
      </c>
      <c r="B386" s="1308"/>
      <c r="C386" s="504" t="s">
        <v>466</v>
      </c>
      <c r="D386" s="657" t="s">
        <v>1833</v>
      </c>
      <c r="E386" s="438"/>
      <c r="F386" s="438"/>
      <c r="G386" s="439" t="s">
        <v>4</v>
      </c>
      <c r="H386" s="440"/>
      <c r="I386" s="375"/>
      <c r="J386" s="375"/>
      <c r="K386" s="375"/>
      <c r="L386" s="375"/>
    </row>
    <row r="387" spans="1:13" x14ac:dyDescent="0.3">
      <c r="A387" s="6">
        <v>387</v>
      </c>
      <c r="B387" s="1308"/>
      <c r="C387" s="478" t="s">
        <v>86</v>
      </c>
      <c r="D387" s="330">
        <f>'Table S1.4 (ER,Golgi)'!$B$34</f>
        <v>3.6360519</v>
      </c>
      <c r="E387" s="86"/>
      <c r="F387" s="86"/>
      <c r="G387" s="49" t="s">
        <v>4</v>
      </c>
      <c r="H387" s="67" t="s">
        <v>1914</v>
      </c>
      <c r="I387" s="49"/>
      <c r="J387" s="49"/>
      <c r="K387" s="49"/>
      <c r="L387" s="49"/>
      <c r="M387" s="1159"/>
    </row>
    <row r="388" spans="1:13" x14ac:dyDescent="0.3">
      <c r="A388" s="6">
        <v>388</v>
      </c>
      <c r="B388" s="1308"/>
      <c r="C388" s="501" t="s">
        <v>319</v>
      </c>
      <c r="D388" s="658" t="s">
        <v>1833</v>
      </c>
      <c r="E388" s="222"/>
      <c r="F388" s="222"/>
      <c r="G388" s="110" t="s">
        <v>4</v>
      </c>
      <c r="H388" s="265"/>
      <c r="I388" s="110"/>
      <c r="J388" s="110"/>
      <c r="K388" s="110"/>
      <c r="L388" s="110"/>
    </row>
    <row r="389" spans="1:13" x14ac:dyDescent="0.3">
      <c r="A389" s="6">
        <v>389</v>
      </c>
      <c r="B389" s="1308"/>
      <c r="C389" s="501" t="s">
        <v>313</v>
      </c>
      <c r="D389" s="658" t="s">
        <v>1833</v>
      </c>
      <c r="E389" s="222"/>
      <c r="F389" s="222"/>
      <c r="G389" s="110" t="s">
        <v>4</v>
      </c>
      <c r="H389" s="234"/>
      <c r="I389" s="110"/>
      <c r="J389" s="110"/>
      <c r="K389" s="110"/>
      <c r="L389" s="110"/>
    </row>
    <row r="390" spans="1:13" ht="15.65" thickBot="1" x14ac:dyDescent="0.35">
      <c r="A390" s="6">
        <v>390</v>
      </c>
      <c r="B390" s="1309"/>
      <c r="C390" s="487" t="s">
        <v>215</v>
      </c>
      <c r="D390" s="652" t="s">
        <v>1833</v>
      </c>
      <c r="E390" s="80"/>
      <c r="F390" s="80"/>
      <c r="G390" s="3" t="s">
        <v>4</v>
      </c>
      <c r="H390" s="245"/>
      <c r="I390" s="3"/>
      <c r="J390" s="3"/>
      <c r="K390" s="3"/>
      <c r="L390" s="3"/>
    </row>
    <row r="391" spans="1:13" x14ac:dyDescent="0.3">
      <c r="A391" s="6">
        <v>391</v>
      </c>
      <c r="B391" s="30"/>
      <c r="C391" s="5"/>
      <c r="D391" s="101"/>
      <c r="E391" s="101"/>
      <c r="F391" s="101"/>
      <c r="H391" s="12"/>
    </row>
    <row r="392" spans="1:13" ht="15.65" thickBot="1" x14ac:dyDescent="0.35">
      <c r="A392" s="6">
        <v>392</v>
      </c>
      <c r="B392" s="131"/>
    </row>
    <row r="393" spans="1:13" x14ac:dyDescent="0.3">
      <c r="A393" s="6">
        <v>393</v>
      </c>
      <c r="B393" s="1307" t="s">
        <v>1799</v>
      </c>
      <c r="C393" s="501" t="s">
        <v>883</v>
      </c>
      <c r="D393" s="573">
        <f>$D$66*($D$379/100)</f>
        <v>0.87616312679999997</v>
      </c>
      <c r="E393" s="91"/>
      <c r="F393" s="91"/>
      <c r="G393" s="110" t="s">
        <v>0</v>
      </c>
      <c r="H393" s="41" t="s">
        <v>629</v>
      </c>
      <c r="I393" s="110"/>
      <c r="J393" s="110"/>
      <c r="K393" s="110"/>
      <c r="L393" s="110"/>
      <c r="M393" s="1159"/>
    </row>
    <row r="394" spans="1:13" x14ac:dyDescent="0.3">
      <c r="A394" s="6">
        <v>394</v>
      </c>
      <c r="B394" s="1308"/>
      <c r="C394" s="501" t="s">
        <v>884</v>
      </c>
      <c r="D394" s="573">
        <f>$D$67*($D$379/100)</f>
        <v>1.8079556584761904</v>
      </c>
      <c r="E394" s="91"/>
      <c r="F394" s="91"/>
      <c r="G394" s="110" t="s">
        <v>0</v>
      </c>
      <c r="H394" s="41" t="s">
        <v>629</v>
      </c>
      <c r="I394" s="110"/>
      <c r="J394" s="110"/>
      <c r="K394" s="110"/>
      <c r="L394" s="110"/>
      <c r="M394" s="1159"/>
    </row>
    <row r="395" spans="1:13" x14ac:dyDescent="0.3">
      <c r="A395" s="6">
        <v>395</v>
      </c>
      <c r="B395" s="1308"/>
      <c r="C395" s="501" t="s">
        <v>885</v>
      </c>
      <c r="D395" s="658" t="s">
        <v>1833</v>
      </c>
      <c r="E395" s="222"/>
      <c r="F395" s="222"/>
      <c r="G395" s="110" t="s">
        <v>0</v>
      </c>
      <c r="H395" s="110"/>
      <c r="I395" s="110"/>
      <c r="J395" s="110"/>
      <c r="K395" s="110"/>
      <c r="L395" s="110"/>
      <c r="M395" s="1159"/>
    </row>
    <row r="396" spans="1:13" x14ac:dyDescent="0.3">
      <c r="A396" s="6">
        <v>396</v>
      </c>
      <c r="B396" s="1308"/>
      <c r="C396" s="258" t="s">
        <v>886</v>
      </c>
      <c r="D396" s="659" t="s">
        <v>1833</v>
      </c>
      <c r="E396" s="242"/>
      <c r="F396" s="242"/>
      <c r="G396" s="55" t="s">
        <v>0</v>
      </c>
      <c r="H396" s="55"/>
      <c r="I396" s="55"/>
      <c r="J396" s="55"/>
      <c r="K396" s="55"/>
      <c r="L396" s="55"/>
    </row>
    <row r="397" spans="1:13" x14ac:dyDescent="0.3">
      <c r="A397" s="6">
        <v>397</v>
      </c>
      <c r="B397" s="1308"/>
      <c r="C397" s="478" t="s">
        <v>887</v>
      </c>
      <c r="D397" s="330">
        <f>$D$72*($D$383/100)</f>
        <v>3.6360519</v>
      </c>
      <c r="E397" s="86"/>
      <c r="F397" s="86"/>
      <c r="G397" s="49" t="s">
        <v>0</v>
      </c>
      <c r="H397" s="50" t="s">
        <v>629</v>
      </c>
      <c r="I397" s="49"/>
      <c r="J397" s="49"/>
      <c r="K397" s="49"/>
      <c r="L397" s="49"/>
      <c r="M397" s="1159"/>
    </row>
    <row r="398" spans="1:13" x14ac:dyDescent="0.3">
      <c r="A398" s="6">
        <v>398</v>
      </c>
      <c r="B398" s="1308"/>
      <c r="C398" s="502" t="s">
        <v>888</v>
      </c>
      <c r="D398" s="660" t="s">
        <v>1833</v>
      </c>
      <c r="E398" s="85"/>
      <c r="F398" s="85"/>
      <c r="G398" s="53" t="s">
        <v>0</v>
      </c>
      <c r="H398" s="53"/>
      <c r="I398" s="53"/>
      <c r="J398" s="53"/>
      <c r="K398" s="53"/>
      <c r="L398" s="53"/>
    </row>
    <row r="399" spans="1:13" x14ac:dyDescent="0.3">
      <c r="A399" s="6">
        <v>399</v>
      </c>
      <c r="B399" s="1308"/>
      <c r="C399" s="503" t="s">
        <v>889</v>
      </c>
      <c r="D399" s="661" t="s">
        <v>1833</v>
      </c>
      <c r="E399" s="240"/>
      <c r="F399" s="240"/>
      <c r="G399" s="166" t="s">
        <v>0</v>
      </c>
      <c r="H399" s="166"/>
      <c r="I399" s="166"/>
      <c r="J399" s="166"/>
      <c r="K399" s="166"/>
      <c r="L399" s="166"/>
    </row>
    <row r="400" spans="1:13" x14ac:dyDescent="0.3">
      <c r="A400" s="6">
        <v>400</v>
      </c>
      <c r="B400" s="1308"/>
      <c r="C400" s="504" t="s">
        <v>890</v>
      </c>
      <c r="D400" s="657" t="s">
        <v>1833</v>
      </c>
      <c r="E400" s="400"/>
      <c r="F400" s="400"/>
      <c r="G400" s="375" t="s">
        <v>0</v>
      </c>
      <c r="H400" s="375"/>
      <c r="I400" s="375"/>
      <c r="J400" s="375"/>
      <c r="K400" s="375"/>
      <c r="L400" s="375"/>
    </row>
    <row r="401" spans="1:13" x14ac:dyDescent="0.3">
      <c r="A401" s="6">
        <v>401</v>
      </c>
      <c r="B401" s="1308"/>
      <c r="C401" s="478" t="s">
        <v>891</v>
      </c>
      <c r="D401" s="330">
        <f>$D$76*($D$387/100)</f>
        <v>2.1816311399999999</v>
      </c>
      <c r="E401" s="86"/>
      <c r="F401" s="86"/>
      <c r="G401" s="49" t="s">
        <v>0</v>
      </c>
      <c r="H401" s="50" t="s">
        <v>629</v>
      </c>
      <c r="I401" s="49"/>
      <c r="J401" s="49"/>
      <c r="K401" s="49"/>
      <c r="L401" s="49"/>
      <c r="M401" s="1159"/>
    </row>
    <row r="402" spans="1:13" x14ac:dyDescent="0.3">
      <c r="A402" s="6">
        <v>402</v>
      </c>
      <c r="B402" s="1308"/>
      <c r="C402" s="501" t="s">
        <v>892</v>
      </c>
      <c r="D402" s="658" t="s">
        <v>1833</v>
      </c>
      <c r="E402" s="222"/>
      <c r="F402" s="222"/>
      <c r="G402" s="110" t="s">
        <v>0</v>
      </c>
      <c r="H402" s="110"/>
      <c r="I402" s="110"/>
      <c r="J402" s="110"/>
      <c r="K402" s="110"/>
      <c r="L402" s="110"/>
    </row>
    <row r="403" spans="1:13" x14ac:dyDescent="0.3">
      <c r="A403" s="6">
        <v>403</v>
      </c>
      <c r="B403" s="1308"/>
      <c r="C403" s="501" t="s">
        <v>893</v>
      </c>
      <c r="D403" s="658" t="s">
        <v>1833</v>
      </c>
      <c r="E403" s="222"/>
      <c r="F403" s="222"/>
      <c r="G403" s="110" t="s">
        <v>0</v>
      </c>
      <c r="H403" s="110"/>
      <c r="I403" s="110"/>
      <c r="J403" s="110"/>
      <c r="K403" s="110"/>
      <c r="L403" s="110"/>
    </row>
    <row r="404" spans="1:13" s="131" customFormat="1" ht="15.65" thickBot="1" x14ac:dyDescent="0.35">
      <c r="A404" s="6">
        <v>404</v>
      </c>
      <c r="B404" s="1309"/>
      <c r="C404" s="575" t="s">
        <v>894</v>
      </c>
      <c r="D404" s="662" t="s">
        <v>1833</v>
      </c>
      <c r="E404" s="576"/>
      <c r="F404" s="576"/>
      <c r="G404" s="174" t="s">
        <v>0</v>
      </c>
      <c r="H404" s="174"/>
      <c r="I404" s="174"/>
      <c r="J404" s="174"/>
      <c r="K404" s="174"/>
      <c r="L404" s="174"/>
    </row>
    <row r="405" spans="1:13" s="11" customFormat="1" x14ac:dyDescent="0.3">
      <c r="A405" s="6">
        <v>405</v>
      </c>
      <c r="B405" s="529"/>
      <c r="C405" s="5"/>
      <c r="D405" s="83"/>
      <c r="E405" s="83"/>
      <c r="F405" s="83"/>
    </row>
    <row r="406" spans="1:13" ht="15.65" thickBot="1" x14ac:dyDescent="0.35">
      <c r="A406" s="6">
        <v>406</v>
      </c>
    </row>
    <row r="407" spans="1:13" s="30" customFormat="1" ht="15.05" customHeight="1" x14ac:dyDescent="0.3">
      <c r="A407" s="6">
        <v>407</v>
      </c>
      <c r="B407" s="1307" t="s">
        <v>1573</v>
      </c>
      <c r="C407" s="510" t="s">
        <v>1488</v>
      </c>
      <c r="D407" s="1121">
        <f>$D$393*$D$41/1000000</f>
        <v>5.1255542917799997E-2</v>
      </c>
      <c r="E407" s="310"/>
      <c r="F407" s="310"/>
      <c r="G407" s="262" t="s">
        <v>1542</v>
      </c>
      <c r="H407" s="1078" t="s">
        <v>629</v>
      </c>
      <c r="I407" s="262" t="s">
        <v>345</v>
      </c>
      <c r="J407" s="262"/>
      <c r="K407" s="262"/>
      <c r="L407" s="262"/>
      <c r="M407" s="1159"/>
    </row>
    <row r="408" spans="1:13" x14ac:dyDescent="0.3">
      <c r="A408" s="6">
        <v>408</v>
      </c>
      <c r="B408" s="1308"/>
      <c r="C408" s="501" t="s">
        <v>1487</v>
      </c>
      <c r="D408" s="278">
        <f>$D$394*$D$42/1000000</f>
        <v>7.7561297748628563E-2</v>
      </c>
      <c r="E408" s="91"/>
      <c r="F408" s="91"/>
      <c r="G408" s="110" t="s">
        <v>1542</v>
      </c>
      <c r="H408" s="110"/>
      <c r="I408" s="110"/>
      <c r="J408" s="110"/>
      <c r="K408" s="110"/>
      <c r="L408" s="110"/>
    </row>
    <row r="409" spans="1:13" x14ac:dyDescent="0.3">
      <c r="A409" s="6">
        <v>409</v>
      </c>
      <c r="B409" s="1308"/>
      <c r="C409" s="501" t="s">
        <v>1489</v>
      </c>
      <c r="D409" s="658" t="s">
        <v>1833</v>
      </c>
      <c r="E409" s="91"/>
      <c r="F409" s="91"/>
      <c r="G409" s="110" t="s">
        <v>1542</v>
      </c>
      <c r="H409" s="110"/>
      <c r="I409" s="110"/>
      <c r="J409" s="110"/>
      <c r="K409" s="110"/>
      <c r="L409" s="110"/>
    </row>
    <row r="410" spans="1:13" x14ac:dyDescent="0.3">
      <c r="A410" s="6">
        <v>410</v>
      </c>
      <c r="B410" s="1308"/>
      <c r="C410" s="258" t="s">
        <v>1490</v>
      </c>
      <c r="D410" s="663" t="s">
        <v>1833</v>
      </c>
      <c r="E410" s="69"/>
      <c r="F410" s="69"/>
      <c r="G410" s="69" t="s">
        <v>1542</v>
      </c>
      <c r="H410" s="69"/>
      <c r="I410" s="69"/>
      <c r="J410" s="69"/>
      <c r="K410" s="69"/>
      <c r="L410" s="69"/>
    </row>
    <row r="411" spans="1:13" x14ac:dyDescent="0.3">
      <c r="A411" s="6">
        <v>411</v>
      </c>
      <c r="B411" s="1308"/>
      <c r="C411" s="478" t="s">
        <v>546</v>
      </c>
      <c r="D411" s="144">
        <f>$D$397*$D$47/1000000</f>
        <v>0.57267817425</v>
      </c>
      <c r="E411" s="86"/>
      <c r="F411" s="86"/>
      <c r="G411" s="49" t="s">
        <v>1542</v>
      </c>
      <c r="H411" s="50" t="s">
        <v>629</v>
      </c>
      <c r="I411" s="49" t="s">
        <v>345</v>
      </c>
      <c r="J411" s="49"/>
      <c r="K411" s="49"/>
      <c r="L411" s="49"/>
      <c r="M411" s="1159"/>
    </row>
    <row r="412" spans="1:13" x14ac:dyDescent="0.3">
      <c r="A412" s="6">
        <v>412</v>
      </c>
      <c r="B412" s="1308"/>
      <c r="C412" s="488" t="s">
        <v>1491</v>
      </c>
      <c r="D412" s="660" t="s">
        <v>1833</v>
      </c>
      <c r="E412" s="82"/>
      <c r="F412" s="82"/>
      <c r="G412" s="53" t="s">
        <v>1542</v>
      </c>
      <c r="H412" s="53"/>
      <c r="I412" s="53"/>
      <c r="J412" s="53"/>
      <c r="K412" s="53"/>
      <c r="L412" s="53"/>
    </row>
    <row r="413" spans="1:13" x14ac:dyDescent="0.3">
      <c r="A413" s="6">
        <v>413</v>
      </c>
      <c r="B413" s="1308"/>
      <c r="C413" s="519" t="s">
        <v>1492</v>
      </c>
      <c r="D413" s="661" t="s">
        <v>1833</v>
      </c>
      <c r="E413" s="393"/>
      <c r="F413" s="393"/>
      <c r="G413" s="166" t="s">
        <v>1542</v>
      </c>
      <c r="H413" s="166"/>
      <c r="I413" s="166"/>
      <c r="J413" s="166"/>
      <c r="K413" s="166"/>
      <c r="L413" s="166"/>
    </row>
    <row r="414" spans="1:13" x14ac:dyDescent="0.3">
      <c r="A414" s="6">
        <v>414</v>
      </c>
      <c r="B414" s="1308"/>
      <c r="C414" s="472" t="s">
        <v>1493</v>
      </c>
      <c r="D414" s="657" t="s">
        <v>1833</v>
      </c>
      <c r="E414" s="430"/>
      <c r="F414" s="430"/>
      <c r="G414" s="375" t="s">
        <v>1542</v>
      </c>
      <c r="H414" s="375"/>
      <c r="I414" s="375"/>
      <c r="J414" s="375"/>
      <c r="K414" s="375"/>
      <c r="L414" s="375"/>
    </row>
    <row r="415" spans="1:13" x14ac:dyDescent="0.3">
      <c r="A415" s="6">
        <v>415</v>
      </c>
      <c r="B415" s="1308"/>
      <c r="C415" s="478" t="s">
        <v>547</v>
      </c>
      <c r="D415" s="144">
        <f>$D$401*$D$51/1000000</f>
        <v>0.16327327451759999</v>
      </c>
      <c r="E415" s="86"/>
      <c r="F415" s="86"/>
      <c r="G415" s="49" t="s">
        <v>1542</v>
      </c>
      <c r="H415" s="50" t="s">
        <v>629</v>
      </c>
      <c r="I415" s="49" t="s">
        <v>345</v>
      </c>
      <c r="J415" s="49"/>
      <c r="K415" s="49"/>
      <c r="L415" s="49"/>
      <c r="M415" s="1159"/>
    </row>
    <row r="416" spans="1:13" x14ac:dyDescent="0.3">
      <c r="A416" s="6">
        <v>416</v>
      </c>
      <c r="B416" s="1308"/>
      <c r="C416" s="501" t="s">
        <v>1494</v>
      </c>
      <c r="D416" s="658" t="s">
        <v>1833</v>
      </c>
      <c r="E416" s="222"/>
      <c r="F416" s="222"/>
      <c r="G416" s="222" t="s">
        <v>1542</v>
      </c>
      <c r="H416" s="222"/>
      <c r="I416" s="66"/>
      <c r="J416" s="66"/>
      <c r="K416" s="66"/>
      <c r="L416" s="66"/>
    </row>
    <row r="417" spans="1:13" x14ac:dyDescent="0.3">
      <c r="A417" s="6">
        <v>417</v>
      </c>
      <c r="B417" s="1308"/>
      <c r="C417" s="501" t="s">
        <v>1496</v>
      </c>
      <c r="D417" s="658" t="s">
        <v>1833</v>
      </c>
      <c r="E417" s="222"/>
      <c r="F417" s="222"/>
      <c r="G417" s="222" t="s">
        <v>1542</v>
      </c>
      <c r="H417" s="222"/>
      <c r="I417" s="66"/>
      <c r="J417" s="66"/>
      <c r="K417" s="66"/>
      <c r="L417" s="66"/>
    </row>
    <row r="418" spans="1:13" x14ac:dyDescent="0.3">
      <c r="A418" s="6">
        <v>418</v>
      </c>
      <c r="B418" s="1308"/>
      <c r="C418" s="520" t="s">
        <v>1495</v>
      </c>
      <c r="D418" s="652" t="s">
        <v>1833</v>
      </c>
      <c r="E418" s="80"/>
      <c r="F418" s="80"/>
      <c r="G418" s="80" t="s">
        <v>1542</v>
      </c>
      <c r="H418" s="80"/>
      <c r="I418" s="80"/>
      <c r="J418" s="80"/>
      <c r="K418" s="80"/>
      <c r="L418" s="80"/>
    </row>
    <row r="419" spans="1:13" x14ac:dyDescent="0.3">
      <c r="A419" s="6">
        <v>419</v>
      </c>
      <c r="B419" s="1308"/>
      <c r="C419" s="274"/>
      <c r="D419" s="87"/>
      <c r="E419" s="87"/>
      <c r="F419" s="87"/>
      <c r="G419" s="66"/>
      <c r="H419" s="66"/>
      <c r="I419" s="66"/>
      <c r="J419" s="66"/>
      <c r="K419" s="66"/>
      <c r="L419" s="66"/>
    </row>
    <row r="420" spans="1:13" x14ac:dyDescent="0.3">
      <c r="A420" s="6">
        <v>420</v>
      </c>
      <c r="B420" s="1308"/>
      <c r="C420" s="518" t="s">
        <v>1497</v>
      </c>
      <c r="D420" s="144">
        <f>$D$411+$D$415</f>
        <v>0.73595144876759999</v>
      </c>
      <c r="E420" s="225"/>
      <c r="F420" s="225"/>
      <c r="G420" s="49" t="s">
        <v>1542</v>
      </c>
      <c r="H420" s="50" t="s">
        <v>629</v>
      </c>
      <c r="I420" s="49" t="s">
        <v>349</v>
      </c>
      <c r="J420" s="49"/>
      <c r="K420" s="49"/>
      <c r="L420" s="49"/>
      <c r="M420" s="1159"/>
    </row>
    <row r="421" spans="1:13" ht="15.65" thickBot="1" x14ac:dyDescent="0.35">
      <c r="A421" s="6">
        <v>421</v>
      </c>
      <c r="B421" s="1308"/>
      <c r="C421" s="509"/>
      <c r="D421" s="132"/>
      <c r="E421" s="132"/>
      <c r="F421" s="132"/>
      <c r="G421" s="131"/>
    </row>
    <row r="422" spans="1:13" ht="15.65" thickBot="1" x14ac:dyDescent="0.35">
      <c r="A422" s="6">
        <v>422</v>
      </c>
      <c r="B422" s="1309"/>
      <c r="C422" s="118" t="s">
        <v>1800</v>
      </c>
      <c r="D422" s="140">
        <f>$D$407+$D$408+$D$411+$D$415</f>
        <v>0.8647682894340285</v>
      </c>
      <c r="E422" s="315"/>
      <c r="F422" s="315"/>
      <c r="G422" s="120" t="s">
        <v>1542</v>
      </c>
      <c r="H422" s="112" t="s">
        <v>629</v>
      </c>
      <c r="M422" s="1159"/>
    </row>
    <row r="423" spans="1:13" x14ac:dyDescent="0.3">
      <c r="A423" s="6">
        <v>423</v>
      </c>
      <c r="B423" s="525"/>
      <c r="C423" s="116"/>
      <c r="D423" s="126"/>
      <c r="E423" s="266"/>
      <c r="F423" s="266"/>
      <c r="G423" s="30"/>
      <c r="H423" s="112"/>
    </row>
    <row r="424" spans="1:13" ht="15.65" thickBot="1" x14ac:dyDescent="0.35">
      <c r="A424" s="6">
        <v>424</v>
      </c>
      <c r="B424" s="538"/>
      <c r="C424" s="6"/>
      <c r="D424" s="76"/>
      <c r="E424" s="83"/>
      <c r="F424" s="83"/>
      <c r="H424" s="112"/>
    </row>
    <row r="425" spans="1:13" x14ac:dyDescent="0.3">
      <c r="A425" s="6">
        <v>425</v>
      </c>
      <c r="B425" s="1307" t="s">
        <v>1737</v>
      </c>
      <c r="C425" s="510" t="s">
        <v>1725</v>
      </c>
      <c r="D425" s="1120">
        <f>$D$407*$D$17</f>
        <v>2.3297974053545452</v>
      </c>
      <c r="E425" s="310"/>
      <c r="F425" s="310"/>
      <c r="G425" s="311" t="s">
        <v>948</v>
      </c>
      <c r="H425" s="91" t="s">
        <v>629</v>
      </c>
      <c r="I425" s="91"/>
      <c r="J425" s="91"/>
      <c r="K425" s="91"/>
      <c r="L425" s="91"/>
      <c r="M425" s="1159"/>
    </row>
    <row r="426" spans="1:13" x14ac:dyDescent="0.3">
      <c r="A426" s="6">
        <v>426</v>
      </c>
      <c r="B426" s="1308"/>
      <c r="C426" s="501" t="s">
        <v>1726</v>
      </c>
      <c r="D426" s="573">
        <f>$D$408*$D$17</f>
        <v>3.5255135340285708</v>
      </c>
      <c r="E426" s="91"/>
      <c r="F426" s="91"/>
      <c r="G426" s="222" t="s">
        <v>948</v>
      </c>
      <c r="H426" s="91" t="s">
        <v>629</v>
      </c>
      <c r="I426" s="91"/>
      <c r="J426" s="91"/>
      <c r="K426" s="91"/>
      <c r="L426" s="91"/>
      <c r="M426" s="1159"/>
    </row>
    <row r="427" spans="1:13" x14ac:dyDescent="0.3">
      <c r="A427" s="6">
        <v>427</v>
      </c>
      <c r="B427" s="1308"/>
      <c r="C427" s="501" t="s">
        <v>1727</v>
      </c>
      <c r="D427" s="658" t="s">
        <v>1833</v>
      </c>
      <c r="E427" s="91"/>
      <c r="F427" s="91"/>
      <c r="G427" s="110" t="s">
        <v>948</v>
      </c>
      <c r="H427" s="91"/>
      <c r="I427" s="91"/>
      <c r="J427" s="91"/>
      <c r="K427" s="91"/>
      <c r="L427" s="91"/>
    </row>
    <row r="428" spans="1:13" x14ac:dyDescent="0.3">
      <c r="A428" s="6">
        <v>428</v>
      </c>
      <c r="B428" s="1308"/>
      <c r="C428" s="258" t="s">
        <v>1728</v>
      </c>
      <c r="D428" s="663" t="s">
        <v>1833</v>
      </c>
      <c r="E428" s="69"/>
      <c r="F428" s="69"/>
      <c r="G428" s="69" t="s">
        <v>948</v>
      </c>
      <c r="H428" s="69"/>
      <c r="I428" s="69"/>
      <c r="J428" s="69"/>
      <c r="K428" s="69"/>
      <c r="L428" s="69"/>
    </row>
    <row r="429" spans="1:13" x14ac:dyDescent="0.3">
      <c r="A429" s="6">
        <v>429</v>
      </c>
      <c r="B429" s="1308"/>
      <c r="C429" s="478" t="s">
        <v>1729</v>
      </c>
      <c r="D429" s="203">
        <f>$D$411*$D$17</f>
        <v>26.030826102272727</v>
      </c>
      <c r="E429" s="86"/>
      <c r="F429" s="86"/>
      <c r="G429" s="49" t="s">
        <v>948</v>
      </c>
      <c r="H429" s="543" t="s">
        <v>629</v>
      </c>
      <c r="I429" s="543"/>
      <c r="J429" s="543"/>
      <c r="K429" s="543"/>
      <c r="L429" s="543"/>
      <c r="M429" s="1159"/>
    </row>
    <row r="430" spans="1:13" x14ac:dyDescent="0.3">
      <c r="A430" s="6">
        <v>430</v>
      </c>
      <c r="B430" s="1308"/>
      <c r="C430" s="488" t="s">
        <v>1730</v>
      </c>
      <c r="D430" s="660" t="s">
        <v>1833</v>
      </c>
      <c r="E430" s="82"/>
      <c r="F430" s="82"/>
      <c r="G430" s="53" t="s">
        <v>948</v>
      </c>
      <c r="H430" s="53"/>
      <c r="I430" s="53"/>
      <c r="J430" s="53"/>
      <c r="K430" s="53"/>
      <c r="L430" s="53"/>
    </row>
    <row r="431" spans="1:13" x14ac:dyDescent="0.3">
      <c r="A431" s="6">
        <v>431</v>
      </c>
      <c r="B431" s="1308"/>
      <c r="C431" s="519" t="s">
        <v>1731</v>
      </c>
      <c r="D431" s="661" t="s">
        <v>1833</v>
      </c>
      <c r="E431" s="393"/>
      <c r="F431" s="393"/>
      <c r="G431" s="166" t="s">
        <v>948</v>
      </c>
      <c r="H431" s="166"/>
      <c r="I431" s="166"/>
      <c r="J431" s="166"/>
      <c r="K431" s="166"/>
      <c r="L431" s="166"/>
    </row>
    <row r="432" spans="1:13" x14ac:dyDescent="0.3">
      <c r="A432" s="6">
        <v>432</v>
      </c>
      <c r="B432" s="1308"/>
      <c r="C432" s="472" t="s">
        <v>1732</v>
      </c>
      <c r="D432" s="657" t="s">
        <v>1833</v>
      </c>
      <c r="E432" s="430"/>
      <c r="F432" s="430"/>
      <c r="G432" s="375" t="s">
        <v>948</v>
      </c>
      <c r="H432" s="375"/>
      <c r="I432" s="375"/>
      <c r="J432" s="375"/>
      <c r="K432" s="375"/>
      <c r="L432" s="375"/>
    </row>
    <row r="433" spans="1:13" x14ac:dyDescent="0.3">
      <c r="A433" s="6">
        <v>433</v>
      </c>
      <c r="B433" s="1308"/>
      <c r="C433" s="478" t="s">
        <v>1733</v>
      </c>
      <c r="D433" s="330">
        <f>$D$415*$D$17</f>
        <v>7.4215124780727262</v>
      </c>
      <c r="E433" s="86"/>
      <c r="F433" s="86"/>
      <c r="G433" s="49" t="s">
        <v>948</v>
      </c>
      <c r="H433" s="543" t="s">
        <v>629</v>
      </c>
      <c r="I433" s="543"/>
      <c r="J433" s="543"/>
      <c r="K433" s="543"/>
      <c r="L433" s="543"/>
      <c r="M433" s="1159"/>
    </row>
    <row r="434" spans="1:13" x14ac:dyDescent="0.3">
      <c r="A434" s="6">
        <v>434</v>
      </c>
      <c r="B434" s="1308"/>
      <c r="C434" s="501" t="s">
        <v>1734</v>
      </c>
      <c r="D434" s="658" t="s">
        <v>1833</v>
      </c>
      <c r="E434" s="222"/>
      <c r="F434" s="222"/>
      <c r="G434" s="222" t="s">
        <v>948</v>
      </c>
      <c r="H434" s="222"/>
      <c r="I434" s="222"/>
      <c r="J434" s="222"/>
      <c r="K434" s="222"/>
      <c r="L434" s="222"/>
    </row>
    <row r="435" spans="1:13" x14ac:dyDescent="0.3">
      <c r="A435" s="6">
        <v>435</v>
      </c>
      <c r="B435" s="1308"/>
      <c r="C435" s="501" t="s">
        <v>1735</v>
      </c>
      <c r="D435" s="658" t="s">
        <v>1833</v>
      </c>
      <c r="E435" s="222"/>
      <c r="F435" s="222"/>
      <c r="G435" s="222" t="s">
        <v>948</v>
      </c>
      <c r="H435" s="222"/>
      <c r="I435" s="222"/>
      <c r="J435" s="222"/>
      <c r="K435" s="222"/>
      <c r="L435" s="222"/>
    </row>
    <row r="436" spans="1:13" x14ac:dyDescent="0.3">
      <c r="A436" s="6">
        <v>436</v>
      </c>
      <c r="B436" s="1308"/>
      <c r="C436" s="520" t="s">
        <v>1736</v>
      </c>
      <c r="D436" s="652" t="s">
        <v>1833</v>
      </c>
      <c r="E436" s="80"/>
      <c r="F436" s="80"/>
      <c r="G436" s="80" t="s">
        <v>948</v>
      </c>
      <c r="H436" s="80"/>
      <c r="I436" s="80"/>
      <c r="J436" s="80"/>
      <c r="K436" s="80"/>
      <c r="L436" s="80"/>
    </row>
    <row r="437" spans="1:13" ht="15.65" thickBot="1" x14ac:dyDescent="0.35">
      <c r="A437" s="6">
        <v>437</v>
      </c>
      <c r="B437" s="1308"/>
      <c r="C437" s="274"/>
      <c r="D437" s="274"/>
      <c r="E437" s="274"/>
      <c r="F437" s="274"/>
      <c r="G437" s="274"/>
      <c r="H437" s="112"/>
    </row>
    <row r="438" spans="1:13" ht="15.65" thickBot="1" x14ac:dyDescent="0.35">
      <c r="A438" s="6">
        <v>438</v>
      </c>
      <c r="B438" s="1309"/>
      <c r="C438" s="506" t="s">
        <v>1005</v>
      </c>
      <c r="D438" s="554">
        <f>D425+D426+D429+D433</f>
        <v>39.307649519728571</v>
      </c>
      <c r="E438" s="315"/>
      <c r="F438" s="315"/>
      <c r="G438" s="120" t="s">
        <v>948</v>
      </c>
      <c r="H438" s="112" t="s">
        <v>629</v>
      </c>
      <c r="M438" s="1159"/>
    </row>
    <row r="439" spans="1:13" x14ac:dyDescent="0.3">
      <c r="A439" s="6">
        <v>439</v>
      </c>
      <c r="B439" s="499"/>
      <c r="C439" s="116"/>
      <c r="D439" s="266"/>
      <c r="E439" s="266"/>
      <c r="F439" s="266"/>
      <c r="G439" s="30"/>
    </row>
    <row r="440" spans="1:13" x14ac:dyDescent="0.3">
      <c r="A440" s="6">
        <v>440</v>
      </c>
      <c r="B440" s="30"/>
      <c r="C440" s="268"/>
      <c r="D440" s="266"/>
      <c r="E440" s="266"/>
      <c r="F440" s="266"/>
      <c r="G440" s="30"/>
    </row>
    <row r="441" spans="1:13" x14ac:dyDescent="0.3">
      <c r="A441" s="6">
        <v>441</v>
      </c>
      <c r="B441" s="1310" t="s">
        <v>1801</v>
      </c>
      <c r="C441" s="221" t="s">
        <v>296</v>
      </c>
      <c r="D441" s="273">
        <f>$D$407/$D$6</f>
        <v>4.2359952824628095E-4</v>
      </c>
      <c r="E441" s="91"/>
      <c r="F441" s="91"/>
      <c r="G441" s="110" t="s">
        <v>60</v>
      </c>
      <c r="H441" s="41" t="s">
        <v>629</v>
      </c>
      <c r="I441" s="110"/>
      <c r="J441" s="110"/>
      <c r="K441" s="110"/>
      <c r="L441" s="110"/>
      <c r="M441" s="1159"/>
    </row>
    <row r="442" spans="1:13" x14ac:dyDescent="0.3">
      <c r="A442" s="6">
        <v>442</v>
      </c>
      <c r="B442" s="1311"/>
      <c r="C442" s="67" t="s">
        <v>69</v>
      </c>
      <c r="D442" s="86">
        <f>($D$411+$D$415)/$D$6</f>
        <v>6.0822433782446277E-3</v>
      </c>
      <c r="E442" s="86"/>
      <c r="F442" s="86"/>
      <c r="G442" s="49" t="s">
        <v>60</v>
      </c>
      <c r="H442" s="50" t="s">
        <v>629</v>
      </c>
      <c r="I442" s="49"/>
      <c r="J442" s="49"/>
      <c r="K442" s="49"/>
      <c r="L442" s="49"/>
      <c r="M442" s="1159"/>
    </row>
    <row r="443" spans="1:13" x14ac:dyDescent="0.3">
      <c r="A443" s="6">
        <v>443</v>
      </c>
      <c r="B443" s="1311"/>
    </row>
    <row r="444" spans="1:13" s="11" customFormat="1" ht="15.65" thickBot="1" x14ac:dyDescent="0.35">
      <c r="A444" s="6">
        <v>444</v>
      </c>
      <c r="B444" s="1311"/>
      <c r="C444" s="490"/>
      <c r="D444" s="219"/>
      <c r="E444" s="219"/>
      <c r="F444" s="219"/>
      <c r="G444" s="115"/>
    </row>
    <row r="445" spans="1:13" ht="15.65" thickBot="1" x14ac:dyDescent="0.35">
      <c r="A445" s="6">
        <v>445</v>
      </c>
      <c r="B445" s="1312"/>
      <c r="C445" s="548" t="s">
        <v>111</v>
      </c>
      <c r="D445" s="462">
        <f>($D$442+$D$441)</f>
        <v>6.5058429064909088E-3</v>
      </c>
      <c r="E445" s="316"/>
      <c r="F445" s="316"/>
      <c r="G445" s="270" t="s">
        <v>60</v>
      </c>
      <c r="H445" s="584" t="s">
        <v>629</v>
      </c>
      <c r="I445" s="110"/>
      <c r="J445" s="110"/>
      <c r="K445" s="110"/>
      <c r="L445" s="110"/>
      <c r="M445" s="1159"/>
    </row>
    <row r="446" spans="1:13" s="11" customFormat="1" x14ac:dyDescent="0.3">
      <c r="A446" s="6">
        <v>446</v>
      </c>
      <c r="C446" s="530"/>
      <c r="D446" s="266"/>
      <c r="E446" s="266"/>
      <c r="F446" s="266"/>
      <c r="G446" s="125"/>
    </row>
    <row r="447" spans="1:13" x14ac:dyDescent="0.3">
      <c r="A447" s="6">
        <v>447</v>
      </c>
      <c r="B447" s="549" t="s">
        <v>1802</v>
      </c>
      <c r="C447" s="549" t="s">
        <v>1802</v>
      </c>
      <c r="D447" s="102"/>
      <c r="E447" s="102"/>
      <c r="F447" s="102"/>
      <c r="G447" s="45"/>
      <c r="H447" s="45"/>
      <c r="I447" s="45"/>
      <c r="J447" s="45"/>
      <c r="K447" s="45"/>
      <c r="L447" s="45"/>
    </row>
    <row r="448" spans="1:13" s="11" customFormat="1" ht="15.65" thickBot="1" x14ac:dyDescent="0.35">
      <c r="A448" s="6">
        <v>448</v>
      </c>
      <c r="B448" s="124"/>
      <c r="C448" s="5"/>
      <c r="D448" s="83"/>
      <c r="E448" s="83"/>
      <c r="F448" s="83"/>
      <c r="G448" s="5"/>
      <c r="H448" s="456"/>
      <c r="I448" s="5"/>
      <c r="J448" s="5"/>
      <c r="K448" s="5"/>
      <c r="L448" s="5"/>
    </row>
    <row r="449" spans="1:13" x14ac:dyDescent="0.3">
      <c r="A449" s="6">
        <v>449</v>
      </c>
      <c r="B449" s="1293" t="s">
        <v>1738</v>
      </c>
      <c r="C449" s="501" t="s">
        <v>297</v>
      </c>
      <c r="D449" s="278">
        <f>'Table S1.4 (ER,Golgi)'!$B$9</f>
        <v>0.15525191534391536</v>
      </c>
      <c r="E449" s="91"/>
      <c r="F449" s="91"/>
      <c r="G449" s="221" t="s">
        <v>4</v>
      </c>
      <c r="H449" s="110" t="s">
        <v>1882</v>
      </c>
      <c r="I449" s="110"/>
      <c r="J449" s="110"/>
      <c r="K449" s="110"/>
      <c r="L449" s="110"/>
      <c r="M449" s="1159"/>
    </row>
    <row r="450" spans="1:13" x14ac:dyDescent="0.3">
      <c r="A450" s="6">
        <v>450</v>
      </c>
      <c r="B450" s="1294"/>
      <c r="C450" s="501" t="s">
        <v>298</v>
      </c>
      <c r="D450" s="278">
        <f>'Table S1.4 (ER,Golgi)'!$B$18</f>
        <v>0.16020800000000002</v>
      </c>
      <c r="E450" s="91"/>
      <c r="F450" s="91"/>
      <c r="G450" s="221" t="s">
        <v>4</v>
      </c>
      <c r="H450" s="110" t="s">
        <v>1882</v>
      </c>
      <c r="I450" s="110"/>
      <c r="J450" s="110"/>
      <c r="K450" s="110"/>
      <c r="L450" s="110"/>
      <c r="M450" s="1159"/>
    </row>
    <row r="451" spans="1:13" x14ac:dyDescent="0.3">
      <c r="A451" s="6">
        <v>451</v>
      </c>
      <c r="B451" s="1294"/>
      <c r="C451" s="501" t="s">
        <v>270</v>
      </c>
      <c r="D451" s="658" t="s">
        <v>1833</v>
      </c>
      <c r="E451" s="222"/>
      <c r="F451" s="222"/>
      <c r="G451" s="221" t="s">
        <v>4</v>
      </c>
      <c r="H451" s="110"/>
      <c r="I451" s="110"/>
      <c r="J451" s="110"/>
      <c r="K451" s="110"/>
      <c r="L451" s="110"/>
    </row>
    <row r="452" spans="1:13" x14ac:dyDescent="0.3">
      <c r="A452" s="6">
        <v>452</v>
      </c>
      <c r="B452" s="1294"/>
      <c r="C452" s="258" t="s">
        <v>271</v>
      </c>
      <c r="D452" s="659" t="s">
        <v>1833</v>
      </c>
      <c r="E452" s="242"/>
      <c r="F452" s="242"/>
      <c r="G452" s="69" t="s">
        <v>4</v>
      </c>
      <c r="H452" s="55"/>
      <c r="I452" s="55"/>
      <c r="J452" s="55"/>
      <c r="K452" s="55"/>
      <c r="L452" s="55"/>
    </row>
    <row r="453" spans="1:13" x14ac:dyDescent="0.3">
      <c r="A453" s="6">
        <v>453</v>
      </c>
      <c r="B453" s="1294"/>
      <c r="C453" s="478" t="s">
        <v>272</v>
      </c>
      <c r="D453" s="144">
        <f>'Table S1.4 (ER,Golgi)'!$B$25</f>
        <v>0.121771</v>
      </c>
      <c r="E453" s="86"/>
      <c r="F453" s="86"/>
      <c r="G453" s="67" t="s">
        <v>4</v>
      </c>
      <c r="H453" s="224" t="s">
        <v>1882</v>
      </c>
      <c r="I453" s="49"/>
      <c r="J453" s="49"/>
      <c r="K453" s="49"/>
      <c r="L453" s="49"/>
      <c r="M453" s="1159"/>
    </row>
    <row r="454" spans="1:13" x14ac:dyDescent="0.3">
      <c r="A454" s="6">
        <v>454</v>
      </c>
      <c r="B454" s="1294"/>
      <c r="C454" s="502" t="s">
        <v>273</v>
      </c>
      <c r="D454" s="660" t="s">
        <v>1833</v>
      </c>
      <c r="E454" s="85"/>
      <c r="F454" s="85"/>
      <c r="G454" s="25" t="s">
        <v>4</v>
      </c>
      <c r="H454" s="53"/>
      <c r="I454" s="53"/>
      <c r="J454" s="53"/>
      <c r="K454" s="53"/>
      <c r="L454" s="53"/>
    </row>
    <row r="455" spans="1:13" x14ac:dyDescent="0.3">
      <c r="A455" s="6">
        <v>455</v>
      </c>
      <c r="B455" s="1294"/>
      <c r="C455" s="503" t="s">
        <v>274</v>
      </c>
      <c r="D455" s="661" t="s">
        <v>1833</v>
      </c>
      <c r="E455" s="240"/>
      <c r="F455" s="240"/>
      <c r="G455" s="70" t="s">
        <v>4</v>
      </c>
      <c r="H455" s="166"/>
      <c r="I455" s="166"/>
      <c r="J455" s="166"/>
      <c r="K455" s="166"/>
      <c r="L455" s="166"/>
    </row>
    <row r="456" spans="1:13" x14ac:dyDescent="0.3">
      <c r="A456" s="6">
        <v>456</v>
      </c>
      <c r="B456" s="1294"/>
      <c r="C456" s="504" t="s">
        <v>467</v>
      </c>
      <c r="D456" s="657" t="s">
        <v>1833</v>
      </c>
      <c r="E456" s="400"/>
      <c r="F456" s="400"/>
      <c r="G456" s="391" t="s">
        <v>4</v>
      </c>
      <c r="H456" s="375"/>
      <c r="I456" s="375"/>
      <c r="J456" s="375"/>
      <c r="K456" s="375"/>
      <c r="L456" s="375"/>
    </row>
    <row r="457" spans="1:13" x14ac:dyDescent="0.3">
      <c r="A457" s="6">
        <v>457</v>
      </c>
      <c r="B457" s="1294"/>
      <c r="C457" s="478" t="s">
        <v>275</v>
      </c>
      <c r="D457" s="144">
        <f>'Table S1.4 (ER,Golgi)'!$B$32</f>
        <v>0.121771</v>
      </c>
      <c r="E457" s="86"/>
      <c r="F457" s="86"/>
      <c r="G457" s="67" t="s">
        <v>4</v>
      </c>
      <c r="H457" s="224" t="s">
        <v>1882</v>
      </c>
      <c r="I457" s="49"/>
      <c r="J457" s="49"/>
      <c r="K457" s="49"/>
      <c r="L457" s="49"/>
      <c r="M457" s="1159"/>
    </row>
    <row r="458" spans="1:13" x14ac:dyDescent="0.3">
      <c r="A458" s="6">
        <v>458</v>
      </c>
      <c r="B458" s="1294"/>
      <c r="C458" s="501" t="s">
        <v>276</v>
      </c>
      <c r="D458" s="658" t="s">
        <v>1833</v>
      </c>
      <c r="E458" s="222"/>
      <c r="F458" s="222"/>
      <c r="G458" s="221" t="s">
        <v>4</v>
      </c>
      <c r="H458" s="110"/>
      <c r="I458" s="110"/>
      <c r="J458" s="110"/>
      <c r="K458" s="110"/>
      <c r="L458" s="110"/>
    </row>
    <row r="459" spans="1:13" x14ac:dyDescent="0.3">
      <c r="A459" s="6">
        <v>459</v>
      </c>
      <c r="B459" s="1294"/>
      <c r="C459" s="501" t="s">
        <v>277</v>
      </c>
      <c r="D459" s="658" t="s">
        <v>1833</v>
      </c>
      <c r="E459" s="222"/>
      <c r="F459" s="222"/>
      <c r="G459" s="221" t="s">
        <v>4</v>
      </c>
      <c r="H459" s="110"/>
      <c r="I459" s="110"/>
      <c r="J459" s="110"/>
      <c r="K459" s="110"/>
      <c r="L459" s="110"/>
    </row>
    <row r="460" spans="1:13" ht="15.65" thickBot="1" x14ac:dyDescent="0.35">
      <c r="A460" s="6">
        <v>460</v>
      </c>
      <c r="B460" s="1295"/>
      <c r="C460" s="487" t="s">
        <v>278</v>
      </c>
      <c r="D460" s="652" t="s">
        <v>1833</v>
      </c>
      <c r="E460" s="80"/>
      <c r="F460" s="80"/>
      <c r="G460" s="52" t="s">
        <v>4</v>
      </c>
      <c r="H460" s="3"/>
      <c r="I460" s="3"/>
      <c r="J460" s="3"/>
      <c r="K460" s="3"/>
      <c r="L460" s="3"/>
    </row>
    <row r="461" spans="1:13" x14ac:dyDescent="0.3">
      <c r="A461" s="6">
        <v>461</v>
      </c>
      <c r="B461" s="30"/>
      <c r="C461" s="5"/>
    </row>
    <row r="462" spans="1:13" ht="15.65" thickBot="1" x14ac:dyDescent="0.35">
      <c r="A462" s="6">
        <v>462</v>
      </c>
      <c r="B462" s="131"/>
      <c r="C462" s="5"/>
      <c r="H462" s="11"/>
    </row>
    <row r="463" spans="1:13" x14ac:dyDescent="0.3">
      <c r="A463" s="6">
        <v>463</v>
      </c>
      <c r="B463" s="1293" t="s">
        <v>1574</v>
      </c>
      <c r="C463" s="501" t="s">
        <v>299</v>
      </c>
      <c r="D463" s="278">
        <f>$D$66*($D$449/100)</f>
        <v>2.9342612000000001E-2</v>
      </c>
      <c r="E463" s="91"/>
      <c r="F463" s="91"/>
      <c r="G463" s="110" t="s">
        <v>0</v>
      </c>
      <c r="H463" s="41" t="s">
        <v>629</v>
      </c>
      <c r="I463" s="110" t="s">
        <v>814</v>
      </c>
      <c r="J463" s="110"/>
      <c r="K463" s="110"/>
      <c r="L463" s="110"/>
      <c r="M463" s="1159"/>
    </row>
    <row r="464" spans="1:13" x14ac:dyDescent="0.3">
      <c r="A464" s="6">
        <v>464</v>
      </c>
      <c r="B464" s="1294"/>
      <c r="C464" s="501" t="s">
        <v>300</v>
      </c>
      <c r="D464" s="278">
        <f>$D$67*($D$450/100)</f>
        <v>6.2481120000000001E-2</v>
      </c>
      <c r="E464" s="91"/>
      <c r="F464" s="91"/>
      <c r="G464" s="110" t="s">
        <v>0</v>
      </c>
      <c r="H464" s="41" t="s">
        <v>629</v>
      </c>
      <c r="I464" s="110" t="s">
        <v>814</v>
      </c>
      <c r="J464" s="110"/>
      <c r="K464" s="110"/>
      <c r="L464" s="110"/>
      <c r="M464" s="1159"/>
    </row>
    <row r="465" spans="1:13" x14ac:dyDescent="0.3">
      <c r="A465" s="6">
        <v>465</v>
      </c>
      <c r="B465" s="1294"/>
      <c r="C465" s="501" t="s">
        <v>279</v>
      </c>
      <c r="D465" s="658" t="s">
        <v>1833</v>
      </c>
      <c r="E465" s="222"/>
      <c r="F465" s="222"/>
      <c r="G465" s="110" t="s">
        <v>0</v>
      </c>
      <c r="H465" s="110"/>
      <c r="I465" s="110"/>
      <c r="J465" s="110"/>
      <c r="K465" s="110"/>
      <c r="L465" s="110"/>
    </row>
    <row r="466" spans="1:13" x14ac:dyDescent="0.3">
      <c r="A466" s="6">
        <v>466</v>
      </c>
      <c r="B466" s="1294"/>
      <c r="C466" s="258" t="s">
        <v>280</v>
      </c>
      <c r="D466" s="659" t="s">
        <v>1833</v>
      </c>
      <c r="E466" s="242"/>
      <c r="F466" s="242"/>
      <c r="G466" s="55" t="s">
        <v>0</v>
      </c>
      <c r="H466" s="55"/>
      <c r="I466" s="55"/>
      <c r="J466" s="55"/>
      <c r="K466" s="55"/>
      <c r="L466" s="55"/>
    </row>
    <row r="467" spans="1:13" x14ac:dyDescent="0.3">
      <c r="A467" s="6">
        <v>467</v>
      </c>
      <c r="B467" s="1294"/>
      <c r="C467" s="478" t="s">
        <v>281</v>
      </c>
      <c r="D467" s="144">
        <f>$D$72*($D$453/100)</f>
        <v>0.121771</v>
      </c>
      <c r="E467" s="86"/>
      <c r="F467" s="86"/>
      <c r="G467" s="49" t="s">
        <v>0</v>
      </c>
      <c r="H467" s="50" t="s">
        <v>629</v>
      </c>
      <c r="I467" s="49" t="s">
        <v>814</v>
      </c>
      <c r="J467" s="49"/>
      <c r="K467" s="49"/>
      <c r="L467" s="49"/>
      <c r="M467" s="1159"/>
    </row>
    <row r="468" spans="1:13" x14ac:dyDescent="0.3">
      <c r="A468" s="6">
        <v>468</v>
      </c>
      <c r="B468" s="1294"/>
      <c r="C468" s="502" t="s">
        <v>283</v>
      </c>
      <c r="D468" s="660" t="s">
        <v>1833</v>
      </c>
      <c r="E468" s="85"/>
      <c r="F468" s="85"/>
      <c r="G468" s="53" t="s">
        <v>0</v>
      </c>
      <c r="H468" s="53"/>
      <c r="I468" s="53"/>
      <c r="J468" s="53"/>
      <c r="K468" s="53"/>
      <c r="L468" s="53"/>
    </row>
    <row r="469" spans="1:13" x14ac:dyDescent="0.3">
      <c r="A469" s="6">
        <v>469</v>
      </c>
      <c r="B469" s="1294"/>
      <c r="C469" s="503" t="s">
        <v>284</v>
      </c>
      <c r="D469" s="661" t="s">
        <v>1833</v>
      </c>
      <c r="E469" s="240"/>
      <c r="F469" s="240"/>
      <c r="G469" s="166" t="s">
        <v>0</v>
      </c>
      <c r="H469" s="166"/>
      <c r="I469" s="166"/>
      <c r="J469" s="166"/>
      <c r="K469" s="166"/>
      <c r="L469" s="166"/>
    </row>
    <row r="470" spans="1:13" x14ac:dyDescent="0.3">
      <c r="A470" s="6">
        <v>470</v>
      </c>
      <c r="B470" s="1294"/>
      <c r="C470" s="504" t="s">
        <v>468</v>
      </c>
      <c r="D470" s="657" t="s">
        <v>1833</v>
      </c>
      <c r="E470" s="400"/>
      <c r="F470" s="400"/>
      <c r="G470" s="375" t="s">
        <v>0</v>
      </c>
      <c r="H470" s="375"/>
      <c r="I470" s="375"/>
      <c r="J470" s="375"/>
      <c r="K470" s="375"/>
      <c r="L470" s="375"/>
    </row>
    <row r="471" spans="1:13" x14ac:dyDescent="0.3">
      <c r="A471" s="6">
        <v>471</v>
      </c>
      <c r="B471" s="1294"/>
      <c r="C471" s="478" t="s">
        <v>282</v>
      </c>
      <c r="D471" s="144">
        <f>$D$76*($D$457/100)</f>
        <v>7.3062600000000005E-2</v>
      </c>
      <c r="E471" s="86"/>
      <c r="F471" s="86"/>
      <c r="G471" s="49" t="s">
        <v>0</v>
      </c>
      <c r="H471" s="50" t="s">
        <v>629</v>
      </c>
      <c r="I471" s="49" t="s">
        <v>814</v>
      </c>
      <c r="J471" s="49"/>
      <c r="K471" s="49"/>
      <c r="L471" s="49"/>
      <c r="M471" s="1159"/>
    </row>
    <row r="472" spans="1:13" x14ac:dyDescent="0.3">
      <c r="A472" s="6">
        <v>472</v>
      </c>
      <c r="B472" s="1294"/>
      <c r="C472" s="501" t="s">
        <v>286</v>
      </c>
      <c r="D472" s="658" t="s">
        <v>1833</v>
      </c>
      <c r="E472" s="222"/>
      <c r="F472" s="222"/>
      <c r="G472" s="110" t="s">
        <v>0</v>
      </c>
      <c r="H472" s="110"/>
      <c r="I472" s="110"/>
      <c r="J472" s="110"/>
      <c r="K472" s="110"/>
      <c r="L472" s="110"/>
    </row>
    <row r="473" spans="1:13" x14ac:dyDescent="0.3">
      <c r="A473" s="6">
        <v>473</v>
      </c>
      <c r="B473" s="1294"/>
      <c r="C473" s="501" t="s">
        <v>285</v>
      </c>
      <c r="D473" s="658" t="s">
        <v>1833</v>
      </c>
      <c r="E473" s="222"/>
      <c r="F473" s="222"/>
      <c r="G473" s="110" t="s">
        <v>0</v>
      </c>
      <c r="H473" s="110"/>
      <c r="I473" s="110"/>
      <c r="J473" s="110"/>
      <c r="K473" s="110"/>
      <c r="L473" s="110"/>
    </row>
    <row r="474" spans="1:13" ht="15.65" thickBot="1" x14ac:dyDescent="0.35">
      <c r="A474" s="6">
        <v>474</v>
      </c>
      <c r="B474" s="1295"/>
      <c r="C474" s="487" t="s">
        <v>287</v>
      </c>
      <c r="D474" s="652" t="s">
        <v>1833</v>
      </c>
      <c r="E474" s="80"/>
      <c r="F474" s="80"/>
      <c r="G474" s="3" t="s">
        <v>0</v>
      </c>
      <c r="H474" s="3"/>
      <c r="I474" s="3"/>
      <c r="J474" s="3"/>
      <c r="K474" s="3"/>
      <c r="L474" s="3"/>
    </row>
    <row r="475" spans="1:13" s="11" customFormat="1" x14ac:dyDescent="0.3">
      <c r="A475" s="6">
        <v>475</v>
      </c>
      <c r="B475" s="526"/>
      <c r="C475" s="5"/>
      <c r="D475" s="83"/>
      <c r="E475" s="83"/>
      <c r="F475" s="83"/>
    </row>
    <row r="476" spans="1:13" ht="15.65" thickBot="1" x14ac:dyDescent="0.35">
      <c r="A476" s="6">
        <v>476</v>
      </c>
      <c r="B476" s="131"/>
      <c r="C476" s="5"/>
      <c r="D476" s="75"/>
      <c r="E476" s="75"/>
      <c r="F476" s="75"/>
      <c r="H476" s="11"/>
    </row>
    <row r="477" spans="1:13" ht="15.05" customHeight="1" x14ac:dyDescent="0.3">
      <c r="A477" s="6">
        <v>477</v>
      </c>
      <c r="B477" s="1293" t="s">
        <v>1575</v>
      </c>
      <c r="C477" s="501" t="s">
        <v>548</v>
      </c>
      <c r="D477" s="91">
        <f>$D$41*$D$463/1000000</f>
        <v>1.716542802E-3</v>
      </c>
      <c r="E477" s="91"/>
      <c r="F477" s="91"/>
      <c r="G477" s="110" t="s">
        <v>23</v>
      </c>
      <c r="H477" s="41" t="s">
        <v>629</v>
      </c>
      <c r="I477" s="110"/>
      <c r="J477" s="110"/>
      <c r="K477" s="110"/>
      <c r="L477" s="110"/>
      <c r="M477" s="1159"/>
    </row>
    <row r="478" spans="1:13" x14ac:dyDescent="0.3">
      <c r="A478" s="6">
        <v>478</v>
      </c>
      <c r="B478" s="1294"/>
      <c r="C478" s="501" t="s">
        <v>549</v>
      </c>
      <c r="D478" s="91">
        <f>$D$42*$D$464/1000000</f>
        <v>2.6804400479999999E-3</v>
      </c>
      <c r="E478" s="91"/>
      <c r="F478" s="91"/>
      <c r="G478" s="110" t="s">
        <v>23</v>
      </c>
      <c r="H478" s="41" t="s">
        <v>629</v>
      </c>
      <c r="I478" s="110"/>
      <c r="J478" s="110"/>
      <c r="K478" s="110"/>
      <c r="L478" s="110"/>
      <c r="M478" s="1159"/>
    </row>
    <row r="479" spans="1:13" x14ac:dyDescent="0.3">
      <c r="A479" s="6">
        <v>479</v>
      </c>
      <c r="B479" s="1294"/>
      <c r="C479" s="501" t="s">
        <v>550</v>
      </c>
      <c r="D479" s="658" t="s">
        <v>1833</v>
      </c>
      <c r="E479" s="91"/>
      <c r="F479" s="91"/>
      <c r="G479" s="110" t="s">
        <v>23</v>
      </c>
      <c r="H479" s="110"/>
      <c r="I479" s="110"/>
      <c r="J479" s="110"/>
      <c r="K479" s="110"/>
      <c r="L479" s="110"/>
    </row>
    <row r="480" spans="1:13" x14ac:dyDescent="0.3">
      <c r="A480" s="6">
        <v>480</v>
      </c>
      <c r="B480" s="1294"/>
      <c r="C480" s="258" t="s">
        <v>551</v>
      </c>
      <c r="D480" s="659" t="s">
        <v>1833</v>
      </c>
      <c r="E480" s="242"/>
      <c r="F480" s="242"/>
      <c r="G480" s="55" t="s">
        <v>23</v>
      </c>
      <c r="H480" s="55"/>
      <c r="I480" s="55"/>
      <c r="J480" s="55"/>
      <c r="K480" s="55"/>
      <c r="L480" s="55"/>
    </row>
    <row r="481" spans="1:13" x14ac:dyDescent="0.3">
      <c r="A481" s="6">
        <v>481</v>
      </c>
      <c r="B481" s="1294"/>
      <c r="C481" s="478" t="s">
        <v>552</v>
      </c>
      <c r="D481" s="144">
        <f>$D$47*$D$467/1000000</f>
        <v>1.9178932499999999E-2</v>
      </c>
      <c r="E481" s="86"/>
      <c r="F481" s="86"/>
      <c r="G481" s="49" t="s">
        <v>23</v>
      </c>
      <c r="H481" s="50" t="s">
        <v>629</v>
      </c>
      <c r="I481" s="49"/>
      <c r="J481" s="49"/>
      <c r="K481" s="49"/>
      <c r="L481" s="49"/>
      <c r="M481" s="1159"/>
    </row>
    <row r="482" spans="1:13" x14ac:dyDescent="0.3">
      <c r="A482" s="6">
        <v>482</v>
      </c>
      <c r="B482" s="1294"/>
      <c r="C482" s="502" t="s">
        <v>553</v>
      </c>
      <c r="D482" s="660" t="s">
        <v>1833</v>
      </c>
      <c r="E482" s="85"/>
      <c r="F482" s="85"/>
      <c r="G482" s="53" t="s">
        <v>23</v>
      </c>
      <c r="H482" s="53"/>
      <c r="I482" s="53"/>
      <c r="J482" s="53"/>
      <c r="K482" s="53"/>
      <c r="L482" s="53"/>
    </row>
    <row r="483" spans="1:13" x14ac:dyDescent="0.3">
      <c r="A483" s="6">
        <v>483</v>
      </c>
      <c r="B483" s="1294"/>
      <c r="C483" s="503" t="s">
        <v>554</v>
      </c>
      <c r="D483" s="661" t="s">
        <v>1833</v>
      </c>
      <c r="E483" s="240"/>
      <c r="F483" s="240"/>
      <c r="G483" s="166" t="s">
        <v>23</v>
      </c>
      <c r="H483" s="166"/>
      <c r="I483" s="166"/>
      <c r="J483" s="166"/>
      <c r="K483" s="166"/>
      <c r="L483" s="166"/>
    </row>
    <row r="484" spans="1:13" x14ac:dyDescent="0.3">
      <c r="A484" s="6">
        <v>484</v>
      </c>
      <c r="B484" s="1294"/>
      <c r="C484" s="504" t="s">
        <v>555</v>
      </c>
      <c r="D484" s="657" t="s">
        <v>1833</v>
      </c>
      <c r="E484" s="400"/>
      <c r="F484" s="400"/>
      <c r="G484" s="375" t="s">
        <v>23</v>
      </c>
      <c r="H484" s="375"/>
      <c r="I484" s="375"/>
      <c r="J484" s="375"/>
      <c r="K484" s="375"/>
      <c r="L484" s="375"/>
    </row>
    <row r="485" spans="1:13" x14ac:dyDescent="0.3">
      <c r="A485" s="6">
        <v>485</v>
      </c>
      <c r="B485" s="1294"/>
      <c r="C485" s="478" t="s">
        <v>556</v>
      </c>
      <c r="D485" s="86">
        <f>$D$51*$D$471/1000000</f>
        <v>5.4680049839999998E-3</v>
      </c>
      <c r="E485" s="86"/>
      <c r="F485" s="86"/>
      <c r="G485" s="49" t="s">
        <v>23</v>
      </c>
      <c r="H485" s="50" t="s">
        <v>629</v>
      </c>
      <c r="I485" s="49"/>
      <c r="J485" s="49"/>
      <c r="K485" s="49"/>
      <c r="L485" s="49"/>
      <c r="M485" s="1159"/>
    </row>
    <row r="486" spans="1:13" x14ac:dyDescent="0.3">
      <c r="A486" s="6">
        <v>486</v>
      </c>
      <c r="B486" s="1294"/>
      <c r="C486" s="501" t="s">
        <v>557</v>
      </c>
      <c r="D486" s="658" t="s">
        <v>1833</v>
      </c>
      <c r="E486" s="222"/>
      <c r="F486" s="222"/>
      <c r="G486" s="110" t="s">
        <v>23</v>
      </c>
      <c r="H486" s="110"/>
      <c r="I486" s="110"/>
      <c r="J486" s="110"/>
      <c r="K486" s="110"/>
      <c r="L486" s="110"/>
    </row>
    <row r="487" spans="1:13" x14ac:dyDescent="0.3">
      <c r="A487" s="6">
        <v>487</v>
      </c>
      <c r="B487" s="1294"/>
      <c r="C487" s="501" t="s">
        <v>558</v>
      </c>
      <c r="D487" s="658" t="s">
        <v>1833</v>
      </c>
      <c r="E487" s="222"/>
      <c r="F487" s="222"/>
      <c r="G487" s="110" t="s">
        <v>23</v>
      </c>
      <c r="H487" s="110"/>
      <c r="I487" s="110"/>
      <c r="J487" s="110"/>
      <c r="K487" s="110"/>
      <c r="L487" s="110"/>
    </row>
    <row r="488" spans="1:13" x14ac:dyDescent="0.3">
      <c r="A488" s="6">
        <v>488</v>
      </c>
      <c r="B488" s="1294"/>
      <c r="C488" s="487" t="s">
        <v>559</v>
      </c>
      <c r="D488" s="652" t="s">
        <v>1833</v>
      </c>
      <c r="E488" s="80"/>
      <c r="F488" s="80"/>
      <c r="G488" s="3" t="s">
        <v>23</v>
      </c>
      <c r="H488" s="3"/>
      <c r="I488" s="3"/>
      <c r="J488" s="3"/>
      <c r="K488" s="3"/>
      <c r="L488" s="3"/>
    </row>
    <row r="489" spans="1:13" s="11" customFormat="1" ht="15.65" thickBot="1" x14ac:dyDescent="0.35">
      <c r="A489" s="6">
        <v>489</v>
      </c>
      <c r="B489" s="1294"/>
      <c r="C489" s="490"/>
      <c r="D489" s="219"/>
      <c r="E489" s="219"/>
      <c r="F489" s="219"/>
      <c r="G489" s="115"/>
    </row>
    <row r="490" spans="1:13" s="11" customFormat="1" ht="15.65" thickBot="1" x14ac:dyDescent="0.35">
      <c r="A490" s="6">
        <v>490</v>
      </c>
      <c r="B490" s="1295"/>
      <c r="C490" s="521" t="s">
        <v>1538</v>
      </c>
      <c r="D490" s="140">
        <f>$D$477+$D$478+$D$481+$D$485</f>
        <v>2.9043920333999995E-2</v>
      </c>
      <c r="E490" s="267"/>
      <c r="F490" s="315"/>
      <c r="G490" s="129" t="s">
        <v>23</v>
      </c>
      <c r="H490" s="280" t="s">
        <v>629</v>
      </c>
      <c r="M490" s="1159"/>
    </row>
    <row r="491" spans="1:13" x14ac:dyDescent="0.3">
      <c r="A491" s="6">
        <v>491</v>
      </c>
      <c r="B491" s="535"/>
      <c r="C491" s="268"/>
      <c r="D491" s="117"/>
      <c r="E491" s="117"/>
      <c r="F491" s="117"/>
      <c r="G491" s="125"/>
    </row>
    <row r="492" spans="1:13" s="11" customFormat="1" ht="15.65" thickBot="1" x14ac:dyDescent="0.35">
      <c r="A492" s="6">
        <v>492</v>
      </c>
      <c r="B492" s="550"/>
      <c r="C492" s="5"/>
      <c r="D492" s="76"/>
      <c r="E492" s="76"/>
      <c r="F492" s="76"/>
      <c r="H492" s="4"/>
    </row>
    <row r="493" spans="1:13" s="11" customFormat="1" ht="15.05" customHeight="1" x14ac:dyDescent="0.3">
      <c r="A493" s="6">
        <v>493</v>
      </c>
      <c r="B493" s="1293" t="s">
        <v>1804</v>
      </c>
      <c r="C493" s="501" t="s">
        <v>1752</v>
      </c>
      <c r="D493" s="278">
        <f>$D$477*$D$17</f>
        <v>7.8024672818181817E-2</v>
      </c>
      <c r="E493" s="91"/>
      <c r="F493" s="91"/>
      <c r="G493" s="110" t="s">
        <v>948</v>
      </c>
      <c r="H493" s="41" t="s">
        <v>629</v>
      </c>
      <c r="I493" s="110"/>
      <c r="J493" s="110"/>
      <c r="K493" s="110"/>
      <c r="L493" s="110"/>
      <c r="M493" s="1159"/>
    </row>
    <row r="494" spans="1:13" s="11" customFormat="1" x14ac:dyDescent="0.3">
      <c r="A494" s="6">
        <v>494</v>
      </c>
      <c r="B494" s="1294"/>
      <c r="C494" s="501" t="s">
        <v>1753</v>
      </c>
      <c r="D494" s="278">
        <f>$D$478*$D$17</f>
        <v>0.12183818399999999</v>
      </c>
      <c r="E494" s="91"/>
      <c r="F494" s="91"/>
      <c r="G494" s="110" t="s">
        <v>948</v>
      </c>
      <c r="H494" s="41" t="s">
        <v>629</v>
      </c>
      <c r="I494" s="110"/>
      <c r="J494" s="110"/>
      <c r="K494" s="110"/>
      <c r="L494" s="110"/>
      <c r="M494" s="1159"/>
    </row>
    <row r="495" spans="1:13" s="11" customFormat="1" x14ac:dyDescent="0.3">
      <c r="A495" s="6">
        <v>495</v>
      </c>
      <c r="B495" s="1294"/>
      <c r="C495" s="501" t="s">
        <v>1754</v>
      </c>
      <c r="D495" s="658" t="s">
        <v>1833</v>
      </c>
      <c r="E495" s="91"/>
      <c r="F495" s="91"/>
      <c r="G495" s="110" t="s">
        <v>948</v>
      </c>
      <c r="H495" s="110"/>
      <c r="I495" s="110"/>
      <c r="J495" s="110"/>
      <c r="K495" s="110"/>
      <c r="L495" s="110"/>
    </row>
    <row r="496" spans="1:13" s="11" customFormat="1" x14ac:dyDescent="0.3">
      <c r="A496" s="6">
        <v>496</v>
      </c>
      <c r="B496" s="1294"/>
      <c r="C496" s="258" t="s">
        <v>1755</v>
      </c>
      <c r="D496" s="659" t="s">
        <v>1833</v>
      </c>
      <c r="E496" s="242"/>
      <c r="F496" s="242"/>
      <c r="G496" s="55" t="s">
        <v>948</v>
      </c>
      <c r="H496" s="55"/>
      <c r="I496" s="55"/>
      <c r="J496" s="55"/>
      <c r="K496" s="55"/>
      <c r="L496" s="55"/>
    </row>
    <row r="497" spans="1:13" s="11" customFormat="1" x14ac:dyDescent="0.3">
      <c r="A497" s="6">
        <v>497</v>
      </c>
      <c r="B497" s="1294"/>
      <c r="C497" s="478" t="s">
        <v>1756</v>
      </c>
      <c r="D497" s="330">
        <f>$D$481*$D$17</f>
        <v>0.87176965909090898</v>
      </c>
      <c r="E497" s="86"/>
      <c r="F497" s="86"/>
      <c r="G497" s="49" t="s">
        <v>948</v>
      </c>
      <c r="H497" s="50" t="s">
        <v>629</v>
      </c>
      <c r="I497" s="50"/>
      <c r="J497" s="50"/>
      <c r="K497" s="50"/>
      <c r="L497" s="50"/>
      <c r="M497" s="1159"/>
    </row>
    <row r="498" spans="1:13" s="11" customFormat="1" x14ac:dyDescent="0.3">
      <c r="A498" s="6">
        <v>498</v>
      </c>
      <c r="B498" s="1294"/>
      <c r="C498" s="502" t="s">
        <v>1757</v>
      </c>
      <c r="D498" s="660" t="s">
        <v>1833</v>
      </c>
      <c r="E498" s="85"/>
      <c r="F498" s="85"/>
      <c r="G498" s="53" t="s">
        <v>948</v>
      </c>
      <c r="H498" s="53"/>
      <c r="I498" s="53"/>
      <c r="J498" s="53"/>
      <c r="K498" s="53"/>
      <c r="L498" s="53"/>
    </row>
    <row r="499" spans="1:13" s="11" customFormat="1" x14ac:dyDescent="0.3">
      <c r="A499" s="6">
        <v>499</v>
      </c>
      <c r="B499" s="1294"/>
      <c r="C499" s="503" t="s">
        <v>1758</v>
      </c>
      <c r="D499" s="661" t="s">
        <v>1833</v>
      </c>
      <c r="E499" s="240"/>
      <c r="F499" s="240"/>
      <c r="G499" s="166" t="s">
        <v>948</v>
      </c>
      <c r="H499" s="166"/>
      <c r="I499" s="166"/>
      <c r="J499" s="166"/>
      <c r="K499" s="166"/>
      <c r="L499" s="166"/>
    </row>
    <row r="500" spans="1:13" s="11" customFormat="1" x14ac:dyDescent="0.3">
      <c r="A500" s="6">
        <v>500</v>
      </c>
      <c r="B500" s="1294"/>
      <c r="C500" s="504" t="s">
        <v>1759</v>
      </c>
      <c r="D500" s="657" t="s">
        <v>1833</v>
      </c>
      <c r="E500" s="400"/>
      <c r="F500" s="400"/>
      <c r="G500" s="375" t="s">
        <v>948</v>
      </c>
      <c r="H500" s="375"/>
      <c r="I500" s="375"/>
      <c r="J500" s="375"/>
      <c r="K500" s="375"/>
      <c r="L500" s="375"/>
    </row>
    <row r="501" spans="1:13" s="11" customFormat="1" x14ac:dyDescent="0.3">
      <c r="A501" s="6">
        <v>501</v>
      </c>
      <c r="B501" s="1294"/>
      <c r="C501" s="478" t="s">
        <v>1760</v>
      </c>
      <c r="D501" s="330">
        <f>$D$485*$D$17</f>
        <v>0.24854568109090908</v>
      </c>
      <c r="E501" s="86"/>
      <c r="F501" s="86"/>
      <c r="G501" s="49" t="s">
        <v>948</v>
      </c>
      <c r="H501" s="50" t="s">
        <v>629</v>
      </c>
      <c r="I501" s="50"/>
      <c r="J501" s="50"/>
      <c r="K501" s="50"/>
      <c r="L501" s="50"/>
      <c r="M501" s="1159"/>
    </row>
    <row r="502" spans="1:13" s="11" customFormat="1" x14ac:dyDescent="0.3">
      <c r="A502" s="6">
        <v>502</v>
      </c>
      <c r="B502" s="1294"/>
      <c r="C502" s="501" t="s">
        <v>1761</v>
      </c>
      <c r="D502" s="658" t="s">
        <v>1833</v>
      </c>
      <c r="E502" s="222"/>
      <c r="F502" s="222"/>
      <c r="G502" s="110" t="s">
        <v>948</v>
      </c>
      <c r="H502" s="110"/>
      <c r="I502" s="110"/>
      <c r="J502" s="110"/>
      <c r="K502" s="110"/>
      <c r="L502" s="110"/>
    </row>
    <row r="503" spans="1:13" s="11" customFormat="1" x14ac:dyDescent="0.3">
      <c r="A503" s="6">
        <v>503</v>
      </c>
      <c r="B503" s="1294"/>
      <c r="C503" s="501" t="s">
        <v>1762</v>
      </c>
      <c r="D503" s="658" t="s">
        <v>1833</v>
      </c>
      <c r="E503" s="222"/>
      <c r="F503" s="222"/>
      <c r="G503" s="110" t="s">
        <v>948</v>
      </c>
      <c r="H503" s="110"/>
      <c r="I503" s="110"/>
      <c r="J503" s="110"/>
      <c r="K503" s="110"/>
      <c r="L503" s="110"/>
    </row>
    <row r="504" spans="1:13" s="11" customFormat="1" x14ac:dyDescent="0.3">
      <c r="A504" s="6">
        <v>504</v>
      </c>
      <c r="B504" s="1294"/>
      <c r="C504" s="487" t="s">
        <v>1763</v>
      </c>
      <c r="D504" s="652" t="s">
        <v>1833</v>
      </c>
      <c r="E504" s="80"/>
      <c r="F504" s="80"/>
      <c r="G504" s="3" t="s">
        <v>948</v>
      </c>
      <c r="H504" s="3"/>
      <c r="I504" s="3"/>
      <c r="J504" s="3"/>
      <c r="K504" s="3"/>
      <c r="L504" s="3"/>
    </row>
    <row r="505" spans="1:13" s="11" customFormat="1" ht="15.65" thickBot="1" x14ac:dyDescent="0.35">
      <c r="A505" s="6">
        <v>505</v>
      </c>
      <c r="B505" s="1294"/>
      <c r="C505" s="274"/>
      <c r="D505" s="76"/>
      <c r="E505" s="76"/>
      <c r="F505" s="76"/>
      <c r="H505" s="4"/>
      <c r="M505" s="1159"/>
    </row>
    <row r="506" spans="1:13" ht="15.65" thickBot="1" x14ac:dyDescent="0.35">
      <c r="A506" s="6">
        <v>506</v>
      </c>
      <c r="B506" s="1295"/>
      <c r="C506" s="521" t="s">
        <v>1955</v>
      </c>
      <c r="D506" s="335">
        <f>$D$493+$D$494+$D$497+$D$501</f>
        <v>1.3201781969999997</v>
      </c>
      <c r="E506" s="307"/>
      <c r="F506" s="307"/>
      <c r="G506" s="129" t="s">
        <v>948</v>
      </c>
      <c r="H506" s="112" t="s">
        <v>629</v>
      </c>
    </row>
    <row r="507" spans="1:13" x14ac:dyDescent="0.3">
      <c r="A507" s="6">
        <v>507</v>
      </c>
      <c r="B507" s="30"/>
      <c r="C507" s="5"/>
      <c r="D507" s="75"/>
      <c r="E507" s="75"/>
      <c r="F507" s="75"/>
      <c r="G507" s="11"/>
    </row>
    <row r="508" spans="1:13" ht="15.65" thickBot="1" x14ac:dyDescent="0.35">
      <c r="A508" s="6">
        <v>508</v>
      </c>
      <c r="B508" s="485"/>
      <c r="C508" s="268"/>
      <c r="D508" s="117"/>
      <c r="E508" s="117"/>
      <c r="F508" s="117"/>
      <c r="G508" s="125"/>
    </row>
    <row r="509" spans="1:13" x14ac:dyDescent="0.3">
      <c r="A509" s="6">
        <v>509</v>
      </c>
      <c r="B509" s="1298" t="s">
        <v>1576</v>
      </c>
      <c r="C509" s="551" t="s">
        <v>634</v>
      </c>
      <c r="D509" s="102"/>
      <c r="E509" s="102"/>
      <c r="F509" s="102"/>
      <c r="G509" s="45"/>
      <c r="H509" s="45"/>
      <c r="I509" s="45"/>
      <c r="J509" s="45"/>
      <c r="K509" s="45"/>
      <c r="L509" s="45"/>
    </row>
    <row r="510" spans="1:13" x14ac:dyDescent="0.3">
      <c r="A510" s="6">
        <v>510</v>
      </c>
      <c r="B510" s="1299"/>
      <c r="C510" s="274" t="s">
        <v>118</v>
      </c>
      <c r="D510" s="75">
        <v>8.9999999999999993E-3</v>
      </c>
      <c r="E510" s="73" t="s">
        <v>1875</v>
      </c>
      <c r="F510" s="73"/>
      <c r="G510" s="11" t="s">
        <v>469</v>
      </c>
      <c r="H510" s="2" t="s">
        <v>119</v>
      </c>
      <c r="I510" s="2" t="s">
        <v>2464</v>
      </c>
      <c r="M510" s="1159"/>
    </row>
    <row r="511" spans="1:13" x14ac:dyDescent="0.3">
      <c r="A511" s="6">
        <v>511</v>
      </c>
      <c r="B511" s="1299"/>
      <c r="C511" s="274" t="s">
        <v>120</v>
      </c>
      <c r="D511" s="73">
        <v>0</v>
      </c>
      <c r="E511" s="73"/>
      <c r="F511" s="73"/>
      <c r="G511" s="11"/>
      <c r="H511" s="2" t="s">
        <v>119</v>
      </c>
      <c r="I511" s="2" t="s">
        <v>123</v>
      </c>
      <c r="M511" s="1159"/>
    </row>
    <row r="512" spans="1:13" x14ac:dyDescent="0.3">
      <c r="A512" s="6">
        <v>512</v>
      </c>
      <c r="B512" s="1299"/>
      <c r="C512" s="274" t="s">
        <v>121</v>
      </c>
      <c r="D512" s="75">
        <v>0</v>
      </c>
      <c r="E512" s="75"/>
      <c r="F512" s="75"/>
      <c r="G512" s="11" t="s">
        <v>458</v>
      </c>
      <c r="H512" s="2" t="s">
        <v>2389</v>
      </c>
      <c r="M512" s="1159"/>
    </row>
    <row r="513" spans="1:13" ht="15.65" thickBot="1" x14ac:dyDescent="0.35">
      <c r="A513" s="6">
        <v>513</v>
      </c>
      <c r="B513" s="1300"/>
      <c r="C513" s="274" t="s">
        <v>122</v>
      </c>
      <c r="D513" s="75">
        <v>0</v>
      </c>
      <c r="E513" s="75"/>
      <c r="F513" s="75"/>
      <c r="G513" s="11" t="s">
        <v>4</v>
      </c>
      <c r="H513" s="2" t="s">
        <v>2390</v>
      </c>
      <c r="M513" s="1159"/>
    </row>
    <row r="514" spans="1:13" x14ac:dyDescent="0.3">
      <c r="A514" s="6">
        <v>514</v>
      </c>
      <c r="B514" s="30"/>
      <c r="C514" s="5"/>
      <c r="D514" s="75"/>
      <c r="E514" s="75"/>
      <c r="F514" s="75"/>
      <c r="G514" s="11"/>
    </row>
    <row r="515" spans="1:13" x14ac:dyDescent="0.3">
      <c r="A515" s="6">
        <v>515</v>
      </c>
      <c r="B515" s="45" t="s">
        <v>326</v>
      </c>
      <c r="C515" s="45" t="s">
        <v>326</v>
      </c>
      <c r="D515" s="102"/>
      <c r="E515" s="102"/>
      <c r="F515" s="102"/>
      <c r="G515" s="45"/>
      <c r="H515" s="45"/>
      <c r="I515" s="45"/>
      <c r="J515" s="45"/>
      <c r="K515" s="45"/>
      <c r="L515" s="45"/>
    </row>
    <row r="516" spans="1:13" x14ac:dyDescent="0.3">
      <c r="A516" s="6">
        <v>516</v>
      </c>
      <c r="C516" s="5"/>
      <c r="D516" s="83"/>
      <c r="E516" s="83"/>
      <c r="F516" s="83"/>
      <c r="G516" s="5"/>
    </row>
    <row r="517" spans="1:13" x14ac:dyDescent="0.3">
      <c r="A517" s="6">
        <v>517</v>
      </c>
      <c r="B517" s="1301" t="s">
        <v>1805</v>
      </c>
      <c r="C517" s="221" t="s">
        <v>301</v>
      </c>
      <c r="D517" s="91">
        <f>'Table S1.4 (ER,Golgi)'!$B$10</f>
        <v>1.5525191534391535E-2</v>
      </c>
      <c r="E517" s="91"/>
      <c r="F517" s="91"/>
      <c r="G517" s="221" t="s">
        <v>4</v>
      </c>
      <c r="H517" s="271" t="s">
        <v>1882</v>
      </c>
      <c r="I517" s="110"/>
      <c r="J517" s="110"/>
      <c r="K517" s="110"/>
      <c r="L517" s="110"/>
      <c r="M517" s="1159"/>
    </row>
    <row r="518" spans="1:13" x14ac:dyDescent="0.3">
      <c r="A518" s="6">
        <v>518</v>
      </c>
      <c r="B518" s="1302"/>
      <c r="C518" s="221" t="s">
        <v>302</v>
      </c>
      <c r="D518" s="91">
        <f>'Table S1.4 (ER,Golgi)'!$B$19</f>
        <v>1.6020800000000002E-2</v>
      </c>
      <c r="E518" s="91"/>
      <c r="F518" s="91"/>
      <c r="G518" s="221" t="s">
        <v>4</v>
      </c>
      <c r="H518" s="271" t="s">
        <v>1882</v>
      </c>
      <c r="I518" s="110"/>
      <c r="J518" s="110"/>
      <c r="K518" s="110"/>
      <c r="L518" s="110"/>
      <c r="M518" s="1159"/>
    </row>
    <row r="519" spans="1:13" x14ac:dyDescent="0.3">
      <c r="A519" s="6">
        <v>519</v>
      </c>
      <c r="B519" s="1302"/>
      <c r="C519" s="221" t="s">
        <v>261</v>
      </c>
      <c r="D519" s="658" t="s">
        <v>1833</v>
      </c>
      <c r="E519" s="222"/>
      <c r="F519" s="222"/>
      <c r="G519" s="221" t="s">
        <v>4</v>
      </c>
      <c r="H519" s="221"/>
      <c r="I519" s="110"/>
      <c r="J519" s="110"/>
      <c r="K519" s="110"/>
      <c r="L519" s="110"/>
      <c r="M519" s="1159"/>
    </row>
    <row r="520" spans="1:13" x14ac:dyDescent="0.3">
      <c r="A520" s="6">
        <v>520</v>
      </c>
      <c r="B520" s="1302"/>
      <c r="C520" s="69" t="s">
        <v>262</v>
      </c>
      <c r="D520" s="659" t="s">
        <v>1833</v>
      </c>
      <c r="E520" s="242"/>
      <c r="F520" s="242"/>
      <c r="G520" s="69" t="s">
        <v>4</v>
      </c>
      <c r="H520" s="69"/>
      <c r="I520" s="55"/>
      <c r="J520" s="55"/>
      <c r="K520" s="55"/>
      <c r="L520" s="55"/>
    </row>
    <row r="521" spans="1:13" x14ac:dyDescent="0.3">
      <c r="A521" s="6">
        <v>521</v>
      </c>
      <c r="B521" s="1302"/>
      <c r="C521" s="49" t="s">
        <v>263</v>
      </c>
      <c r="D521" s="86">
        <f>'Table S1.4 (ER,Golgi)'!$B$26</f>
        <v>1.2177100000000001E-2</v>
      </c>
      <c r="E521" s="86"/>
      <c r="F521" s="86"/>
      <c r="G521" s="67" t="s">
        <v>4</v>
      </c>
      <c r="H521" s="224" t="s">
        <v>1882</v>
      </c>
      <c r="I521" s="49"/>
      <c r="J521" s="49"/>
      <c r="K521" s="49"/>
      <c r="L521" s="49"/>
      <c r="M521" s="1159"/>
    </row>
    <row r="522" spans="1:13" x14ac:dyDescent="0.3">
      <c r="A522" s="6">
        <v>522</v>
      </c>
      <c r="B522" s="1302"/>
      <c r="C522" s="25" t="s">
        <v>264</v>
      </c>
      <c r="D522" s="660" t="s">
        <v>1833</v>
      </c>
      <c r="E522" s="85"/>
      <c r="F522" s="85"/>
      <c r="G522" s="25" t="s">
        <v>4</v>
      </c>
      <c r="H522" s="25"/>
      <c r="I522" s="53"/>
      <c r="J522" s="53"/>
      <c r="K522" s="53"/>
      <c r="L522" s="53"/>
    </row>
    <row r="523" spans="1:13" x14ac:dyDescent="0.3">
      <c r="A523" s="6">
        <v>523</v>
      </c>
      <c r="B523" s="1302"/>
      <c r="C523" s="70" t="s">
        <v>265</v>
      </c>
      <c r="D523" s="661" t="s">
        <v>1833</v>
      </c>
      <c r="E523" s="240"/>
      <c r="F523" s="240"/>
      <c r="G523" s="70" t="s">
        <v>4</v>
      </c>
      <c r="H523" s="70"/>
      <c r="I523" s="166"/>
      <c r="J523" s="166"/>
      <c r="K523" s="166"/>
      <c r="L523" s="166"/>
    </row>
    <row r="524" spans="1:13" x14ac:dyDescent="0.3">
      <c r="A524" s="6">
        <v>524</v>
      </c>
      <c r="B524" s="1302"/>
      <c r="C524" s="391" t="s">
        <v>470</v>
      </c>
      <c r="D524" s="657" t="s">
        <v>492</v>
      </c>
      <c r="E524" s="400"/>
      <c r="F524" s="400"/>
      <c r="G524" s="391" t="s">
        <v>4</v>
      </c>
      <c r="H524" s="391" t="s">
        <v>2391</v>
      </c>
      <c r="I524" s="375" t="s">
        <v>1897</v>
      </c>
      <c r="J524" s="375"/>
      <c r="K524" s="375"/>
      <c r="L524" s="375"/>
    </row>
    <row r="525" spans="1:13" x14ac:dyDescent="0.3">
      <c r="A525" s="6">
        <v>525</v>
      </c>
      <c r="B525" s="1302"/>
      <c r="C525" s="49" t="s">
        <v>266</v>
      </c>
      <c r="D525" s="86">
        <f>'Table S1.4 (ER,Golgi)'!$B$33</f>
        <v>1.2177100000000001E-2</v>
      </c>
      <c r="E525" s="86"/>
      <c r="F525" s="86"/>
      <c r="G525" s="67" t="s">
        <v>4</v>
      </c>
      <c r="H525" s="224" t="s">
        <v>1882</v>
      </c>
      <c r="I525" s="49"/>
      <c r="J525" s="49"/>
      <c r="K525" s="49"/>
      <c r="L525" s="49"/>
      <c r="M525" s="1159"/>
    </row>
    <row r="526" spans="1:13" x14ac:dyDescent="0.3">
      <c r="A526" s="6">
        <v>526</v>
      </c>
      <c r="B526" s="1302"/>
      <c r="C526" s="221" t="s">
        <v>267</v>
      </c>
      <c r="D526" s="658" t="s">
        <v>1833</v>
      </c>
      <c r="E526" s="222"/>
      <c r="F526" s="222"/>
      <c r="G526" s="221" t="s">
        <v>4</v>
      </c>
      <c r="H526" s="110"/>
      <c r="I526" s="110"/>
      <c r="J526" s="110"/>
      <c r="K526" s="110"/>
      <c r="L526" s="110"/>
    </row>
    <row r="527" spans="1:13" x14ac:dyDescent="0.3">
      <c r="A527" s="6">
        <v>527</v>
      </c>
      <c r="B527" s="1302"/>
      <c r="C527" s="221" t="s">
        <v>268</v>
      </c>
      <c r="D527" s="658" t="s">
        <v>1833</v>
      </c>
      <c r="E527" s="222"/>
      <c r="F527" s="222"/>
      <c r="G527" s="221" t="s">
        <v>4</v>
      </c>
      <c r="H527" s="110"/>
      <c r="I527" s="110"/>
      <c r="J527" s="110"/>
      <c r="K527" s="110"/>
      <c r="L527" s="110"/>
    </row>
    <row r="528" spans="1:13" x14ac:dyDescent="0.3">
      <c r="A528" s="6">
        <v>528</v>
      </c>
      <c r="B528" s="1303"/>
      <c r="C528" s="52" t="s">
        <v>269</v>
      </c>
      <c r="D528" s="652" t="s">
        <v>1833</v>
      </c>
      <c r="E528" s="80"/>
      <c r="F528" s="80"/>
      <c r="G528" s="52" t="s">
        <v>4</v>
      </c>
      <c r="H528" s="3"/>
      <c r="I528" s="3"/>
      <c r="J528" s="3"/>
      <c r="K528" s="3"/>
      <c r="L528" s="3"/>
    </row>
    <row r="529" spans="1:13" x14ac:dyDescent="0.3">
      <c r="A529" s="6">
        <v>529</v>
      </c>
      <c r="B529" s="574"/>
      <c r="C529" s="52"/>
      <c r="D529" s="80"/>
      <c r="E529" s="80"/>
      <c r="F529" s="80"/>
      <c r="G529" s="52"/>
      <c r="H529" s="3"/>
      <c r="I529" s="3"/>
      <c r="J529" s="3"/>
      <c r="K529" s="3"/>
      <c r="L529" s="3"/>
    </row>
    <row r="530" spans="1:13" ht="15.65" thickBot="1" x14ac:dyDescent="0.35">
      <c r="A530" s="6">
        <v>530</v>
      </c>
      <c r="B530" s="131"/>
      <c r="C530" s="14"/>
    </row>
    <row r="531" spans="1:13" x14ac:dyDescent="0.3">
      <c r="A531" s="6">
        <v>531</v>
      </c>
      <c r="B531" s="1264" t="s">
        <v>1586</v>
      </c>
      <c r="C531" s="501" t="s">
        <v>328</v>
      </c>
      <c r="D531" s="91">
        <f>$D$525/100*$D$66</f>
        <v>2.3014719000000001E-3</v>
      </c>
      <c r="E531" s="91"/>
      <c r="F531" s="91"/>
      <c r="G531" s="110" t="s">
        <v>0</v>
      </c>
      <c r="H531" s="41" t="s">
        <v>629</v>
      </c>
      <c r="I531" s="110"/>
      <c r="J531" s="110"/>
      <c r="K531" s="110"/>
      <c r="L531" s="110"/>
      <c r="M531" s="1159"/>
    </row>
    <row r="532" spans="1:13" x14ac:dyDescent="0.3">
      <c r="A532" s="6">
        <v>532</v>
      </c>
      <c r="B532" s="1265"/>
      <c r="C532" s="501" t="s">
        <v>1337</v>
      </c>
      <c r="D532" s="91">
        <f>$D$525/100*$D$67</f>
        <v>4.7490690000000007E-3</v>
      </c>
      <c r="E532" s="91"/>
      <c r="F532" s="91"/>
      <c r="G532" s="110" t="s">
        <v>0</v>
      </c>
      <c r="H532" s="41" t="s">
        <v>629</v>
      </c>
      <c r="I532" s="110"/>
      <c r="J532" s="110"/>
      <c r="K532" s="110"/>
      <c r="L532" s="110"/>
      <c r="M532" s="1159"/>
    </row>
    <row r="533" spans="1:13" x14ac:dyDescent="0.3">
      <c r="A533" s="6">
        <v>533</v>
      </c>
      <c r="B533" s="1265"/>
      <c r="C533" s="501" t="s">
        <v>1498</v>
      </c>
      <c r="D533" s="658" t="s">
        <v>1833</v>
      </c>
      <c r="E533" s="91"/>
      <c r="F533" s="91"/>
      <c r="G533" s="110" t="s">
        <v>0</v>
      </c>
      <c r="H533" s="110"/>
      <c r="I533" s="110"/>
      <c r="J533" s="110"/>
      <c r="K533" s="110"/>
      <c r="L533" s="110"/>
    </row>
    <row r="534" spans="1:13" x14ac:dyDescent="0.3">
      <c r="A534" s="6">
        <v>534</v>
      </c>
      <c r="B534" s="1265"/>
      <c r="C534" s="524" t="s">
        <v>1499</v>
      </c>
      <c r="D534" s="659" t="s">
        <v>1833</v>
      </c>
      <c r="E534" s="242"/>
      <c r="F534" s="242"/>
      <c r="G534" s="242" t="s">
        <v>0</v>
      </c>
      <c r="H534" s="242"/>
      <c r="I534" s="242"/>
      <c r="J534" s="242"/>
      <c r="K534" s="242"/>
      <c r="L534" s="242"/>
    </row>
    <row r="535" spans="1:13" x14ac:dyDescent="0.3">
      <c r="A535" s="6">
        <v>535</v>
      </c>
      <c r="B535" s="1265"/>
      <c r="C535" s="478" t="s">
        <v>93</v>
      </c>
      <c r="D535" s="86">
        <f>$D$525/100*$D$72</f>
        <v>1.2177100000000001E-2</v>
      </c>
      <c r="E535" s="86"/>
      <c r="F535" s="86"/>
      <c r="G535" s="49" t="s">
        <v>0</v>
      </c>
      <c r="H535" s="50" t="s">
        <v>629</v>
      </c>
      <c r="I535" s="49"/>
      <c r="J535" s="49"/>
      <c r="K535" s="49"/>
      <c r="L535" s="49"/>
      <c r="M535" s="1159"/>
    </row>
    <row r="536" spans="1:13" x14ac:dyDescent="0.3">
      <c r="A536" s="6">
        <v>536</v>
      </c>
      <c r="B536" s="1265"/>
      <c r="C536" s="488" t="s">
        <v>1501</v>
      </c>
      <c r="D536" s="660" t="s">
        <v>1833</v>
      </c>
      <c r="E536" s="82"/>
      <c r="F536" s="82"/>
      <c r="G536" s="53" t="s">
        <v>0</v>
      </c>
      <c r="H536" s="53"/>
      <c r="I536" s="53"/>
      <c r="J536" s="53"/>
      <c r="K536" s="53"/>
      <c r="L536" s="53"/>
    </row>
    <row r="537" spans="1:13" x14ac:dyDescent="0.3">
      <c r="A537" s="6">
        <v>537</v>
      </c>
      <c r="B537" s="1265"/>
      <c r="C537" s="519" t="s">
        <v>1502</v>
      </c>
      <c r="D537" s="661" t="s">
        <v>1833</v>
      </c>
      <c r="E537" s="393"/>
      <c r="F537" s="393"/>
      <c r="G537" s="166" t="s">
        <v>0</v>
      </c>
      <c r="H537" s="166"/>
      <c r="I537" s="166"/>
      <c r="J537" s="166"/>
      <c r="K537" s="166"/>
      <c r="L537" s="166"/>
    </row>
    <row r="538" spans="1:13" x14ac:dyDescent="0.3">
      <c r="A538" s="6">
        <v>538</v>
      </c>
      <c r="B538" s="1265"/>
      <c r="C538" s="472" t="s">
        <v>1500</v>
      </c>
      <c r="D538" s="657" t="s">
        <v>492</v>
      </c>
      <c r="E538" s="430"/>
      <c r="F538" s="430"/>
      <c r="G538" s="375" t="s">
        <v>1506</v>
      </c>
      <c r="H538" s="375"/>
      <c r="I538" s="375"/>
      <c r="J538" s="375"/>
      <c r="K538" s="375"/>
      <c r="L538" s="375"/>
    </row>
    <row r="539" spans="1:13" x14ac:dyDescent="0.3">
      <c r="A539" s="6">
        <v>539</v>
      </c>
      <c r="B539" s="1265"/>
      <c r="C539" s="478" t="s">
        <v>94</v>
      </c>
      <c r="D539" s="86">
        <f>$D$525/100*$D$76</f>
        <v>7.3062600000000002E-3</v>
      </c>
      <c r="E539" s="86"/>
      <c r="F539" s="86"/>
      <c r="G539" s="49" t="s">
        <v>0</v>
      </c>
      <c r="H539" s="50" t="s">
        <v>629</v>
      </c>
      <c r="I539" s="49"/>
      <c r="J539" s="49"/>
      <c r="K539" s="49"/>
      <c r="L539" s="49"/>
      <c r="M539" s="1159"/>
    </row>
    <row r="540" spans="1:13" x14ac:dyDescent="0.3">
      <c r="A540" s="6">
        <v>540</v>
      </c>
      <c r="B540" s="1265"/>
      <c r="C540" s="269" t="s">
        <v>1503</v>
      </c>
      <c r="D540" s="658" t="s">
        <v>1833</v>
      </c>
      <c r="E540" s="91"/>
      <c r="F540" s="91"/>
      <c r="G540" s="110" t="s">
        <v>0</v>
      </c>
      <c r="H540" s="110"/>
      <c r="I540" s="110"/>
      <c r="J540" s="110"/>
      <c r="K540" s="110"/>
      <c r="L540" s="110"/>
    </row>
    <row r="541" spans="1:13" x14ac:dyDescent="0.3">
      <c r="A541" s="6">
        <v>541</v>
      </c>
      <c r="B541" s="1265"/>
      <c r="C541" s="269" t="s">
        <v>1504</v>
      </c>
      <c r="D541" s="658" t="s">
        <v>1833</v>
      </c>
      <c r="E541" s="91"/>
      <c r="F541" s="91"/>
      <c r="G541" s="110" t="s">
        <v>0</v>
      </c>
      <c r="H541" s="110"/>
      <c r="I541" s="110"/>
      <c r="J541" s="110"/>
      <c r="K541" s="110"/>
      <c r="L541" s="110"/>
    </row>
    <row r="542" spans="1:13" ht="15.65" thickBot="1" x14ac:dyDescent="0.35">
      <c r="A542" s="6">
        <v>542</v>
      </c>
      <c r="B542" s="1266"/>
      <c r="C542" s="522" t="s">
        <v>1505</v>
      </c>
      <c r="D542" s="652" t="s">
        <v>1833</v>
      </c>
      <c r="E542" s="84"/>
      <c r="F542" s="84"/>
      <c r="G542" s="3" t="s">
        <v>0</v>
      </c>
      <c r="H542" s="3"/>
      <c r="I542" s="3"/>
      <c r="J542" s="3"/>
      <c r="K542" s="3"/>
      <c r="L542" s="3"/>
    </row>
    <row r="543" spans="1:13" ht="15.65" thickBot="1" x14ac:dyDescent="0.35">
      <c r="A543" s="6">
        <v>543</v>
      </c>
      <c r="B543" s="485"/>
      <c r="C543" s="14"/>
      <c r="D543" s="75"/>
      <c r="E543" s="75"/>
      <c r="F543" s="75"/>
      <c r="G543" s="11"/>
    </row>
    <row r="544" spans="1:13" ht="15.05" customHeight="1" x14ac:dyDescent="0.3">
      <c r="A544" s="6">
        <v>544</v>
      </c>
      <c r="B544" s="1264" t="s">
        <v>1577</v>
      </c>
      <c r="C544" s="501" t="s">
        <v>560</v>
      </c>
      <c r="D544" s="273">
        <f>$D$531*$D$41/1000000</f>
        <v>1.3463610615000002E-4</v>
      </c>
      <c r="E544" s="273"/>
      <c r="F544" s="273"/>
      <c r="G544" s="110" t="s">
        <v>23</v>
      </c>
      <c r="H544" s="41" t="s">
        <v>629</v>
      </c>
      <c r="I544" s="110"/>
      <c r="J544" s="110"/>
      <c r="K544" s="110"/>
      <c r="L544" s="110"/>
      <c r="M544" s="1159"/>
    </row>
    <row r="545" spans="1:13" x14ac:dyDescent="0.3">
      <c r="A545" s="6">
        <v>545</v>
      </c>
      <c r="B545" s="1265"/>
      <c r="C545" s="501" t="s">
        <v>1507</v>
      </c>
      <c r="D545" s="273">
        <f>$D$532*$D$42/1000000</f>
        <v>2.0373506010000004E-4</v>
      </c>
      <c r="E545" s="273"/>
      <c r="F545" s="273"/>
      <c r="G545" s="110" t="s">
        <v>23</v>
      </c>
      <c r="H545" s="41" t="s">
        <v>629</v>
      </c>
      <c r="I545" s="110"/>
      <c r="J545" s="110"/>
      <c r="K545" s="110"/>
      <c r="L545" s="110"/>
      <c r="M545" s="1159"/>
    </row>
    <row r="546" spans="1:13" x14ac:dyDescent="0.3">
      <c r="A546" s="6">
        <v>546</v>
      </c>
      <c r="B546" s="1265"/>
      <c r="C546" s="501" t="s">
        <v>1508</v>
      </c>
      <c r="D546" s="658" t="s">
        <v>1833</v>
      </c>
      <c r="E546" s="273"/>
      <c r="F546" s="273"/>
      <c r="G546" s="110" t="s">
        <v>23</v>
      </c>
      <c r="H546" s="110"/>
      <c r="I546" s="110"/>
      <c r="J546" s="110"/>
      <c r="K546" s="110"/>
      <c r="L546" s="110"/>
    </row>
    <row r="547" spans="1:13" x14ac:dyDescent="0.3">
      <c r="A547" s="6">
        <v>547</v>
      </c>
      <c r="B547" s="1265"/>
      <c r="C547" s="258" t="s">
        <v>1509</v>
      </c>
      <c r="D547" s="659" t="s">
        <v>1833</v>
      </c>
      <c r="E547" s="449"/>
      <c r="F547" s="449"/>
      <c r="G547" s="55" t="s">
        <v>23</v>
      </c>
      <c r="H547" s="55"/>
      <c r="I547" s="55"/>
      <c r="J547" s="55"/>
      <c r="K547" s="55"/>
      <c r="L547" s="55"/>
    </row>
    <row r="548" spans="1:13" x14ac:dyDescent="0.3">
      <c r="A548" s="6">
        <v>548</v>
      </c>
      <c r="B548" s="1265"/>
      <c r="C548" s="478" t="s">
        <v>561</v>
      </c>
      <c r="D548" s="448">
        <f>$D$535*$D$42/1000000</f>
        <v>5.2239758999999999E-4</v>
      </c>
      <c r="E548" s="86"/>
      <c r="F548" s="86"/>
      <c r="G548" s="49" t="s">
        <v>23</v>
      </c>
      <c r="H548" s="50" t="s">
        <v>629</v>
      </c>
      <c r="I548" s="49"/>
      <c r="J548" s="49"/>
      <c r="K548" s="49"/>
      <c r="L548" s="49"/>
      <c r="M548" s="1159"/>
    </row>
    <row r="549" spans="1:13" x14ac:dyDescent="0.3">
      <c r="A549" s="6">
        <v>549</v>
      </c>
      <c r="B549" s="1265"/>
      <c r="C549" s="502" t="s">
        <v>1511</v>
      </c>
      <c r="D549" s="660" t="s">
        <v>1833</v>
      </c>
      <c r="E549" s="82"/>
      <c r="F549" s="82"/>
      <c r="G549" s="53" t="s">
        <v>23</v>
      </c>
      <c r="H549" s="53"/>
      <c r="I549" s="53"/>
      <c r="J549" s="53"/>
      <c r="K549" s="53"/>
      <c r="L549" s="53"/>
    </row>
    <row r="550" spans="1:13" x14ac:dyDescent="0.3">
      <c r="A550" s="6">
        <v>550</v>
      </c>
      <c r="B550" s="1265"/>
      <c r="C550" s="503" t="s">
        <v>1510</v>
      </c>
      <c r="D550" s="661" t="s">
        <v>1833</v>
      </c>
      <c r="E550" s="393"/>
      <c r="F550" s="393"/>
      <c r="G550" s="166" t="s">
        <v>23</v>
      </c>
      <c r="H550" s="166"/>
      <c r="I550" s="166"/>
      <c r="J550" s="166"/>
      <c r="K550" s="166"/>
      <c r="L550" s="166"/>
    </row>
    <row r="551" spans="1:13" x14ac:dyDescent="0.3">
      <c r="A551" s="6">
        <v>551</v>
      </c>
      <c r="B551" s="1265"/>
      <c r="C551" s="504" t="s">
        <v>1512</v>
      </c>
      <c r="D551" s="657" t="s">
        <v>492</v>
      </c>
      <c r="E551" s="430"/>
      <c r="F551" s="430"/>
      <c r="G551" s="375" t="s">
        <v>23</v>
      </c>
      <c r="H551" s="375"/>
      <c r="I551" s="375"/>
      <c r="J551" s="375"/>
      <c r="K551" s="375"/>
      <c r="L551" s="375"/>
    </row>
    <row r="552" spans="1:13" x14ac:dyDescent="0.3">
      <c r="A552" s="6">
        <v>552</v>
      </c>
      <c r="B552" s="1265"/>
      <c r="C552" s="478" t="s">
        <v>562</v>
      </c>
      <c r="D552" s="86">
        <f>$D$539*$D$47/1000000</f>
        <v>1.1507359500000001E-3</v>
      </c>
      <c r="E552" s="86"/>
      <c r="F552" s="86"/>
      <c r="G552" s="49" t="s">
        <v>23</v>
      </c>
      <c r="H552" s="50" t="s">
        <v>629</v>
      </c>
      <c r="I552" s="49"/>
      <c r="J552" s="49"/>
      <c r="K552" s="49"/>
      <c r="L552" s="49"/>
      <c r="M552" s="1159"/>
    </row>
    <row r="553" spans="1:13" x14ac:dyDescent="0.3">
      <c r="A553" s="6">
        <v>553</v>
      </c>
      <c r="B553" s="1265"/>
      <c r="C553" s="482" t="s">
        <v>1513</v>
      </c>
      <c r="D553" s="658" t="s">
        <v>1833</v>
      </c>
      <c r="E553" s="78"/>
      <c r="F553" s="78"/>
      <c r="G553" s="66" t="s">
        <v>23</v>
      </c>
      <c r="H553" s="66"/>
      <c r="I553" s="66"/>
      <c r="J553" s="66"/>
      <c r="K553" s="66"/>
      <c r="L553" s="66"/>
    </row>
    <row r="554" spans="1:13" x14ac:dyDescent="0.3">
      <c r="A554" s="6">
        <v>554</v>
      </c>
      <c r="B554" s="1265"/>
      <c r="C554" s="482" t="s">
        <v>1514</v>
      </c>
      <c r="D554" s="658" t="s">
        <v>1833</v>
      </c>
      <c r="E554" s="78"/>
      <c r="F554" s="78"/>
      <c r="G554" s="66" t="s">
        <v>23</v>
      </c>
      <c r="H554" s="66"/>
      <c r="I554" s="66"/>
      <c r="J554" s="66"/>
      <c r="K554" s="66"/>
      <c r="L554" s="66"/>
    </row>
    <row r="555" spans="1:13" x14ac:dyDescent="0.3">
      <c r="A555" s="6">
        <v>555</v>
      </c>
      <c r="B555" s="1265"/>
      <c r="C555" s="522" t="s">
        <v>1515</v>
      </c>
      <c r="D555" s="652" t="s">
        <v>1833</v>
      </c>
      <c r="E555" s="84"/>
      <c r="F555" s="84"/>
      <c r="G555" s="3" t="s">
        <v>23</v>
      </c>
      <c r="H555" s="3"/>
      <c r="I555" s="3"/>
      <c r="J555" s="3"/>
      <c r="K555" s="3"/>
      <c r="L555" s="3"/>
    </row>
    <row r="556" spans="1:13" s="11" customFormat="1" ht="15.65" thickBot="1" x14ac:dyDescent="0.35">
      <c r="A556" s="6">
        <v>556</v>
      </c>
      <c r="B556" s="1265"/>
      <c r="C556" s="492"/>
      <c r="D556" s="219"/>
      <c r="E556" s="114"/>
      <c r="F556" s="114"/>
      <c r="G556" s="115"/>
    </row>
    <row r="557" spans="1:13" s="11" customFormat="1" ht="15.65" thickBot="1" x14ac:dyDescent="0.35">
      <c r="A557" s="6">
        <v>557</v>
      </c>
      <c r="B557" s="1266"/>
      <c r="C557" s="552" t="s">
        <v>1462</v>
      </c>
      <c r="D557" s="128">
        <f>$D$544+$D$545+$D$548+$D$552</f>
        <v>2.0115047062500002E-3</v>
      </c>
      <c r="E557" s="128"/>
      <c r="F557" s="308"/>
      <c r="G557" s="129" t="s">
        <v>23</v>
      </c>
      <c r="H557" s="280" t="s">
        <v>629</v>
      </c>
    </row>
    <row r="558" spans="1:13" x14ac:dyDescent="0.3">
      <c r="A558" s="6">
        <v>558</v>
      </c>
      <c r="B558" s="550"/>
      <c r="C558" s="459"/>
      <c r="D558" s="117"/>
      <c r="E558" s="117"/>
      <c r="F558" s="117"/>
      <c r="G558" s="125"/>
      <c r="M558" s="1159"/>
    </row>
    <row r="559" spans="1:13" s="11" customFormat="1" ht="15.65" thickBot="1" x14ac:dyDescent="0.35">
      <c r="A559" s="6">
        <v>559</v>
      </c>
      <c r="B559" s="553"/>
      <c r="D559" s="76"/>
      <c r="E559" s="76"/>
      <c r="F559" s="76"/>
    </row>
    <row r="560" spans="1:13" s="11" customFormat="1" ht="15.05" customHeight="1" x14ac:dyDescent="0.3">
      <c r="A560" s="6">
        <v>560</v>
      </c>
      <c r="B560" s="1264" t="s">
        <v>1751</v>
      </c>
      <c r="C560" s="501" t="s">
        <v>1739</v>
      </c>
      <c r="D560" s="91">
        <f>$D$544*$D$17</f>
        <v>6.1198230068181822E-3</v>
      </c>
      <c r="E560" s="273"/>
      <c r="F560" s="273"/>
      <c r="G560" s="110" t="s">
        <v>948</v>
      </c>
      <c r="H560" s="41" t="s">
        <v>629</v>
      </c>
      <c r="I560" s="110"/>
      <c r="J560" s="110"/>
      <c r="K560" s="110"/>
      <c r="L560" s="110"/>
      <c r="M560" s="1159"/>
    </row>
    <row r="561" spans="1:13" s="11" customFormat="1" x14ac:dyDescent="0.3">
      <c r="A561" s="6">
        <v>561</v>
      </c>
      <c r="B561" s="1265"/>
      <c r="C561" s="501" t="s">
        <v>1740</v>
      </c>
      <c r="D561" s="91">
        <f>$D$545*$D$17</f>
        <v>9.2606845500000021E-3</v>
      </c>
      <c r="E561" s="273"/>
      <c r="F561" s="273"/>
      <c r="G561" s="110" t="s">
        <v>948</v>
      </c>
      <c r="H561" s="41" t="s">
        <v>629</v>
      </c>
      <c r="I561" s="110"/>
      <c r="J561" s="110"/>
      <c r="K561" s="110"/>
      <c r="L561" s="110"/>
      <c r="M561" s="1159"/>
    </row>
    <row r="562" spans="1:13" s="11" customFormat="1" x14ac:dyDescent="0.3">
      <c r="A562" s="6">
        <v>562</v>
      </c>
      <c r="B562" s="1265"/>
      <c r="C562" s="501" t="s">
        <v>1741</v>
      </c>
      <c r="D562" s="658" t="s">
        <v>1833</v>
      </c>
      <c r="E562" s="273"/>
      <c r="F562" s="273"/>
      <c r="G562" s="110" t="s">
        <v>948</v>
      </c>
      <c r="H562" s="110"/>
      <c r="I562" s="110"/>
      <c r="J562" s="110"/>
      <c r="K562" s="110"/>
      <c r="L562" s="110"/>
    </row>
    <row r="563" spans="1:13" s="11" customFormat="1" x14ac:dyDescent="0.3">
      <c r="A563" s="6">
        <v>563</v>
      </c>
      <c r="B563" s="1265"/>
      <c r="C563" s="258" t="s">
        <v>1742</v>
      </c>
      <c r="D563" s="659" t="s">
        <v>1833</v>
      </c>
      <c r="E563" s="449"/>
      <c r="F563" s="449"/>
      <c r="G563" s="55" t="s">
        <v>948</v>
      </c>
      <c r="H563" s="55"/>
      <c r="I563" s="55"/>
      <c r="J563" s="55"/>
      <c r="K563" s="55"/>
      <c r="L563" s="55"/>
    </row>
    <row r="564" spans="1:13" s="11" customFormat="1" x14ac:dyDescent="0.3">
      <c r="A564" s="6">
        <v>564</v>
      </c>
      <c r="B564" s="1265"/>
      <c r="C564" s="478" t="s">
        <v>1743</v>
      </c>
      <c r="D564" s="86">
        <f>$D$548*$D$17</f>
        <v>2.3745344999999998E-2</v>
      </c>
      <c r="E564" s="86"/>
      <c r="F564" s="86"/>
      <c r="G564" s="49" t="s">
        <v>948</v>
      </c>
      <c r="H564" s="50" t="s">
        <v>629</v>
      </c>
      <c r="I564" s="49"/>
      <c r="J564" s="49"/>
      <c r="K564" s="49"/>
      <c r="L564" s="49"/>
      <c r="M564" s="1159"/>
    </row>
    <row r="565" spans="1:13" s="11" customFormat="1" x14ac:dyDescent="0.3">
      <c r="A565" s="6">
        <v>565</v>
      </c>
      <c r="B565" s="1265"/>
      <c r="C565" s="502" t="s">
        <v>1744</v>
      </c>
      <c r="D565" s="660" t="s">
        <v>1833</v>
      </c>
      <c r="E565" s="82"/>
      <c r="F565" s="82"/>
      <c r="G565" s="53" t="s">
        <v>948</v>
      </c>
      <c r="H565" s="53"/>
      <c r="I565" s="53"/>
      <c r="J565" s="53"/>
      <c r="K565" s="53"/>
      <c r="L565" s="53"/>
    </row>
    <row r="566" spans="1:13" s="11" customFormat="1" x14ac:dyDescent="0.3">
      <c r="A566" s="6">
        <v>566</v>
      </c>
      <c r="B566" s="1296"/>
      <c r="C566" s="503" t="s">
        <v>1745</v>
      </c>
      <c r="D566" s="661" t="s">
        <v>1833</v>
      </c>
      <c r="E566" s="393"/>
      <c r="F566" s="393"/>
      <c r="G566" s="166" t="s">
        <v>948</v>
      </c>
      <c r="H566" s="166"/>
      <c r="I566" s="166"/>
      <c r="J566" s="166"/>
      <c r="K566" s="166"/>
      <c r="L566" s="166"/>
    </row>
    <row r="567" spans="1:13" s="11" customFormat="1" x14ac:dyDescent="0.3">
      <c r="A567" s="6">
        <v>567</v>
      </c>
      <c r="B567" s="1296"/>
      <c r="C567" s="504" t="s">
        <v>1746</v>
      </c>
      <c r="D567" s="657" t="s">
        <v>492</v>
      </c>
      <c r="E567" s="430"/>
      <c r="F567" s="430"/>
      <c r="G567" s="375" t="s">
        <v>948</v>
      </c>
      <c r="H567" s="375"/>
      <c r="I567" s="375"/>
      <c r="J567" s="375"/>
      <c r="K567" s="375"/>
      <c r="L567" s="375"/>
    </row>
    <row r="568" spans="1:13" s="11" customFormat="1" x14ac:dyDescent="0.3">
      <c r="A568" s="6">
        <v>568</v>
      </c>
      <c r="B568" s="1296"/>
      <c r="C568" s="478" t="s">
        <v>1747</v>
      </c>
      <c r="D568" s="86">
        <f>$D$552*$D$17</f>
        <v>5.2306179545454544E-2</v>
      </c>
      <c r="E568" s="86"/>
      <c r="F568" s="86"/>
      <c r="G568" s="49" t="s">
        <v>948</v>
      </c>
      <c r="H568" s="50" t="s">
        <v>629</v>
      </c>
      <c r="I568" s="49"/>
      <c r="J568" s="49"/>
      <c r="K568" s="49"/>
      <c r="L568" s="49"/>
      <c r="M568" s="1159"/>
    </row>
    <row r="569" spans="1:13" s="11" customFormat="1" x14ac:dyDescent="0.3">
      <c r="A569" s="6">
        <v>569</v>
      </c>
      <c r="B569" s="1296"/>
      <c r="C569" s="269" t="s">
        <v>1748</v>
      </c>
      <c r="D569" s="658" t="s">
        <v>1833</v>
      </c>
      <c r="E569" s="91"/>
      <c r="F569" s="91"/>
      <c r="G569" s="110" t="s">
        <v>948</v>
      </c>
      <c r="H569" s="110"/>
      <c r="I569" s="110"/>
      <c r="J569" s="110"/>
      <c r="K569" s="110"/>
      <c r="L569" s="110"/>
    </row>
    <row r="570" spans="1:13" s="11" customFormat="1" x14ac:dyDescent="0.3">
      <c r="A570" s="6">
        <v>570</v>
      </c>
      <c r="B570" s="1296"/>
      <c r="C570" s="269" t="s">
        <v>1749</v>
      </c>
      <c r="D570" s="658" t="s">
        <v>1833</v>
      </c>
      <c r="E570" s="91"/>
      <c r="F570" s="91"/>
      <c r="G570" s="110" t="s">
        <v>948</v>
      </c>
      <c r="H570" s="110"/>
      <c r="I570" s="110"/>
      <c r="J570" s="110"/>
      <c r="K570" s="110"/>
      <c r="L570" s="110"/>
    </row>
    <row r="571" spans="1:13" s="11" customFormat="1" x14ac:dyDescent="0.3">
      <c r="A571" s="6">
        <v>571</v>
      </c>
      <c r="B571" s="1296"/>
      <c r="C571" s="522" t="s">
        <v>1750</v>
      </c>
      <c r="D571" s="652" t="s">
        <v>1833</v>
      </c>
      <c r="E571" s="84"/>
      <c r="F571" s="84"/>
      <c r="G571" s="3" t="s">
        <v>948</v>
      </c>
      <c r="H571" s="3"/>
      <c r="I571" s="3"/>
      <c r="J571" s="3"/>
      <c r="K571" s="3"/>
      <c r="L571" s="3"/>
    </row>
    <row r="572" spans="1:13" s="11" customFormat="1" ht="15.65" thickBot="1" x14ac:dyDescent="0.35">
      <c r="A572" s="6">
        <v>572</v>
      </c>
      <c r="B572" s="1296"/>
      <c r="C572" s="327"/>
      <c r="D572" s="83"/>
      <c r="E572" s="76"/>
      <c r="F572" s="76"/>
    </row>
    <row r="573" spans="1:13" ht="15.65" thickBot="1" x14ac:dyDescent="0.35">
      <c r="A573" s="6">
        <v>573</v>
      </c>
      <c r="B573" s="1297"/>
      <c r="C573" s="521" t="s">
        <v>1956</v>
      </c>
      <c r="D573" s="493">
        <f>$D$560+$D$561+$D$564+$D$568</f>
        <v>9.1432032102272714E-2</v>
      </c>
      <c r="E573" s="307"/>
      <c r="F573" s="307"/>
      <c r="G573" s="129" t="s">
        <v>948</v>
      </c>
      <c r="H573" s="112" t="s">
        <v>629</v>
      </c>
      <c r="M573" s="1159"/>
    </row>
    <row r="574" spans="1:13" x14ac:dyDescent="0.3">
      <c r="A574" s="6">
        <v>574</v>
      </c>
      <c r="B574" s="220"/>
      <c r="C574" s="14"/>
      <c r="D574" s="75"/>
      <c r="E574" s="75"/>
      <c r="F574" s="75"/>
      <c r="G574" s="11"/>
    </row>
    <row r="575" spans="1:13" x14ac:dyDescent="0.3">
      <c r="A575" s="6">
        <v>575</v>
      </c>
      <c r="B575" s="30"/>
      <c r="C575" s="268"/>
      <c r="D575" s="117"/>
      <c r="E575" s="117"/>
      <c r="F575" s="117"/>
      <c r="G575" s="125"/>
    </row>
    <row r="576" spans="1:13" x14ac:dyDescent="0.3">
      <c r="A576" s="6">
        <v>576</v>
      </c>
      <c r="B576" s="1041" t="s">
        <v>327</v>
      </c>
      <c r="C576" s="1041" t="s">
        <v>327</v>
      </c>
      <c r="D576" s="103"/>
      <c r="E576" s="103"/>
      <c r="F576" s="103"/>
      <c r="G576" s="27"/>
      <c r="H576" s="27"/>
      <c r="I576" s="27"/>
      <c r="J576" s="27"/>
      <c r="K576" s="27"/>
      <c r="L576" s="27"/>
    </row>
    <row r="577" spans="1:13" s="11" customFormat="1" ht="15.65" thickBot="1" x14ac:dyDescent="0.35">
      <c r="A577" s="6">
        <v>577</v>
      </c>
      <c r="B577" s="5"/>
      <c r="C577" s="5"/>
      <c r="D577" s="219"/>
      <c r="E577" s="83"/>
      <c r="F577" s="83"/>
      <c r="G577" s="5"/>
      <c r="H577" s="5"/>
      <c r="I577" s="5"/>
      <c r="J577" s="5"/>
      <c r="K577" s="124"/>
      <c r="L577" s="124"/>
    </row>
    <row r="578" spans="1:13" s="11" customFormat="1" ht="15.65" thickBot="1" x14ac:dyDescent="0.35">
      <c r="A578" s="6">
        <v>578</v>
      </c>
      <c r="B578" s="1258" t="s">
        <v>1587</v>
      </c>
      <c r="C578" s="962" t="s">
        <v>471</v>
      </c>
      <c r="D578" s="975">
        <v>3.8</v>
      </c>
      <c r="E578" s="1163">
        <v>0.13</v>
      </c>
      <c r="F578" s="1163"/>
      <c r="G578" s="221" t="s">
        <v>5</v>
      </c>
      <c r="H578" s="221" t="s">
        <v>409</v>
      </c>
      <c r="I578" s="110" t="s">
        <v>2465</v>
      </c>
      <c r="J578" s="956"/>
      <c r="K578" s="957" t="s">
        <v>1400</v>
      </c>
      <c r="L578" s="957" t="s">
        <v>906</v>
      </c>
      <c r="M578" s="1159"/>
    </row>
    <row r="579" spans="1:13" s="11" customFormat="1" ht="15.65" thickBot="1" x14ac:dyDescent="0.35">
      <c r="A579" s="6">
        <v>579</v>
      </c>
      <c r="B579" s="1259"/>
      <c r="C579" s="962" t="s">
        <v>472</v>
      </c>
      <c r="D579" s="975">
        <v>6.6</v>
      </c>
      <c r="E579" s="1162">
        <v>0.4</v>
      </c>
      <c r="F579" s="1162"/>
      <c r="G579" s="221" t="s">
        <v>5</v>
      </c>
      <c r="H579" s="221" t="s">
        <v>409</v>
      </c>
      <c r="I579" s="110" t="s">
        <v>2465</v>
      </c>
      <c r="J579" s="956"/>
      <c r="K579" s="957" t="s">
        <v>1400</v>
      </c>
      <c r="L579" s="957" t="s">
        <v>906</v>
      </c>
      <c r="M579" s="1159"/>
    </row>
    <row r="580" spans="1:13" s="11" customFormat="1" x14ac:dyDescent="0.3">
      <c r="A580" s="6">
        <v>580</v>
      </c>
      <c r="B580" s="1259"/>
      <c r="C580" s="221" t="s">
        <v>473</v>
      </c>
      <c r="D580" s="961" t="s">
        <v>1833</v>
      </c>
      <c r="E580" s="222"/>
      <c r="F580" s="222"/>
      <c r="G580" s="221" t="s">
        <v>5</v>
      </c>
      <c r="H580" s="221"/>
      <c r="I580" s="110"/>
      <c r="J580" s="110"/>
      <c r="K580" s="262"/>
      <c r="L580" s="262"/>
    </row>
    <row r="581" spans="1:13" s="11" customFormat="1" ht="15.65" thickBot="1" x14ac:dyDescent="0.35">
      <c r="A581" s="6">
        <v>581</v>
      </c>
      <c r="B581" s="1259"/>
      <c r="C581" s="69" t="s">
        <v>474</v>
      </c>
      <c r="D581" s="960" t="s">
        <v>1833</v>
      </c>
      <c r="E581" s="242"/>
      <c r="F581" s="242"/>
      <c r="G581" s="69" t="s">
        <v>5</v>
      </c>
      <c r="H581" s="69"/>
      <c r="I581" s="55"/>
      <c r="J581" s="55"/>
      <c r="K581" s="958"/>
      <c r="L581" s="958"/>
    </row>
    <row r="582" spans="1:13" s="11" customFormat="1" ht="15.65" thickBot="1" x14ac:dyDescent="0.35">
      <c r="A582" s="6">
        <v>582</v>
      </c>
      <c r="B582" s="1259"/>
      <c r="C582" s="915" t="s">
        <v>475</v>
      </c>
      <c r="D582" s="966">
        <v>2.56</v>
      </c>
      <c r="E582" s="1161">
        <v>0.65</v>
      </c>
      <c r="F582" s="1161"/>
      <c r="G582" s="67" t="s">
        <v>5</v>
      </c>
      <c r="H582" s="67" t="s">
        <v>409</v>
      </c>
      <c r="I582" s="49" t="s">
        <v>2466</v>
      </c>
      <c r="J582" s="915"/>
      <c r="K582" s="916" t="s">
        <v>1400</v>
      </c>
      <c r="L582" s="916" t="s">
        <v>906</v>
      </c>
      <c r="M582" s="1159"/>
    </row>
    <row r="583" spans="1:13" s="11" customFormat="1" x14ac:dyDescent="0.3">
      <c r="A583" s="6">
        <v>583</v>
      </c>
      <c r="B583" s="1259"/>
      <c r="C583" s="25" t="s">
        <v>476</v>
      </c>
      <c r="D583" s="976">
        <f>4/3*PI()*(0.7/2)^3</f>
        <v>0.17959438003021644</v>
      </c>
      <c r="E583" s="89"/>
      <c r="F583" s="89"/>
      <c r="G583" s="25" t="s">
        <v>5</v>
      </c>
      <c r="H583" s="25" t="s">
        <v>684</v>
      </c>
      <c r="I583" s="53" t="s">
        <v>2392</v>
      </c>
      <c r="J583" s="53"/>
      <c r="K583" s="177" t="s">
        <v>1396</v>
      </c>
      <c r="L583" s="177"/>
      <c r="M583" s="1159"/>
    </row>
    <row r="584" spans="1:13" s="11" customFormat="1" x14ac:dyDescent="0.3">
      <c r="A584" s="6">
        <v>584</v>
      </c>
      <c r="B584" s="1259"/>
      <c r="C584" s="70" t="s">
        <v>477</v>
      </c>
      <c r="D584" s="1160">
        <f>4/3*PI()*(0.7/2)^3</f>
        <v>0.17959438003021644</v>
      </c>
      <c r="E584" s="240"/>
      <c r="F584" s="240"/>
      <c r="G584" s="70" t="s">
        <v>5</v>
      </c>
      <c r="H584" s="70" t="s">
        <v>684</v>
      </c>
      <c r="I584" s="166" t="s">
        <v>2392</v>
      </c>
      <c r="J584" s="166"/>
      <c r="K584" s="166"/>
      <c r="L584" s="166"/>
      <c r="M584" s="1159"/>
    </row>
    <row r="585" spans="1:13" s="11" customFormat="1" ht="15.65" thickBot="1" x14ac:dyDescent="0.35">
      <c r="A585" s="6">
        <v>585</v>
      </c>
      <c r="B585" s="1259"/>
      <c r="C585" s="391" t="s">
        <v>478</v>
      </c>
      <c r="D585" s="1079">
        <f>4/3*PI()*(0.458/2)^3</f>
        <v>5.0303135492587518E-2</v>
      </c>
      <c r="E585" s="400"/>
      <c r="F585" s="400"/>
      <c r="G585" s="391" t="s">
        <v>5</v>
      </c>
      <c r="H585" s="391" t="s">
        <v>684</v>
      </c>
      <c r="I585" s="375" t="s">
        <v>2393</v>
      </c>
      <c r="J585" s="375"/>
      <c r="K585" s="930" t="s">
        <v>1396</v>
      </c>
      <c r="L585" s="930"/>
      <c r="M585" s="1159"/>
    </row>
    <row r="586" spans="1:13" s="11" customFormat="1" ht="15.65" thickBot="1" x14ac:dyDescent="0.35">
      <c r="A586" s="6">
        <v>586</v>
      </c>
      <c r="B586" s="1259"/>
      <c r="C586" s="915" t="s">
        <v>479</v>
      </c>
      <c r="D586" s="966">
        <v>1.77</v>
      </c>
      <c r="E586" s="1161">
        <v>0.25</v>
      </c>
      <c r="F586" s="1161"/>
      <c r="G586" s="67" t="s">
        <v>5</v>
      </c>
      <c r="H586" s="67" t="s">
        <v>409</v>
      </c>
      <c r="I586" s="49" t="s">
        <v>2466</v>
      </c>
      <c r="J586" s="915"/>
      <c r="K586" s="916" t="s">
        <v>1400</v>
      </c>
      <c r="L586" s="916" t="s">
        <v>906</v>
      </c>
      <c r="M586" s="1159"/>
    </row>
    <row r="587" spans="1:13" s="11" customFormat="1" x14ac:dyDescent="0.3">
      <c r="A587" s="6">
        <v>587</v>
      </c>
      <c r="B587" s="1259"/>
      <c r="C587" s="221" t="s">
        <v>480</v>
      </c>
      <c r="D587" s="961" t="s">
        <v>1833</v>
      </c>
      <c r="E587" s="222"/>
      <c r="F587" s="222"/>
      <c r="G587" s="221" t="s">
        <v>5</v>
      </c>
      <c r="H587" s="221"/>
      <c r="I587" s="110"/>
      <c r="J587" s="110"/>
      <c r="K587" s="262"/>
      <c r="L587" s="262"/>
    </row>
    <row r="588" spans="1:13" s="11" customFormat="1" x14ac:dyDescent="0.3">
      <c r="A588" s="6">
        <v>588</v>
      </c>
      <c r="B588" s="1259"/>
      <c r="C588" s="221" t="s">
        <v>481</v>
      </c>
      <c r="D588" s="658" t="s">
        <v>1833</v>
      </c>
      <c r="E588" s="222"/>
      <c r="F588" s="222"/>
      <c r="G588" s="221" t="s">
        <v>5</v>
      </c>
      <c r="H588" s="221"/>
      <c r="I588" s="110"/>
      <c r="J588" s="110"/>
      <c r="K588" s="110"/>
      <c r="L588" s="110"/>
    </row>
    <row r="589" spans="1:13" s="11" customFormat="1" x14ac:dyDescent="0.3">
      <c r="A589" s="6">
        <v>589</v>
      </c>
      <c r="B589" s="1260"/>
      <c r="C589" s="52" t="s">
        <v>482</v>
      </c>
      <c r="D589" s="652" t="s">
        <v>1833</v>
      </c>
      <c r="E589" s="80"/>
      <c r="F589" s="80"/>
      <c r="G589" s="52" t="s">
        <v>5</v>
      </c>
      <c r="H589" s="52"/>
      <c r="I589" s="3"/>
      <c r="J589" s="3"/>
      <c r="K589" s="3"/>
      <c r="L589" s="3"/>
    </row>
    <row r="590" spans="1:13" s="11" customFormat="1" ht="15.65" thickBot="1" x14ac:dyDescent="0.35">
      <c r="A590" s="6">
        <v>590</v>
      </c>
      <c r="C590" s="5"/>
      <c r="D590" s="219"/>
      <c r="E590" s="83"/>
      <c r="F590" s="83"/>
      <c r="G590" s="5"/>
      <c r="H590" s="5"/>
      <c r="K590" s="115"/>
      <c r="L590" s="115"/>
    </row>
    <row r="591" spans="1:13" s="11" customFormat="1" ht="15.65" thickBot="1" x14ac:dyDescent="0.35">
      <c r="A591" s="6">
        <v>591</v>
      </c>
      <c r="B591" s="1258" t="s">
        <v>1600</v>
      </c>
      <c r="C591" s="962" t="s">
        <v>1588</v>
      </c>
      <c r="D591" s="1107">
        <v>60</v>
      </c>
      <c r="E591" s="963" t="s">
        <v>1875</v>
      </c>
      <c r="F591" s="963"/>
      <c r="G591" s="221" t="s">
        <v>457</v>
      </c>
      <c r="H591" s="221" t="s">
        <v>409</v>
      </c>
      <c r="I591" s="110" t="s">
        <v>2467</v>
      </c>
      <c r="J591" s="956"/>
      <c r="K591" s="957" t="s">
        <v>1400</v>
      </c>
      <c r="L591" s="957" t="s">
        <v>906</v>
      </c>
      <c r="M591" s="1159"/>
    </row>
    <row r="592" spans="1:13" s="11" customFormat="1" ht="15.65" thickBot="1" x14ac:dyDescent="0.35">
      <c r="A592" s="6">
        <v>592</v>
      </c>
      <c r="B592" s="1259"/>
      <c r="C592" s="962" t="s">
        <v>1589</v>
      </c>
      <c r="D592" s="1107">
        <v>125</v>
      </c>
      <c r="E592" s="963" t="s">
        <v>1875</v>
      </c>
      <c r="F592" s="963"/>
      <c r="G592" s="221" t="s">
        <v>457</v>
      </c>
      <c r="H592" s="221" t="s">
        <v>409</v>
      </c>
      <c r="I592" s="110" t="s">
        <v>2468</v>
      </c>
      <c r="J592" s="956"/>
      <c r="K592" s="957" t="s">
        <v>1400</v>
      </c>
      <c r="L592" s="957" t="s">
        <v>906</v>
      </c>
      <c r="M592" s="1159"/>
    </row>
    <row r="593" spans="1:13" s="11" customFormat="1" x14ac:dyDescent="0.3">
      <c r="A593" s="6">
        <v>593</v>
      </c>
      <c r="B593" s="1259"/>
      <c r="C593" s="221" t="s">
        <v>1590</v>
      </c>
      <c r="D593" s="961" t="s">
        <v>1833</v>
      </c>
      <c r="E593" s="222"/>
      <c r="F593" s="222"/>
      <c r="G593" s="221" t="s">
        <v>457</v>
      </c>
      <c r="H593" s="221"/>
      <c r="I593" s="110"/>
      <c r="J593" s="110"/>
      <c r="K593" s="262"/>
      <c r="L593" s="262"/>
    </row>
    <row r="594" spans="1:13" s="11" customFormat="1" ht="15.65" thickBot="1" x14ac:dyDescent="0.35">
      <c r="A594" s="6">
        <v>594</v>
      </c>
      <c r="B594" s="1259"/>
      <c r="C594" s="69" t="s">
        <v>1591</v>
      </c>
      <c r="D594" s="960" t="s">
        <v>1833</v>
      </c>
      <c r="E594" s="242"/>
      <c r="F594" s="242"/>
      <c r="G594" s="69" t="s">
        <v>457</v>
      </c>
      <c r="H594" s="69"/>
      <c r="I594" s="55"/>
      <c r="J594" s="55"/>
      <c r="K594" s="958"/>
      <c r="L594" s="958"/>
    </row>
    <row r="595" spans="1:13" s="11" customFormat="1" ht="15.65" thickBot="1" x14ac:dyDescent="0.35">
      <c r="A595" s="6">
        <v>595</v>
      </c>
      <c r="B595" s="1259"/>
      <c r="C595" s="915" t="s">
        <v>1592</v>
      </c>
      <c r="D595" s="918">
        <v>1000</v>
      </c>
      <c r="E595" s="959" t="s">
        <v>2153</v>
      </c>
      <c r="F595" s="959"/>
      <c r="G595" s="67" t="s">
        <v>457</v>
      </c>
      <c r="H595" s="67" t="s">
        <v>409</v>
      </c>
      <c r="I595" s="49" t="s">
        <v>1847</v>
      </c>
      <c r="J595" s="915"/>
      <c r="K595" s="916" t="s">
        <v>905</v>
      </c>
      <c r="L595" s="916" t="s">
        <v>906</v>
      </c>
      <c r="M595" s="1159"/>
    </row>
    <row r="596" spans="1:13" s="11" customFormat="1" x14ac:dyDescent="0.3">
      <c r="A596" s="6">
        <v>596</v>
      </c>
      <c r="B596" s="1259"/>
      <c r="C596" s="25" t="s">
        <v>1593</v>
      </c>
      <c r="D596" s="965" t="s">
        <v>1833</v>
      </c>
      <c r="E596" s="85"/>
      <c r="F596" s="85"/>
      <c r="G596" s="25" t="s">
        <v>457</v>
      </c>
      <c r="H596" s="25"/>
      <c r="I596" s="53"/>
      <c r="J596" s="53"/>
      <c r="K596" s="177"/>
      <c r="L596" s="177"/>
    </row>
    <row r="597" spans="1:13" s="11" customFormat="1" x14ac:dyDescent="0.3">
      <c r="A597" s="6">
        <v>597</v>
      </c>
      <c r="B597" s="1259"/>
      <c r="C597" s="70" t="s">
        <v>1594</v>
      </c>
      <c r="D597" s="661" t="s">
        <v>1833</v>
      </c>
      <c r="E597" s="240"/>
      <c r="F597" s="240"/>
      <c r="G597" s="70" t="s">
        <v>457</v>
      </c>
      <c r="H597" s="70"/>
      <c r="I597" s="166"/>
      <c r="J597" s="166"/>
      <c r="K597" s="166"/>
      <c r="L597" s="166"/>
    </row>
    <row r="598" spans="1:13" s="11" customFormat="1" ht="15.65" thickBot="1" x14ac:dyDescent="0.35">
      <c r="A598" s="6">
        <v>598</v>
      </c>
      <c r="B598" s="1259"/>
      <c r="C598" s="391" t="s">
        <v>1595</v>
      </c>
      <c r="D598" s="934" t="s">
        <v>1833</v>
      </c>
      <c r="E598" s="400"/>
      <c r="F598" s="400"/>
      <c r="G598" s="391" t="s">
        <v>457</v>
      </c>
      <c r="H598" s="391"/>
      <c r="I598" s="375"/>
      <c r="J598" s="375"/>
      <c r="K598" s="930"/>
      <c r="L598" s="930"/>
    </row>
    <row r="599" spans="1:13" s="11" customFormat="1" ht="15.65" thickBot="1" x14ac:dyDescent="0.35">
      <c r="A599" s="6">
        <v>599</v>
      </c>
      <c r="B599" s="1259"/>
      <c r="C599" s="915" t="s">
        <v>1596</v>
      </c>
      <c r="D599" s="918">
        <v>360</v>
      </c>
      <c r="E599" s="959" t="s">
        <v>2153</v>
      </c>
      <c r="F599" s="959"/>
      <c r="G599" s="67" t="s">
        <v>457</v>
      </c>
      <c r="H599" s="67" t="s">
        <v>904</v>
      </c>
      <c r="I599" s="49" t="s">
        <v>1848</v>
      </c>
      <c r="J599" s="915"/>
      <c r="K599" s="916" t="s">
        <v>1400</v>
      </c>
      <c r="L599" s="916" t="s">
        <v>906</v>
      </c>
      <c r="M599" s="1159"/>
    </row>
    <row r="600" spans="1:13" s="11" customFormat="1" ht="15.65" thickBot="1" x14ac:dyDescent="0.35">
      <c r="A600" s="6">
        <v>600</v>
      </c>
      <c r="B600" s="1259"/>
      <c r="C600" s="962" t="s">
        <v>1597</v>
      </c>
      <c r="D600" s="964">
        <v>42</v>
      </c>
      <c r="E600" s="1172">
        <v>7</v>
      </c>
      <c r="F600" s="1172"/>
      <c r="G600" s="221" t="s">
        <v>457</v>
      </c>
      <c r="H600" s="221" t="s">
        <v>900</v>
      </c>
      <c r="I600" s="110" t="s">
        <v>901</v>
      </c>
      <c r="J600" s="956" t="s">
        <v>902</v>
      </c>
      <c r="K600" s="957" t="s">
        <v>1401</v>
      </c>
      <c r="L600" s="957" t="s">
        <v>903</v>
      </c>
      <c r="M600" s="1159"/>
    </row>
    <row r="601" spans="1:13" s="11" customFormat="1" x14ac:dyDescent="0.3">
      <c r="A601" s="6">
        <v>601</v>
      </c>
      <c r="B601" s="1259"/>
      <c r="C601" s="221" t="s">
        <v>1598</v>
      </c>
      <c r="D601" s="961" t="s">
        <v>1833</v>
      </c>
      <c r="E601" s="222"/>
      <c r="F601" s="222"/>
      <c r="G601" s="221" t="s">
        <v>457</v>
      </c>
      <c r="H601" s="221"/>
      <c r="I601" s="110"/>
      <c r="J601" s="110"/>
      <c r="K601" s="262"/>
      <c r="L601" s="262"/>
    </row>
    <row r="602" spans="1:13" s="11" customFormat="1" x14ac:dyDescent="0.3">
      <c r="A602" s="6">
        <v>602</v>
      </c>
      <c r="B602" s="1260"/>
      <c r="C602" s="52" t="s">
        <v>1599</v>
      </c>
      <c r="D602" s="652" t="s">
        <v>1833</v>
      </c>
      <c r="E602" s="80"/>
      <c r="F602" s="80"/>
      <c r="G602" s="52" t="s">
        <v>457</v>
      </c>
      <c r="H602" s="52"/>
      <c r="I602" s="3"/>
      <c r="J602" s="3"/>
      <c r="K602" s="3"/>
      <c r="L602" s="3"/>
    </row>
    <row r="603" spans="1:13" s="11" customFormat="1" ht="15.65" thickBot="1" x14ac:dyDescent="0.35">
      <c r="A603" s="6">
        <v>603</v>
      </c>
      <c r="B603" s="115"/>
      <c r="C603" s="5"/>
      <c r="D603" s="83"/>
      <c r="E603" s="83"/>
      <c r="F603" s="83"/>
      <c r="G603" s="5"/>
      <c r="H603" s="5"/>
    </row>
    <row r="604" spans="1:13" s="11" customFormat="1" x14ac:dyDescent="0.3">
      <c r="A604" s="6">
        <v>604</v>
      </c>
      <c r="B604" s="1261" t="s">
        <v>1601</v>
      </c>
      <c r="C604" s="501" t="s">
        <v>1938</v>
      </c>
      <c r="D604" s="466">
        <f>ROUND($D$591*$D$41,-4)</f>
        <v>3510000</v>
      </c>
      <c r="E604" s="91"/>
      <c r="F604" s="91"/>
      <c r="G604" s="221" t="s">
        <v>524</v>
      </c>
      <c r="H604" s="41" t="s">
        <v>629</v>
      </c>
      <c r="I604" s="110"/>
      <c r="J604" s="110"/>
      <c r="K604" s="110"/>
      <c r="L604" s="110"/>
      <c r="M604" s="1159"/>
    </row>
    <row r="605" spans="1:13" s="11" customFormat="1" x14ac:dyDescent="0.3">
      <c r="A605" s="6">
        <v>605</v>
      </c>
      <c r="B605" s="1262"/>
      <c r="C605" s="501" t="s">
        <v>1939</v>
      </c>
      <c r="D605" s="466">
        <f>ROUND($D$592*$D$42,-4)</f>
        <v>5360000</v>
      </c>
      <c r="E605" s="91"/>
      <c r="F605" s="91"/>
      <c r="G605" s="221" t="s">
        <v>524</v>
      </c>
      <c r="H605" s="41" t="s">
        <v>629</v>
      </c>
      <c r="I605" s="110"/>
      <c r="J605" s="110"/>
      <c r="K605" s="110"/>
      <c r="L605" s="110"/>
      <c r="M605" s="1159"/>
    </row>
    <row r="606" spans="1:13" s="11" customFormat="1" x14ac:dyDescent="0.3">
      <c r="A606" s="6">
        <v>606</v>
      </c>
      <c r="B606" s="1262"/>
      <c r="C606" s="501" t="s">
        <v>1940</v>
      </c>
      <c r="D606" s="658" t="s">
        <v>1833</v>
      </c>
      <c r="E606" s="222"/>
      <c r="F606" s="222"/>
      <c r="G606" s="221" t="s">
        <v>524</v>
      </c>
      <c r="H606" s="221"/>
      <c r="I606" s="110"/>
      <c r="J606" s="110"/>
      <c r="K606" s="110"/>
      <c r="L606" s="110"/>
    </row>
    <row r="607" spans="1:13" s="11" customFormat="1" x14ac:dyDescent="0.3">
      <c r="A607" s="6">
        <v>607</v>
      </c>
      <c r="B607" s="1262"/>
      <c r="C607" s="258" t="s">
        <v>1941</v>
      </c>
      <c r="D607" s="659" t="s">
        <v>1833</v>
      </c>
      <c r="E607" s="242"/>
      <c r="F607" s="242"/>
      <c r="G607" s="69" t="s">
        <v>524</v>
      </c>
      <c r="H607" s="69"/>
      <c r="I607" s="55"/>
      <c r="J607" s="55"/>
      <c r="K607" s="55"/>
      <c r="L607" s="55"/>
    </row>
    <row r="608" spans="1:13" s="11" customFormat="1" x14ac:dyDescent="0.3">
      <c r="A608" s="6">
        <v>608</v>
      </c>
      <c r="B608" s="1262"/>
      <c r="C608" s="478" t="s">
        <v>1942</v>
      </c>
      <c r="D608" s="203">
        <f>ROUND($D$595*$D$47,-6)</f>
        <v>158000000</v>
      </c>
      <c r="E608" s="86"/>
      <c r="F608" s="86"/>
      <c r="G608" s="67" t="s">
        <v>524</v>
      </c>
      <c r="H608" s="50" t="s">
        <v>629</v>
      </c>
      <c r="I608" s="49"/>
      <c r="J608" s="49"/>
      <c r="K608" s="49"/>
      <c r="L608" s="49"/>
      <c r="M608" s="1159"/>
    </row>
    <row r="609" spans="1:13" s="11" customFormat="1" x14ac:dyDescent="0.3">
      <c r="A609" s="6">
        <v>609</v>
      </c>
      <c r="B609" s="1262"/>
      <c r="C609" s="502" t="s">
        <v>1943</v>
      </c>
      <c r="D609" s="660" t="s">
        <v>1833</v>
      </c>
      <c r="E609" s="85"/>
      <c r="F609" s="85"/>
      <c r="G609" s="25" t="s">
        <v>524</v>
      </c>
      <c r="H609" s="25"/>
      <c r="I609" s="53"/>
      <c r="J609" s="53"/>
      <c r="K609" s="53"/>
      <c r="L609" s="53"/>
    </row>
    <row r="610" spans="1:13" s="11" customFormat="1" x14ac:dyDescent="0.3">
      <c r="A610" s="6">
        <v>610</v>
      </c>
      <c r="B610" s="1262"/>
      <c r="C610" s="503" t="s">
        <v>1944</v>
      </c>
      <c r="D610" s="661" t="s">
        <v>1833</v>
      </c>
      <c r="E610" s="240"/>
      <c r="F610" s="240"/>
      <c r="G610" s="70" t="s">
        <v>524</v>
      </c>
      <c r="H610" s="70"/>
      <c r="I610" s="166"/>
      <c r="J610" s="166"/>
      <c r="K610" s="166"/>
      <c r="L610" s="166"/>
    </row>
    <row r="611" spans="1:13" s="11" customFormat="1" x14ac:dyDescent="0.3">
      <c r="A611" s="6">
        <v>611</v>
      </c>
      <c r="B611" s="1262"/>
      <c r="C611" s="504" t="s">
        <v>1945</v>
      </c>
      <c r="D611" s="657" t="s">
        <v>1833</v>
      </c>
      <c r="E611" s="400"/>
      <c r="F611" s="400"/>
      <c r="G611" s="391" t="s">
        <v>524</v>
      </c>
      <c r="H611" s="391"/>
      <c r="I611" s="375"/>
      <c r="J611" s="375"/>
      <c r="K611" s="375"/>
      <c r="L611" s="375"/>
    </row>
    <row r="612" spans="1:13" s="11" customFormat="1" x14ac:dyDescent="0.3">
      <c r="A612" s="6">
        <v>612</v>
      </c>
      <c r="B612" s="1262"/>
      <c r="C612" s="478" t="s">
        <v>1946</v>
      </c>
      <c r="D612" s="203">
        <f>ROUND(D599*D51,-6)</f>
        <v>27000000</v>
      </c>
      <c r="E612" s="86"/>
      <c r="F612" s="86"/>
      <c r="G612" s="67" t="s">
        <v>524</v>
      </c>
      <c r="H612" s="50" t="s">
        <v>629</v>
      </c>
      <c r="I612" s="49"/>
      <c r="J612" s="49"/>
      <c r="K612" s="49"/>
      <c r="L612" s="49"/>
      <c r="M612" s="1159"/>
    </row>
    <row r="613" spans="1:13" s="11" customFormat="1" x14ac:dyDescent="0.3">
      <c r="A613" s="6">
        <v>613</v>
      </c>
      <c r="B613" s="1262"/>
      <c r="C613" s="501" t="s">
        <v>1947</v>
      </c>
      <c r="D613" s="466">
        <f>ROUND(D600*D52,-5)</f>
        <v>3400000</v>
      </c>
      <c r="E613" s="91"/>
      <c r="F613" s="91"/>
      <c r="G613" s="221" t="s">
        <v>524</v>
      </c>
      <c r="H613" s="41" t="s">
        <v>629</v>
      </c>
      <c r="I613" s="110"/>
      <c r="J613" s="110"/>
      <c r="K613" s="110"/>
      <c r="L613" s="110"/>
      <c r="M613" s="1159"/>
    </row>
    <row r="614" spans="1:13" s="11" customFormat="1" x14ac:dyDescent="0.3">
      <c r="A614" s="6">
        <v>614</v>
      </c>
      <c r="B614" s="1262"/>
      <c r="C614" s="501" t="s">
        <v>1948</v>
      </c>
      <c r="D614" s="658" t="s">
        <v>1833</v>
      </c>
      <c r="E614" s="222"/>
      <c r="F614" s="222"/>
      <c r="G614" s="221" t="s">
        <v>524</v>
      </c>
      <c r="H614" s="221"/>
      <c r="I614" s="110"/>
      <c r="J614" s="110"/>
      <c r="K614" s="110"/>
      <c r="L614" s="110"/>
    </row>
    <row r="615" spans="1:13" s="11" customFormat="1" x14ac:dyDescent="0.3">
      <c r="A615" s="6">
        <v>615</v>
      </c>
      <c r="B615" s="1262"/>
      <c r="C615" s="487" t="s">
        <v>1949</v>
      </c>
      <c r="D615" s="652" t="s">
        <v>1833</v>
      </c>
      <c r="E615" s="80"/>
      <c r="F615" s="80"/>
      <c r="G615" s="52" t="s">
        <v>524</v>
      </c>
      <c r="H615" s="52"/>
      <c r="I615" s="3"/>
      <c r="J615" s="3"/>
      <c r="K615" s="3"/>
      <c r="L615" s="3"/>
    </row>
    <row r="616" spans="1:13" s="11" customFormat="1" ht="15.65" thickBot="1" x14ac:dyDescent="0.35">
      <c r="A616" s="6">
        <v>616</v>
      </c>
      <c r="B616" s="1262"/>
      <c r="C616" s="490"/>
      <c r="D616" s="219"/>
      <c r="E616" s="219"/>
      <c r="F616" s="219"/>
      <c r="G616" s="124"/>
      <c r="H616" s="5"/>
    </row>
    <row r="617" spans="1:13" s="11" customFormat="1" ht="15.65" thickBot="1" x14ac:dyDescent="0.35">
      <c r="A617" s="6">
        <v>617</v>
      </c>
      <c r="B617" s="1263"/>
      <c r="C617" s="521" t="s">
        <v>1950</v>
      </c>
      <c r="D617" s="554">
        <f>ROUND($D$604+$D$605+$D$608+$D$612+$D$613,-6)</f>
        <v>197000000</v>
      </c>
      <c r="E617" s="317"/>
      <c r="F617" s="317"/>
      <c r="G617" s="275" t="s">
        <v>524</v>
      </c>
      <c r="H617" s="280" t="s">
        <v>629</v>
      </c>
      <c r="M617" s="1159"/>
    </row>
    <row r="618" spans="1:13" s="11" customFormat="1" ht="15.65" thickBot="1" x14ac:dyDescent="0.35">
      <c r="A618" s="6">
        <v>618</v>
      </c>
      <c r="B618" s="489"/>
      <c r="C618" s="268"/>
      <c r="D618" s="266"/>
      <c r="E618" s="266"/>
      <c r="F618" s="266"/>
      <c r="G618" s="268"/>
      <c r="H618" s="5"/>
    </row>
    <row r="619" spans="1:13" s="11" customFormat="1" x14ac:dyDescent="0.3">
      <c r="A619" s="6">
        <v>619</v>
      </c>
      <c r="B619" s="1261" t="s">
        <v>1602</v>
      </c>
      <c r="C619" s="501" t="s">
        <v>1007</v>
      </c>
      <c r="D619" s="466">
        <f>ROUND($D$604*$D$17,-6)</f>
        <v>160000000</v>
      </c>
      <c r="E619" s="91"/>
      <c r="F619" s="91"/>
      <c r="G619" s="221" t="s">
        <v>976</v>
      </c>
      <c r="H619" s="41" t="s">
        <v>629</v>
      </c>
      <c r="I619" s="110"/>
      <c r="J619" s="110"/>
      <c r="K619" s="110"/>
      <c r="L619" s="110"/>
      <c r="M619" s="1159"/>
    </row>
    <row r="620" spans="1:13" s="11" customFormat="1" x14ac:dyDescent="0.3">
      <c r="A620" s="6">
        <v>620</v>
      </c>
      <c r="B620" s="1262"/>
      <c r="C620" s="501" t="s">
        <v>1008</v>
      </c>
      <c r="D620" s="466">
        <f>ROUND($D$605*$D$17,-6)</f>
        <v>244000000</v>
      </c>
      <c r="E620" s="91"/>
      <c r="F620" s="91"/>
      <c r="G620" s="221" t="s">
        <v>976</v>
      </c>
      <c r="H620" s="41" t="s">
        <v>629</v>
      </c>
      <c r="I620" s="110"/>
      <c r="J620" s="110"/>
      <c r="K620" s="110"/>
      <c r="L620" s="110"/>
      <c r="M620" s="1159"/>
    </row>
    <row r="621" spans="1:13" s="11" customFormat="1" x14ac:dyDescent="0.3">
      <c r="A621" s="6">
        <v>621</v>
      </c>
      <c r="B621" s="1262"/>
      <c r="C621" s="501" t="s">
        <v>1009</v>
      </c>
      <c r="D621" s="658" t="s">
        <v>1833</v>
      </c>
      <c r="E621" s="222"/>
      <c r="F621" s="222"/>
      <c r="G621" s="221" t="s">
        <v>976</v>
      </c>
      <c r="H621" s="41"/>
      <c r="I621" s="110"/>
      <c r="J621" s="110"/>
      <c r="K621" s="110"/>
      <c r="L621" s="110"/>
    </row>
    <row r="622" spans="1:13" s="11" customFormat="1" x14ac:dyDescent="0.3">
      <c r="A622" s="6">
        <v>622</v>
      </c>
      <c r="B622" s="1262"/>
      <c r="C622" s="258" t="s">
        <v>1010</v>
      </c>
      <c r="D622" s="659" t="s">
        <v>1833</v>
      </c>
      <c r="E622" s="242"/>
      <c r="F622" s="242"/>
      <c r="G622" s="69" t="s">
        <v>976</v>
      </c>
      <c r="H622" s="69"/>
      <c r="I622" s="69"/>
      <c r="J622" s="69"/>
      <c r="K622" s="69"/>
      <c r="L622" s="69"/>
    </row>
    <row r="623" spans="1:13" s="11" customFormat="1" x14ac:dyDescent="0.3">
      <c r="A623" s="6">
        <v>623</v>
      </c>
      <c r="B623" s="1262"/>
      <c r="C623" s="478" t="s">
        <v>1011</v>
      </c>
      <c r="D623" s="203">
        <f>ROUND($D$608*$D$17,-8)</f>
        <v>7200000000</v>
      </c>
      <c r="E623" s="86"/>
      <c r="F623" s="86"/>
      <c r="G623" s="67" t="s">
        <v>976</v>
      </c>
      <c r="H623" s="50" t="s">
        <v>629</v>
      </c>
      <c r="I623" s="49"/>
      <c r="J623" s="49"/>
      <c r="K623" s="49"/>
      <c r="L623" s="49"/>
      <c r="M623" s="1159"/>
    </row>
    <row r="624" spans="1:13" s="11" customFormat="1" x14ac:dyDescent="0.3">
      <c r="A624" s="6">
        <v>624</v>
      </c>
      <c r="B624" s="1262"/>
      <c r="C624" s="502" t="s">
        <v>1012</v>
      </c>
      <c r="D624" s="660" t="s">
        <v>1833</v>
      </c>
      <c r="E624" s="85"/>
      <c r="F624" s="85"/>
      <c r="G624" s="25" t="s">
        <v>976</v>
      </c>
      <c r="H624" s="25"/>
      <c r="I624" s="53"/>
      <c r="J624" s="53"/>
      <c r="K624" s="53"/>
      <c r="L624" s="53"/>
    </row>
    <row r="625" spans="1:13" s="11" customFormat="1" x14ac:dyDescent="0.3">
      <c r="A625" s="6">
        <v>625</v>
      </c>
      <c r="B625" s="1262"/>
      <c r="C625" s="503" t="s">
        <v>1013</v>
      </c>
      <c r="D625" s="661" t="s">
        <v>1833</v>
      </c>
      <c r="E625" s="240"/>
      <c r="F625" s="240"/>
      <c r="G625" s="70" t="s">
        <v>976</v>
      </c>
      <c r="H625" s="70"/>
      <c r="I625" s="166"/>
      <c r="J625" s="166"/>
      <c r="K625" s="166"/>
      <c r="L625" s="166"/>
    </row>
    <row r="626" spans="1:13" s="11" customFormat="1" x14ac:dyDescent="0.3">
      <c r="A626" s="6">
        <v>626</v>
      </c>
      <c r="B626" s="1262"/>
      <c r="C626" s="504" t="s">
        <v>1014</v>
      </c>
      <c r="D626" s="657" t="s">
        <v>1833</v>
      </c>
      <c r="E626" s="400"/>
      <c r="F626" s="400"/>
      <c r="G626" s="391" t="s">
        <v>976</v>
      </c>
      <c r="H626" s="391"/>
      <c r="I626" s="375"/>
      <c r="J626" s="375"/>
      <c r="K626" s="375"/>
      <c r="L626" s="375"/>
    </row>
    <row r="627" spans="1:13" s="11" customFormat="1" x14ac:dyDescent="0.3">
      <c r="A627" s="6">
        <v>627</v>
      </c>
      <c r="B627" s="1262"/>
      <c r="C627" s="478" t="s">
        <v>1015</v>
      </c>
      <c r="D627" s="203">
        <f>ROUND($D$612*$D$17,-7)</f>
        <v>1230000000</v>
      </c>
      <c r="E627" s="86"/>
      <c r="F627" s="86"/>
      <c r="G627" s="67" t="s">
        <v>976</v>
      </c>
      <c r="H627" s="50" t="s">
        <v>629</v>
      </c>
      <c r="I627" s="49"/>
      <c r="J627" s="49"/>
      <c r="K627" s="49"/>
      <c r="L627" s="49"/>
      <c r="M627" s="1159"/>
    </row>
    <row r="628" spans="1:13" s="11" customFormat="1" x14ac:dyDescent="0.3">
      <c r="A628" s="6">
        <v>628</v>
      </c>
      <c r="B628" s="1262"/>
      <c r="C628" s="501" t="s">
        <v>1016</v>
      </c>
      <c r="D628" s="466">
        <f>ROUND($D$613*$D$17,-7)</f>
        <v>150000000</v>
      </c>
      <c r="E628" s="91"/>
      <c r="F628" s="91"/>
      <c r="G628" s="221" t="s">
        <v>976</v>
      </c>
      <c r="H628" s="41" t="s">
        <v>629</v>
      </c>
      <c r="I628" s="110"/>
      <c r="J628" s="110"/>
      <c r="K628" s="110"/>
      <c r="L628" s="110"/>
      <c r="M628" s="1159"/>
    </row>
    <row r="629" spans="1:13" s="11" customFormat="1" x14ac:dyDescent="0.3">
      <c r="A629" s="6">
        <v>629</v>
      </c>
      <c r="B629" s="1262"/>
      <c r="C629" s="501" t="s">
        <v>1017</v>
      </c>
      <c r="D629" s="658" t="s">
        <v>1833</v>
      </c>
      <c r="E629" s="222"/>
      <c r="F629" s="222"/>
      <c r="G629" s="221" t="s">
        <v>976</v>
      </c>
      <c r="H629" s="221"/>
      <c r="I629" s="110"/>
      <c r="J629" s="110"/>
      <c r="K629" s="110"/>
      <c r="L629" s="110"/>
    </row>
    <row r="630" spans="1:13" s="11" customFormat="1" x14ac:dyDescent="0.3">
      <c r="A630" s="6">
        <v>630</v>
      </c>
      <c r="B630" s="1262"/>
      <c r="C630" s="487" t="s">
        <v>1018</v>
      </c>
      <c r="D630" s="652" t="s">
        <v>1833</v>
      </c>
      <c r="E630" s="80"/>
      <c r="F630" s="80"/>
      <c r="G630" s="52" t="s">
        <v>976</v>
      </c>
      <c r="H630" s="52"/>
      <c r="I630" s="3"/>
      <c r="J630" s="3"/>
      <c r="K630" s="3"/>
      <c r="L630" s="3"/>
    </row>
    <row r="631" spans="1:13" s="11" customFormat="1" ht="15.65" thickBot="1" x14ac:dyDescent="0.35">
      <c r="A631" s="6">
        <v>631</v>
      </c>
      <c r="B631" s="1262"/>
      <c r="C631" s="490"/>
      <c r="D631" s="219"/>
      <c r="E631" s="219"/>
      <c r="F631" s="219"/>
      <c r="G631" s="124"/>
      <c r="H631" s="5"/>
    </row>
    <row r="632" spans="1:13" s="11" customFormat="1" ht="15.65" thickBot="1" x14ac:dyDescent="0.35">
      <c r="A632" s="6">
        <v>632</v>
      </c>
      <c r="B632" s="1263"/>
      <c r="C632" s="521" t="s">
        <v>563</v>
      </c>
      <c r="D632" s="554">
        <f>ROUND($D$619+$D$620+$D$623+$D$627+$D$628,-8)</f>
        <v>9000000000</v>
      </c>
      <c r="E632" s="308"/>
      <c r="F632" s="308"/>
      <c r="G632" s="275" t="s">
        <v>976</v>
      </c>
      <c r="H632" s="274" t="s">
        <v>629</v>
      </c>
      <c r="M632" s="1159"/>
    </row>
    <row r="633" spans="1:13" ht="15.65" thickBot="1" x14ac:dyDescent="0.35">
      <c r="A633" s="6">
        <v>633</v>
      </c>
      <c r="B633" s="30"/>
      <c r="C633" s="268"/>
      <c r="D633" s="100"/>
      <c r="E633" s="266"/>
      <c r="F633" s="266"/>
      <c r="G633" s="268"/>
      <c r="K633" s="131"/>
      <c r="L633" s="131"/>
    </row>
    <row r="634" spans="1:13" ht="15.65" thickBot="1" x14ac:dyDescent="0.35">
      <c r="A634" s="6">
        <v>634</v>
      </c>
      <c r="B634" s="1258" t="s">
        <v>1603</v>
      </c>
      <c r="C634" s="962" t="s">
        <v>303</v>
      </c>
      <c r="D634" s="1119">
        <v>1.37</v>
      </c>
      <c r="E634" s="963" t="s">
        <v>1875</v>
      </c>
      <c r="F634" s="963"/>
      <c r="G634" s="110" t="s">
        <v>4</v>
      </c>
      <c r="H634" s="221" t="s">
        <v>409</v>
      </c>
      <c r="I634" s="110" t="s">
        <v>2469</v>
      </c>
      <c r="J634" s="956"/>
      <c r="K634" s="957" t="s">
        <v>1400</v>
      </c>
      <c r="L634" s="957" t="s">
        <v>906</v>
      </c>
      <c r="M634" s="1159"/>
    </row>
    <row r="635" spans="1:13" ht="15.65" thickBot="1" x14ac:dyDescent="0.35">
      <c r="A635" s="6">
        <v>635</v>
      </c>
      <c r="B635" s="1259"/>
      <c r="C635" s="962" t="s">
        <v>304</v>
      </c>
      <c r="D635" s="1119">
        <v>2.2000000000000002</v>
      </c>
      <c r="E635" s="963" t="s">
        <v>2153</v>
      </c>
      <c r="F635" s="963"/>
      <c r="G635" s="110" t="s">
        <v>4</v>
      </c>
      <c r="H635" s="221" t="s">
        <v>409</v>
      </c>
      <c r="I635" s="110" t="s">
        <v>2470</v>
      </c>
      <c r="J635" s="956"/>
      <c r="K635" s="957" t="s">
        <v>1400</v>
      </c>
      <c r="L635" s="957" t="s">
        <v>906</v>
      </c>
      <c r="M635" s="1159"/>
    </row>
    <row r="636" spans="1:13" x14ac:dyDescent="0.3">
      <c r="A636" s="6">
        <v>636</v>
      </c>
      <c r="B636" s="1259"/>
      <c r="C636" s="221" t="s">
        <v>216</v>
      </c>
      <c r="D636" s="961" t="s">
        <v>1833</v>
      </c>
      <c r="E636" s="222"/>
      <c r="F636" s="222"/>
      <c r="G636" s="110" t="s">
        <v>4</v>
      </c>
      <c r="H636" s="260"/>
      <c r="I636" s="110"/>
      <c r="J636" s="110"/>
      <c r="K636" s="262"/>
      <c r="L636" s="262"/>
    </row>
    <row r="637" spans="1:13" ht="15.65" thickBot="1" x14ac:dyDescent="0.35">
      <c r="A637" s="6">
        <v>637</v>
      </c>
      <c r="B637" s="1259"/>
      <c r="C637" s="69" t="s">
        <v>217</v>
      </c>
      <c r="D637" s="960" t="s">
        <v>1833</v>
      </c>
      <c r="E637" s="242"/>
      <c r="F637" s="242"/>
      <c r="G637" s="55" t="s">
        <v>4</v>
      </c>
      <c r="H637" s="264"/>
      <c r="I637" s="55"/>
      <c r="J637" s="55"/>
      <c r="K637" s="958"/>
      <c r="L637" s="958"/>
    </row>
    <row r="638" spans="1:13" ht="15.65" thickBot="1" x14ac:dyDescent="0.35">
      <c r="A638" s="6">
        <v>638</v>
      </c>
      <c r="B638" s="1259"/>
      <c r="C638" s="915" t="s">
        <v>87</v>
      </c>
      <c r="D638" s="1174">
        <v>2.4</v>
      </c>
      <c r="E638" s="1173">
        <v>0.1</v>
      </c>
      <c r="F638" s="1173"/>
      <c r="G638" s="67" t="s">
        <v>4</v>
      </c>
      <c r="H638" s="67" t="s">
        <v>409</v>
      </c>
      <c r="I638" s="49" t="s">
        <v>2471</v>
      </c>
      <c r="J638" s="915"/>
      <c r="K638" s="916" t="s">
        <v>1400</v>
      </c>
      <c r="L638" s="916" t="s">
        <v>906</v>
      </c>
      <c r="M638" s="1159"/>
    </row>
    <row r="639" spans="1:13" x14ac:dyDescent="0.3">
      <c r="A639" s="6">
        <v>639</v>
      </c>
      <c r="B639" s="1259"/>
      <c r="C639" s="25" t="s">
        <v>219</v>
      </c>
      <c r="D639" s="965" t="s">
        <v>1833</v>
      </c>
      <c r="E639" s="85"/>
      <c r="F639" s="85"/>
      <c r="G639" s="25" t="s">
        <v>4</v>
      </c>
      <c r="H639" s="244"/>
      <c r="I639" s="53"/>
      <c r="J639" s="53"/>
      <c r="K639" s="177"/>
      <c r="L639" s="177"/>
    </row>
    <row r="640" spans="1:13" x14ac:dyDescent="0.3">
      <c r="A640" s="6">
        <v>640</v>
      </c>
      <c r="B640" s="1259"/>
      <c r="C640" s="70" t="s">
        <v>218</v>
      </c>
      <c r="D640" s="661" t="s">
        <v>1833</v>
      </c>
      <c r="E640" s="240"/>
      <c r="F640" s="240"/>
      <c r="G640" s="70" t="s">
        <v>4</v>
      </c>
      <c r="H640" s="396"/>
      <c r="I640" s="166"/>
      <c r="J640" s="166"/>
      <c r="K640" s="166"/>
      <c r="L640" s="166"/>
    </row>
    <row r="641" spans="1:13" ht="15.65" thickBot="1" x14ac:dyDescent="0.35">
      <c r="A641" s="6">
        <v>641</v>
      </c>
      <c r="B641" s="1259"/>
      <c r="C641" s="391" t="s">
        <v>331</v>
      </c>
      <c r="D641" s="934" t="s">
        <v>1833</v>
      </c>
      <c r="E641" s="400"/>
      <c r="F641" s="400"/>
      <c r="G641" s="391" t="s">
        <v>4</v>
      </c>
      <c r="H641" s="437"/>
      <c r="I641" s="375"/>
      <c r="J641" s="375"/>
      <c r="K641" s="930"/>
      <c r="L641" s="930"/>
    </row>
    <row r="642" spans="1:13" ht="15.65" thickBot="1" x14ac:dyDescent="0.35">
      <c r="A642" s="6">
        <v>642</v>
      </c>
      <c r="B642" s="1259"/>
      <c r="C642" s="915" t="s">
        <v>88</v>
      </c>
      <c r="D642" s="1174">
        <v>1.2</v>
      </c>
      <c r="E642" s="1173">
        <v>0.3</v>
      </c>
      <c r="F642" s="1173"/>
      <c r="G642" s="49" t="s">
        <v>4</v>
      </c>
      <c r="H642" s="67" t="s">
        <v>409</v>
      </c>
      <c r="I642" s="49" t="s">
        <v>2472</v>
      </c>
      <c r="J642" s="915"/>
      <c r="K642" s="916" t="s">
        <v>1400</v>
      </c>
      <c r="L642" s="916" t="s">
        <v>906</v>
      </c>
      <c r="M642" s="1159"/>
    </row>
    <row r="643" spans="1:13" x14ac:dyDescent="0.3">
      <c r="A643" s="6">
        <v>643</v>
      </c>
      <c r="B643" s="1259"/>
      <c r="C643" s="221" t="s">
        <v>320</v>
      </c>
      <c r="D643" s="961" t="s">
        <v>1833</v>
      </c>
      <c r="E643" s="222"/>
      <c r="F643" s="222"/>
      <c r="G643" s="221" t="s">
        <v>4</v>
      </c>
      <c r="H643" s="41"/>
      <c r="I643" s="221"/>
      <c r="J643" s="221"/>
      <c r="K643" s="967"/>
      <c r="L643" s="967"/>
    </row>
    <row r="644" spans="1:13" x14ac:dyDescent="0.3">
      <c r="A644" s="6">
        <v>644</v>
      </c>
      <c r="B644" s="1259"/>
      <c r="C644" s="221" t="s">
        <v>220</v>
      </c>
      <c r="D644" s="658" t="s">
        <v>1833</v>
      </c>
      <c r="E644" s="222"/>
      <c r="F644" s="222"/>
      <c r="G644" s="221" t="s">
        <v>4</v>
      </c>
      <c r="H644" s="221"/>
      <c r="I644" s="221"/>
      <c r="J644" s="221"/>
      <c r="K644" s="221"/>
      <c r="L644" s="221"/>
    </row>
    <row r="645" spans="1:13" x14ac:dyDescent="0.3">
      <c r="A645" s="6">
        <v>645</v>
      </c>
      <c r="B645" s="1260"/>
      <c r="C645" s="52" t="s">
        <v>330</v>
      </c>
      <c r="D645" s="664" t="s">
        <v>1833</v>
      </c>
      <c r="E645" s="88"/>
      <c r="F645" s="88"/>
      <c r="G645" s="3" t="s">
        <v>4</v>
      </c>
      <c r="H645" s="3"/>
      <c r="I645" s="3"/>
      <c r="J645" s="3"/>
      <c r="K645" s="3"/>
      <c r="L645" s="3"/>
    </row>
    <row r="646" spans="1:13" s="11" customFormat="1" ht="15.65" thickBot="1" x14ac:dyDescent="0.35">
      <c r="A646" s="6">
        <v>646</v>
      </c>
      <c r="B646" s="115"/>
      <c r="C646" s="5"/>
      <c r="D646" s="105"/>
      <c r="E646" s="105"/>
      <c r="F646" s="105"/>
      <c r="H646" s="38"/>
    </row>
    <row r="647" spans="1:13" x14ac:dyDescent="0.3">
      <c r="A647" s="6">
        <v>647</v>
      </c>
      <c r="B647" s="1261" t="s">
        <v>1604</v>
      </c>
      <c r="C647" s="501" t="s">
        <v>314</v>
      </c>
      <c r="D647" s="278">
        <f>($D$634/100)*$D$66</f>
        <v>0.25892999999999999</v>
      </c>
      <c r="E647" s="91"/>
      <c r="F647" s="91"/>
      <c r="G647" s="110" t="s">
        <v>460</v>
      </c>
      <c r="H647" s="41" t="s">
        <v>629</v>
      </c>
      <c r="I647" s="110"/>
      <c r="J647" s="110"/>
      <c r="K647" s="110"/>
      <c r="L647" s="110"/>
      <c r="M647" s="1159"/>
    </row>
    <row r="648" spans="1:13" x14ac:dyDescent="0.3">
      <c r="A648" s="6">
        <v>648</v>
      </c>
      <c r="B648" s="1262"/>
      <c r="C648" s="501" t="s">
        <v>315</v>
      </c>
      <c r="D648" s="278">
        <f>($D$635/100)*$D$67</f>
        <v>0.8580000000000001</v>
      </c>
      <c r="E648" s="91"/>
      <c r="F648" s="91"/>
      <c r="G648" s="110" t="s">
        <v>460</v>
      </c>
      <c r="H648" s="41" t="s">
        <v>629</v>
      </c>
      <c r="I648" s="110"/>
      <c r="J648" s="110"/>
      <c r="K648" s="110"/>
      <c r="L648" s="110"/>
      <c r="M648" s="1159"/>
    </row>
    <row r="649" spans="1:13" x14ac:dyDescent="0.3">
      <c r="A649" s="6">
        <v>649</v>
      </c>
      <c r="B649" s="1262"/>
      <c r="C649" s="501" t="s">
        <v>255</v>
      </c>
      <c r="D649" s="658" t="s">
        <v>1833</v>
      </c>
      <c r="E649" s="222"/>
      <c r="F649" s="222"/>
      <c r="G649" s="110" t="s">
        <v>460</v>
      </c>
      <c r="H649" s="110"/>
      <c r="I649" s="110"/>
      <c r="J649" s="110"/>
      <c r="K649" s="110"/>
      <c r="L649" s="110"/>
      <c r="M649" s="1159"/>
    </row>
    <row r="650" spans="1:13" x14ac:dyDescent="0.3">
      <c r="A650" s="6">
        <v>650</v>
      </c>
      <c r="B650" s="1262"/>
      <c r="C650" s="258" t="s">
        <v>256</v>
      </c>
      <c r="D650" s="659" t="s">
        <v>1833</v>
      </c>
      <c r="E650" s="242"/>
      <c r="F650" s="242"/>
      <c r="G650" s="55" t="s">
        <v>460</v>
      </c>
      <c r="H650" s="55"/>
      <c r="I650" s="55"/>
      <c r="J650" s="55"/>
      <c r="K650" s="55"/>
      <c r="L650" s="55"/>
    </row>
    <row r="651" spans="1:13" x14ac:dyDescent="0.3">
      <c r="A651" s="6">
        <v>651</v>
      </c>
      <c r="B651" s="1262"/>
      <c r="C651" s="478" t="s">
        <v>61</v>
      </c>
      <c r="D651" s="330">
        <f>$D$638/100*$D$72</f>
        <v>2.4</v>
      </c>
      <c r="E651" s="86"/>
      <c r="F651" s="86"/>
      <c r="G651" s="49" t="s">
        <v>460</v>
      </c>
      <c r="H651" s="50" t="s">
        <v>629</v>
      </c>
      <c r="I651" s="49"/>
      <c r="J651" s="49"/>
      <c r="K651" s="49"/>
      <c r="L651" s="49"/>
      <c r="M651" s="1159"/>
    </row>
    <row r="652" spans="1:13" x14ac:dyDescent="0.3">
      <c r="A652" s="6">
        <v>652</v>
      </c>
      <c r="B652" s="1262"/>
      <c r="C652" s="502" t="s">
        <v>257</v>
      </c>
      <c r="D652" s="660" t="s">
        <v>1833</v>
      </c>
      <c r="E652" s="85"/>
      <c r="F652" s="85"/>
      <c r="G652" s="53" t="s">
        <v>460</v>
      </c>
      <c r="H652" s="53"/>
      <c r="I652" s="53"/>
      <c r="J652" s="53"/>
      <c r="K652" s="53" t="s">
        <v>1396</v>
      </c>
      <c r="L652" s="53"/>
    </row>
    <row r="653" spans="1:13" x14ac:dyDescent="0.3">
      <c r="A653" s="6">
        <v>653</v>
      </c>
      <c r="B653" s="1262"/>
      <c r="C653" s="503" t="s">
        <v>258</v>
      </c>
      <c r="D653" s="661" t="s">
        <v>1833</v>
      </c>
      <c r="E653" s="240"/>
      <c r="F653" s="240"/>
      <c r="G653" s="166" t="s">
        <v>460</v>
      </c>
      <c r="H653" s="166"/>
      <c r="I653" s="166"/>
      <c r="J653" s="166"/>
      <c r="K653" s="166" t="s">
        <v>1396</v>
      </c>
      <c r="L653" s="166"/>
    </row>
    <row r="654" spans="1:13" x14ac:dyDescent="0.3">
      <c r="A654" s="6">
        <v>654</v>
      </c>
      <c r="B654" s="1262"/>
      <c r="C654" s="504" t="s">
        <v>332</v>
      </c>
      <c r="D654" s="657" t="s">
        <v>1833</v>
      </c>
      <c r="E654" s="400"/>
      <c r="F654" s="400"/>
      <c r="G654" s="375" t="s">
        <v>460</v>
      </c>
      <c r="H654" s="375"/>
      <c r="I654" s="375"/>
      <c r="J654" s="375"/>
      <c r="K654" s="375"/>
      <c r="L654" s="375"/>
    </row>
    <row r="655" spans="1:13" x14ac:dyDescent="0.3">
      <c r="A655" s="6">
        <v>655</v>
      </c>
      <c r="B655" s="1262"/>
      <c r="C655" s="478" t="s">
        <v>62</v>
      </c>
      <c r="D655" s="144">
        <f>$D$642/100*$D$76</f>
        <v>0.72</v>
      </c>
      <c r="E655" s="86"/>
      <c r="F655" s="86"/>
      <c r="G655" s="49" t="s">
        <v>460</v>
      </c>
      <c r="H655" s="50" t="s">
        <v>629</v>
      </c>
      <c r="I655" s="49"/>
      <c r="J655" s="49"/>
      <c r="K655" s="49"/>
      <c r="L655" s="49"/>
      <c r="M655" s="1159"/>
    </row>
    <row r="656" spans="1:13" x14ac:dyDescent="0.3">
      <c r="A656" s="6">
        <v>656</v>
      </c>
      <c r="B656" s="1262"/>
      <c r="C656" s="501" t="s">
        <v>321</v>
      </c>
      <c r="D656" s="658" t="s">
        <v>1833</v>
      </c>
      <c r="E656" s="222"/>
      <c r="F656" s="222"/>
      <c r="G656" s="110" t="s">
        <v>460</v>
      </c>
      <c r="H656" s="110"/>
      <c r="I656" s="110"/>
      <c r="J656" s="110"/>
      <c r="K656" s="110"/>
      <c r="L656" s="110"/>
    </row>
    <row r="657" spans="1:13" x14ac:dyDescent="0.3">
      <c r="A657" s="6">
        <v>657</v>
      </c>
      <c r="B657" s="1262"/>
      <c r="C657" s="501" t="s">
        <v>259</v>
      </c>
      <c r="D657" s="658" t="s">
        <v>1833</v>
      </c>
      <c r="E657" s="222"/>
      <c r="F657" s="222"/>
      <c r="G657" s="110" t="s">
        <v>460</v>
      </c>
      <c r="H657" s="110"/>
      <c r="I657" s="110"/>
      <c r="J657" s="110"/>
      <c r="K657" s="110"/>
      <c r="L657" s="110"/>
    </row>
    <row r="658" spans="1:13" ht="15.65" thickBot="1" x14ac:dyDescent="0.35">
      <c r="A658" s="6">
        <v>658</v>
      </c>
      <c r="B658" s="1263"/>
      <c r="C658" s="487" t="s">
        <v>260</v>
      </c>
      <c r="D658" s="652" t="s">
        <v>1833</v>
      </c>
      <c r="E658" s="80"/>
      <c r="F658" s="80"/>
      <c r="G658" s="3" t="s">
        <v>460</v>
      </c>
      <c r="H658" s="3"/>
      <c r="I658" s="3"/>
      <c r="J658" s="3"/>
      <c r="K658" s="3"/>
      <c r="L658" s="3"/>
    </row>
    <row r="659" spans="1:13" s="11" customFormat="1" ht="15.65" thickBot="1" x14ac:dyDescent="0.35">
      <c r="A659" s="6">
        <v>659</v>
      </c>
      <c r="B659" s="489"/>
      <c r="D659" s="104"/>
      <c r="E659" s="104"/>
      <c r="F659" s="104"/>
    </row>
    <row r="660" spans="1:13" ht="15.05" customHeight="1" x14ac:dyDescent="0.3">
      <c r="A660" s="6">
        <v>660</v>
      </c>
      <c r="B660" s="1261" t="s">
        <v>1685</v>
      </c>
      <c r="C660" s="501" t="s">
        <v>564</v>
      </c>
      <c r="D660" s="91">
        <f>$D$647*$D$41/1000000</f>
        <v>1.5147404999999999E-2</v>
      </c>
      <c r="E660" s="91"/>
      <c r="F660" s="91"/>
      <c r="G660" s="110" t="s">
        <v>537</v>
      </c>
      <c r="H660" s="41" t="s">
        <v>629</v>
      </c>
      <c r="I660" s="110"/>
      <c r="J660" s="110"/>
      <c r="K660" s="110"/>
      <c r="L660" s="110"/>
      <c r="M660" s="1159"/>
    </row>
    <row r="661" spans="1:13" x14ac:dyDescent="0.3">
      <c r="A661" s="6">
        <v>661</v>
      </c>
      <c r="B661" s="1262"/>
      <c r="C661" s="501" t="s">
        <v>565</v>
      </c>
      <c r="D661" s="91">
        <f>$D$648*$D$42/1000000</f>
        <v>3.6808200000000006E-2</v>
      </c>
      <c r="E661" s="91"/>
      <c r="F661" s="91"/>
      <c r="G661" s="110" t="s">
        <v>537</v>
      </c>
      <c r="H661" s="41" t="s">
        <v>629</v>
      </c>
      <c r="I661" s="110"/>
      <c r="J661" s="110"/>
      <c r="K661" s="110"/>
      <c r="L661" s="110"/>
      <c r="M661" s="1159"/>
    </row>
    <row r="662" spans="1:13" x14ac:dyDescent="0.3">
      <c r="A662" s="6">
        <v>662</v>
      </c>
      <c r="B662" s="1262"/>
      <c r="C662" s="501" t="s">
        <v>566</v>
      </c>
      <c r="D662" s="658" t="s">
        <v>1833</v>
      </c>
      <c r="E662" s="222"/>
      <c r="F662" s="222"/>
      <c r="G662" s="110" t="s">
        <v>537</v>
      </c>
      <c r="H662" s="110"/>
      <c r="I662" s="110"/>
      <c r="J662" s="110"/>
      <c r="K662" s="110"/>
      <c r="L662" s="110"/>
    </row>
    <row r="663" spans="1:13" x14ac:dyDescent="0.3">
      <c r="A663" s="6">
        <v>663</v>
      </c>
      <c r="B663" s="1262"/>
      <c r="C663" s="258" t="s">
        <v>567</v>
      </c>
      <c r="D663" s="659" t="s">
        <v>1833</v>
      </c>
      <c r="E663" s="242"/>
      <c r="F663" s="242"/>
      <c r="G663" s="55" t="s">
        <v>537</v>
      </c>
      <c r="H663" s="55"/>
      <c r="I663" s="55"/>
      <c r="J663" s="55"/>
      <c r="K663" s="55"/>
      <c r="L663" s="55"/>
    </row>
    <row r="664" spans="1:13" x14ac:dyDescent="0.3">
      <c r="A664" s="6">
        <v>664</v>
      </c>
      <c r="B664" s="1262"/>
      <c r="C664" s="478" t="s">
        <v>568</v>
      </c>
      <c r="D664" s="144">
        <f>$D$651*$D$47/1000000</f>
        <v>0.378</v>
      </c>
      <c r="E664" s="86"/>
      <c r="F664" s="86"/>
      <c r="G664" s="49" t="s">
        <v>537</v>
      </c>
      <c r="H664" s="50" t="s">
        <v>629</v>
      </c>
      <c r="I664" s="217"/>
      <c r="J664" s="49"/>
      <c r="K664" s="49"/>
      <c r="L664" s="49"/>
      <c r="M664" s="1159"/>
    </row>
    <row r="665" spans="1:13" x14ac:dyDescent="0.3">
      <c r="A665" s="6">
        <v>665</v>
      </c>
      <c r="B665" s="1262"/>
      <c r="C665" s="502" t="s">
        <v>569</v>
      </c>
      <c r="D665" s="660" t="s">
        <v>1833</v>
      </c>
      <c r="E665" s="85"/>
      <c r="F665" s="85"/>
      <c r="G665" s="53" t="s">
        <v>537</v>
      </c>
      <c r="H665" s="53"/>
      <c r="I665" s="171"/>
      <c r="J665" s="53"/>
      <c r="K665" s="53"/>
      <c r="L665" s="53"/>
    </row>
    <row r="666" spans="1:13" x14ac:dyDescent="0.3">
      <c r="A666" s="6">
        <v>666</v>
      </c>
      <c r="B666" s="1262"/>
      <c r="C666" s="503" t="s">
        <v>570</v>
      </c>
      <c r="D666" s="661" t="s">
        <v>1833</v>
      </c>
      <c r="E666" s="240"/>
      <c r="F666" s="240"/>
      <c r="G666" s="166" t="s">
        <v>537</v>
      </c>
      <c r="H666" s="166"/>
      <c r="I666" s="441"/>
      <c r="J666" s="166"/>
      <c r="K666" s="166"/>
      <c r="L666" s="166"/>
    </row>
    <row r="667" spans="1:13" x14ac:dyDescent="0.3">
      <c r="A667" s="6">
        <v>667</v>
      </c>
      <c r="B667" s="1262"/>
      <c r="C667" s="504" t="s">
        <v>571</v>
      </c>
      <c r="D667" s="657" t="s">
        <v>1833</v>
      </c>
      <c r="E667" s="400"/>
      <c r="F667" s="400"/>
      <c r="G667" s="375" t="s">
        <v>537</v>
      </c>
      <c r="H667" s="375"/>
      <c r="I667" s="421"/>
      <c r="J667" s="375"/>
      <c r="K667" s="375"/>
      <c r="L667" s="375"/>
    </row>
    <row r="668" spans="1:13" x14ac:dyDescent="0.3">
      <c r="A668" s="6">
        <v>668</v>
      </c>
      <c r="B668" s="1262"/>
      <c r="C668" s="478" t="s">
        <v>572</v>
      </c>
      <c r="D668" s="86">
        <f>$D$655*$D$51/1000000</f>
        <v>5.3884799999999997E-2</v>
      </c>
      <c r="E668" s="86"/>
      <c r="F668" s="86"/>
      <c r="G668" s="49" t="s">
        <v>537</v>
      </c>
      <c r="H668" s="50" t="s">
        <v>629</v>
      </c>
      <c r="I668" s="217"/>
      <c r="J668" s="49"/>
      <c r="K668" s="49"/>
      <c r="L668" s="49"/>
      <c r="M668" s="1159"/>
    </row>
    <row r="669" spans="1:13" x14ac:dyDescent="0.3">
      <c r="A669" s="6">
        <v>669</v>
      </c>
      <c r="B669" s="1262"/>
      <c r="C669" s="501" t="s">
        <v>573</v>
      </c>
      <c r="D669" s="658" t="s">
        <v>1833</v>
      </c>
      <c r="E669" s="222"/>
      <c r="F669" s="222"/>
      <c r="G669" s="110" t="s">
        <v>537</v>
      </c>
      <c r="H669" s="110"/>
      <c r="I669" s="260"/>
      <c r="J669" s="110"/>
      <c r="K669" s="110"/>
      <c r="L669" s="110"/>
    </row>
    <row r="670" spans="1:13" x14ac:dyDescent="0.3">
      <c r="A670" s="6">
        <v>670</v>
      </c>
      <c r="B670" s="1262"/>
      <c r="C670" s="501" t="s">
        <v>574</v>
      </c>
      <c r="D670" s="658" t="s">
        <v>1833</v>
      </c>
      <c r="E670" s="222"/>
      <c r="F670" s="222"/>
      <c r="G670" s="110" t="s">
        <v>537</v>
      </c>
      <c r="H670" s="110"/>
      <c r="I670" s="260"/>
      <c r="J670" s="110"/>
      <c r="K670" s="110"/>
      <c r="L670" s="110"/>
    </row>
    <row r="671" spans="1:13" x14ac:dyDescent="0.3">
      <c r="A671" s="6">
        <v>671</v>
      </c>
      <c r="B671" s="1262"/>
      <c r="C671" s="487" t="s">
        <v>483</v>
      </c>
      <c r="D671" s="652" t="s">
        <v>1833</v>
      </c>
      <c r="E671" s="80"/>
      <c r="F671" s="80"/>
      <c r="G671" s="3" t="s">
        <v>537</v>
      </c>
      <c r="H671" s="3"/>
      <c r="I671" s="169"/>
      <c r="J671" s="3"/>
      <c r="K671" s="3"/>
      <c r="L671" s="3"/>
    </row>
    <row r="672" spans="1:13" ht="15.65" thickBot="1" x14ac:dyDescent="0.35">
      <c r="A672" s="6">
        <v>672</v>
      </c>
      <c r="B672" s="1262"/>
      <c r="C672" s="490"/>
      <c r="D672" s="114"/>
      <c r="E672" s="114"/>
      <c r="F672" s="114"/>
      <c r="G672" s="131"/>
      <c r="I672" s="28"/>
    </row>
    <row r="673" spans="1:13" ht="15.65" thickBot="1" x14ac:dyDescent="0.35">
      <c r="A673" s="6">
        <v>673</v>
      </c>
      <c r="B673" s="1263"/>
      <c r="C673" s="521" t="s">
        <v>1957</v>
      </c>
      <c r="D673" s="140">
        <f>$D$660+$D$661+$D$664+$D$668</f>
        <v>0.48384040500000003</v>
      </c>
      <c r="E673" s="128"/>
      <c r="F673" s="308"/>
      <c r="G673" s="120" t="s">
        <v>537</v>
      </c>
      <c r="H673" s="112" t="s">
        <v>629</v>
      </c>
      <c r="I673" s="28"/>
      <c r="M673" s="1159"/>
    </row>
    <row r="674" spans="1:13" s="11" customFormat="1" x14ac:dyDescent="0.3">
      <c r="A674" s="6">
        <v>674</v>
      </c>
      <c r="B674" s="540"/>
      <c r="C674" s="5"/>
      <c r="D674" s="76"/>
      <c r="E674" s="76"/>
      <c r="F674" s="76"/>
      <c r="H674" s="4"/>
    </row>
    <row r="675" spans="1:13" s="11" customFormat="1" ht="15.05" customHeight="1" x14ac:dyDescent="0.3">
      <c r="A675" s="6">
        <v>675</v>
      </c>
      <c r="B675" s="1270" t="s">
        <v>1684</v>
      </c>
      <c r="C675" s="221" t="s">
        <v>1673</v>
      </c>
      <c r="D675" s="573">
        <f>$D$660*$D$17</f>
        <v>0.688518409090909</v>
      </c>
      <c r="E675" s="91"/>
      <c r="F675" s="91"/>
      <c r="G675" s="110" t="s">
        <v>948</v>
      </c>
      <c r="H675" s="41"/>
      <c r="I675" s="110"/>
      <c r="J675" s="110"/>
      <c r="K675" s="110"/>
      <c r="L675" s="110"/>
      <c r="M675" s="1159"/>
    </row>
    <row r="676" spans="1:13" s="11" customFormat="1" x14ac:dyDescent="0.3">
      <c r="A676" s="6">
        <v>676</v>
      </c>
      <c r="B676" s="1271"/>
      <c r="C676" s="221" t="s">
        <v>1674</v>
      </c>
      <c r="D676" s="573">
        <f>$D$661*$D$17</f>
        <v>1.6731000000000003</v>
      </c>
      <c r="E676" s="91"/>
      <c r="F676" s="91"/>
      <c r="G676" s="110" t="s">
        <v>948</v>
      </c>
      <c r="H676" s="41"/>
      <c r="I676" s="110"/>
      <c r="J676" s="110"/>
      <c r="K676" s="110"/>
      <c r="L676" s="110"/>
      <c r="M676" s="1159"/>
    </row>
    <row r="677" spans="1:13" s="11" customFormat="1" x14ac:dyDescent="0.3">
      <c r="A677" s="6">
        <v>677</v>
      </c>
      <c r="B677" s="1271"/>
      <c r="C677" s="221" t="s">
        <v>1675</v>
      </c>
      <c r="D677" s="658" t="s">
        <v>1833</v>
      </c>
      <c r="E677" s="222"/>
      <c r="F677" s="222"/>
      <c r="G677" s="110" t="s">
        <v>948</v>
      </c>
      <c r="H677" s="41"/>
      <c r="I677" s="110"/>
      <c r="J677" s="110"/>
      <c r="K677" s="110"/>
      <c r="L677" s="110"/>
    </row>
    <row r="678" spans="1:13" s="11" customFormat="1" x14ac:dyDescent="0.3">
      <c r="A678" s="6">
        <v>678</v>
      </c>
      <c r="B678" s="1271"/>
      <c r="C678" s="69" t="s">
        <v>1676</v>
      </c>
      <c r="D678" s="659" t="s">
        <v>1833</v>
      </c>
      <c r="E678" s="242"/>
      <c r="F678" s="242"/>
      <c r="G678" s="55" t="s">
        <v>948</v>
      </c>
      <c r="H678" s="212"/>
      <c r="I678" s="55"/>
      <c r="J678" s="55"/>
      <c r="K678" s="55"/>
      <c r="L678" s="55"/>
    </row>
    <row r="679" spans="1:13" s="11" customFormat="1" x14ac:dyDescent="0.3">
      <c r="A679" s="6">
        <v>679</v>
      </c>
      <c r="B679" s="1271"/>
      <c r="C679" s="49" t="s">
        <v>1677</v>
      </c>
      <c r="D679" s="330">
        <f>$D$664*$D$17</f>
        <v>17.18181818181818</v>
      </c>
      <c r="E679" s="86"/>
      <c r="F679" s="86"/>
      <c r="G679" s="49" t="s">
        <v>948</v>
      </c>
      <c r="H679" s="50"/>
      <c r="I679" s="49"/>
      <c r="J679" s="49"/>
      <c r="K679" s="49"/>
      <c r="L679" s="49"/>
      <c r="M679" s="1159"/>
    </row>
    <row r="680" spans="1:13" s="11" customFormat="1" x14ac:dyDescent="0.3">
      <c r="A680" s="6">
        <v>680</v>
      </c>
      <c r="B680" s="1271"/>
      <c r="C680" s="25" t="s">
        <v>1678</v>
      </c>
      <c r="D680" s="660" t="s">
        <v>1833</v>
      </c>
      <c r="E680" s="85"/>
      <c r="F680" s="85"/>
      <c r="G680" s="53" t="s">
        <v>948</v>
      </c>
      <c r="H680" s="121"/>
      <c r="I680" s="53"/>
      <c r="J680" s="53"/>
      <c r="K680" s="53"/>
      <c r="L680" s="53"/>
    </row>
    <row r="681" spans="1:13" s="11" customFormat="1" x14ac:dyDescent="0.3">
      <c r="A681" s="6">
        <v>681</v>
      </c>
      <c r="B681" s="1271"/>
      <c r="C681" s="70" t="s">
        <v>1679</v>
      </c>
      <c r="D681" s="661" t="s">
        <v>1833</v>
      </c>
      <c r="E681" s="240"/>
      <c r="F681" s="240"/>
      <c r="G681" s="166" t="s">
        <v>948</v>
      </c>
      <c r="H681" s="165"/>
      <c r="I681" s="166"/>
      <c r="J681" s="166"/>
      <c r="K681" s="166"/>
      <c r="L681" s="166"/>
    </row>
    <row r="682" spans="1:13" s="11" customFormat="1" x14ac:dyDescent="0.3">
      <c r="A682" s="6">
        <v>682</v>
      </c>
      <c r="B682" s="1271"/>
      <c r="C682" s="391" t="s">
        <v>1680</v>
      </c>
      <c r="D682" s="657" t="s">
        <v>1833</v>
      </c>
      <c r="E682" s="400"/>
      <c r="F682" s="400"/>
      <c r="G682" s="375" t="s">
        <v>948</v>
      </c>
      <c r="H682" s="422"/>
      <c r="I682" s="375"/>
      <c r="J682" s="375"/>
      <c r="K682" s="375"/>
      <c r="L682" s="375"/>
    </row>
    <row r="683" spans="1:13" s="11" customFormat="1" x14ac:dyDescent="0.3">
      <c r="A683" s="6">
        <v>683</v>
      </c>
      <c r="B683" s="1271"/>
      <c r="C683" s="49" t="s">
        <v>1681</v>
      </c>
      <c r="D683" s="330">
        <f>$D$668*$D$17</f>
        <v>2.4493090909090909</v>
      </c>
      <c r="E683" s="86"/>
      <c r="F683" s="86"/>
      <c r="G683" s="49" t="s">
        <v>948</v>
      </c>
      <c r="H683" s="50"/>
      <c r="I683" s="49"/>
      <c r="J683" s="49"/>
      <c r="K683" s="49"/>
      <c r="L683" s="49"/>
      <c r="M683" s="1159"/>
    </row>
    <row r="684" spans="1:13" s="11" customFormat="1" x14ac:dyDescent="0.3">
      <c r="A684" s="6">
        <v>684</v>
      </c>
      <c r="B684" s="1271"/>
      <c r="C684" s="221" t="s">
        <v>1682</v>
      </c>
      <c r="D684" s="658" t="s">
        <v>1833</v>
      </c>
      <c r="E684" s="222"/>
      <c r="F684" s="222"/>
      <c r="G684" s="110" t="s">
        <v>948</v>
      </c>
      <c r="H684" s="41"/>
      <c r="I684" s="110"/>
      <c r="J684" s="110"/>
      <c r="K684" s="110"/>
      <c r="L684" s="110"/>
    </row>
    <row r="685" spans="1:13" s="11" customFormat="1" x14ac:dyDescent="0.3">
      <c r="A685" s="6">
        <v>685</v>
      </c>
      <c r="B685" s="1271"/>
      <c r="C685" s="221" t="s">
        <v>1683</v>
      </c>
      <c r="D685" s="658" t="s">
        <v>1833</v>
      </c>
      <c r="E685" s="222"/>
      <c r="F685" s="222"/>
      <c r="G685" s="110" t="s">
        <v>948</v>
      </c>
      <c r="H685" s="41"/>
      <c r="I685" s="110"/>
      <c r="J685" s="110"/>
      <c r="K685" s="110"/>
      <c r="L685" s="110"/>
    </row>
    <row r="686" spans="1:13" x14ac:dyDescent="0.3">
      <c r="A686" s="6">
        <v>686</v>
      </c>
      <c r="B686" s="1271"/>
      <c r="C686" s="52" t="s">
        <v>483</v>
      </c>
      <c r="D686" s="652" t="s">
        <v>1833</v>
      </c>
      <c r="E686" s="80"/>
      <c r="F686" s="80"/>
      <c r="G686" s="3" t="s">
        <v>948</v>
      </c>
      <c r="H686" s="3"/>
      <c r="I686" s="3"/>
      <c r="J686" s="3"/>
      <c r="K686" s="3"/>
      <c r="L686" s="3"/>
    </row>
    <row r="687" spans="1:13" s="11" customFormat="1" ht="15.65" thickBot="1" x14ac:dyDescent="0.35">
      <c r="A687" s="6">
        <v>687</v>
      </c>
      <c r="B687" s="1271"/>
      <c r="C687" s="124"/>
      <c r="D687" s="219"/>
      <c r="E687" s="219"/>
      <c r="F687" s="219"/>
      <c r="G687" s="115"/>
    </row>
    <row r="688" spans="1:13" s="11" customFormat="1" ht="15.65" thickBot="1" x14ac:dyDescent="0.35">
      <c r="A688" s="6">
        <v>688</v>
      </c>
      <c r="B688" s="1271"/>
      <c r="C688" s="272" t="s">
        <v>1958</v>
      </c>
      <c r="D688" s="554">
        <f>$D$675+$D$676+$D$679+$D$683</f>
        <v>21.992745681818178</v>
      </c>
      <c r="E688" s="267"/>
      <c r="F688" s="315"/>
      <c r="G688" s="129" t="s">
        <v>948</v>
      </c>
      <c r="H688" s="327"/>
      <c r="M688" s="1159"/>
    </row>
    <row r="689" spans="1:13" s="11" customFormat="1" x14ac:dyDescent="0.3">
      <c r="A689" s="6">
        <v>689</v>
      </c>
      <c r="B689" s="536"/>
      <c r="C689" s="268"/>
      <c r="D689" s="266"/>
      <c r="E689" s="266"/>
      <c r="F689" s="266"/>
      <c r="G689" s="125"/>
    </row>
    <row r="690" spans="1:13" s="11" customFormat="1" x14ac:dyDescent="0.3">
      <c r="A690" s="6">
        <v>690</v>
      </c>
      <c r="B690" s="1272" t="s">
        <v>1711</v>
      </c>
      <c r="C690" s="5"/>
      <c r="D690" s="83"/>
      <c r="E690" s="83"/>
      <c r="F690" s="83"/>
    </row>
    <row r="691" spans="1:13" x14ac:dyDescent="0.3">
      <c r="A691" s="6">
        <v>691</v>
      </c>
      <c r="B691" s="1273"/>
      <c r="C691" s="501" t="s">
        <v>305</v>
      </c>
      <c r="D691" s="273">
        <f>($D$660+$D$661)/$D$6</f>
        <v>4.293851652892562E-4</v>
      </c>
      <c r="E691" s="277"/>
      <c r="F691" s="277"/>
      <c r="G691" s="110" t="s">
        <v>60</v>
      </c>
      <c r="H691" s="41" t="s">
        <v>629</v>
      </c>
      <c r="I691" s="110"/>
      <c r="J691" s="110"/>
      <c r="K691" s="110"/>
      <c r="L691" s="110"/>
      <c r="M691" s="1159"/>
    </row>
    <row r="692" spans="1:13" x14ac:dyDescent="0.3">
      <c r="A692" s="6">
        <v>692</v>
      </c>
      <c r="B692" s="1273"/>
      <c r="C692" s="518" t="s">
        <v>63</v>
      </c>
      <c r="D692" s="86">
        <f>($D$664+$D$668)/$D$6</f>
        <v>3.5692958677685949E-3</v>
      </c>
      <c r="E692" s="225"/>
      <c r="F692" s="225"/>
      <c r="G692" s="49" t="s">
        <v>60</v>
      </c>
      <c r="H692" s="50" t="s">
        <v>629</v>
      </c>
      <c r="I692" s="49"/>
      <c r="J692" s="49"/>
      <c r="K692" s="49"/>
      <c r="L692" s="49"/>
      <c r="M692" s="1159"/>
    </row>
    <row r="693" spans="1:13" ht="15.65" thickBot="1" x14ac:dyDescent="0.35">
      <c r="A693" s="6">
        <v>693</v>
      </c>
      <c r="B693" s="1273"/>
    </row>
    <row r="694" spans="1:13" ht="15.65" thickBot="1" x14ac:dyDescent="0.35">
      <c r="A694" s="6">
        <v>694</v>
      </c>
      <c r="B694" s="1274"/>
      <c r="C694" s="521" t="s">
        <v>64</v>
      </c>
      <c r="D694" s="128">
        <f>SUM($D$691:$D$692)</f>
        <v>3.9986810330578512E-3</v>
      </c>
      <c r="E694" s="318"/>
      <c r="F694" s="318"/>
      <c r="G694" s="129" t="s">
        <v>60</v>
      </c>
      <c r="H694" s="112" t="s">
        <v>629</v>
      </c>
      <c r="M694" s="1159"/>
    </row>
    <row r="695" spans="1:13" x14ac:dyDescent="0.3">
      <c r="A695" s="6">
        <v>695</v>
      </c>
      <c r="C695" s="530"/>
      <c r="D695" s="266"/>
      <c r="E695" s="266"/>
      <c r="F695" s="266"/>
      <c r="G695" s="125"/>
    </row>
    <row r="696" spans="1:13" x14ac:dyDescent="0.3">
      <c r="A696" s="6">
        <v>696</v>
      </c>
      <c r="B696" s="27" t="s">
        <v>1578</v>
      </c>
      <c r="C696" s="27" t="s">
        <v>916</v>
      </c>
      <c r="D696" s="1112">
        <f>'Table S1.6 (Additional data)'!B92</f>
        <v>50</v>
      </c>
      <c r="E696" s="27" t="s">
        <v>1833</v>
      </c>
      <c r="F696" s="27"/>
      <c r="G696" s="27" t="s">
        <v>4</v>
      </c>
      <c r="H696" s="27" t="s">
        <v>392</v>
      </c>
      <c r="I696" s="27" t="s">
        <v>2492</v>
      </c>
      <c r="J696" s="27"/>
      <c r="K696" s="27"/>
      <c r="L696" s="27"/>
      <c r="M696" s="1159"/>
    </row>
    <row r="697" spans="1:13" s="11" customFormat="1" x14ac:dyDescent="0.3">
      <c r="A697" s="6">
        <v>697</v>
      </c>
      <c r="B697" s="5"/>
      <c r="C697" s="5"/>
      <c r="D697" s="5"/>
      <c r="E697" s="5"/>
      <c r="F697" s="5"/>
      <c r="G697" s="5"/>
      <c r="H697" s="5"/>
      <c r="I697" s="5"/>
      <c r="J697" s="5"/>
      <c r="K697" s="5"/>
      <c r="L697" s="5"/>
    </row>
    <row r="698" spans="1:13" s="11" customFormat="1" x14ac:dyDescent="0.3">
      <c r="A698" s="6">
        <v>698</v>
      </c>
      <c r="B698" s="1270" t="s">
        <v>1710</v>
      </c>
      <c r="C698" s="221" t="s">
        <v>1686</v>
      </c>
      <c r="D698" s="278">
        <f>$D$675*$D$696/100</f>
        <v>0.3442592045454545</v>
      </c>
      <c r="E698" s="222"/>
      <c r="F698" s="222"/>
      <c r="G698" s="110" t="s">
        <v>948</v>
      </c>
      <c r="H698" s="41" t="s">
        <v>629</v>
      </c>
      <c r="I698" s="110"/>
      <c r="J698" s="110"/>
      <c r="K698" s="110"/>
      <c r="L698" s="110"/>
      <c r="M698" s="1159"/>
    </row>
    <row r="699" spans="1:13" s="11" customFormat="1" x14ac:dyDescent="0.3">
      <c r="A699" s="6">
        <v>699</v>
      </c>
      <c r="B699" s="1271"/>
      <c r="C699" s="221" t="s">
        <v>1687</v>
      </c>
      <c r="D699" s="278">
        <f>$D$676*$D$696/100</f>
        <v>0.83655000000000013</v>
      </c>
      <c r="E699" s="222"/>
      <c r="F699" s="222"/>
      <c r="G699" s="110" t="s">
        <v>948</v>
      </c>
      <c r="H699" s="41" t="s">
        <v>629</v>
      </c>
      <c r="I699" s="110"/>
      <c r="J699" s="110"/>
      <c r="K699" s="110"/>
      <c r="L699" s="110"/>
      <c r="M699" s="1159"/>
    </row>
    <row r="700" spans="1:13" s="11" customFormat="1" x14ac:dyDescent="0.3">
      <c r="A700" s="6">
        <v>700</v>
      </c>
      <c r="B700" s="1271"/>
      <c r="C700" s="221" t="s">
        <v>1688</v>
      </c>
      <c r="D700" s="658" t="s">
        <v>1833</v>
      </c>
      <c r="E700" s="222"/>
      <c r="F700" s="222"/>
      <c r="G700" s="110" t="s">
        <v>948</v>
      </c>
      <c r="H700" s="110"/>
      <c r="I700" s="110"/>
      <c r="J700" s="110"/>
      <c r="K700" s="110"/>
      <c r="L700" s="110"/>
    </row>
    <row r="701" spans="1:13" s="11" customFormat="1" x14ac:dyDescent="0.3">
      <c r="A701" s="6">
        <v>701</v>
      </c>
      <c r="B701" s="1271"/>
      <c r="C701" s="69" t="s">
        <v>1689</v>
      </c>
      <c r="D701" s="659" t="s">
        <v>1833</v>
      </c>
      <c r="E701" s="242"/>
      <c r="F701" s="242"/>
      <c r="G701" s="55" t="s">
        <v>948</v>
      </c>
      <c r="H701" s="55"/>
      <c r="I701" s="55"/>
      <c r="J701" s="55"/>
      <c r="K701" s="55"/>
      <c r="L701" s="55"/>
    </row>
    <row r="702" spans="1:13" s="11" customFormat="1" x14ac:dyDescent="0.3">
      <c r="A702" s="6">
        <v>702</v>
      </c>
      <c r="B702" s="1271"/>
      <c r="C702" s="49" t="s">
        <v>1690</v>
      </c>
      <c r="D702" s="330">
        <f>$D$679*$D$696/100</f>
        <v>8.5909090909090899</v>
      </c>
      <c r="E702" s="225"/>
      <c r="F702" s="225"/>
      <c r="G702" s="49" t="s">
        <v>948</v>
      </c>
      <c r="H702" s="50" t="s">
        <v>629</v>
      </c>
      <c r="I702" s="49"/>
      <c r="J702" s="49"/>
      <c r="K702" s="49"/>
      <c r="L702" s="49"/>
    </row>
    <row r="703" spans="1:13" s="11" customFormat="1" x14ac:dyDescent="0.3">
      <c r="A703" s="6">
        <v>703</v>
      </c>
      <c r="B703" s="1271"/>
      <c r="C703" s="25" t="s">
        <v>1691</v>
      </c>
      <c r="D703" s="660" t="s">
        <v>1833</v>
      </c>
      <c r="E703" s="85"/>
      <c r="F703" s="85"/>
      <c r="G703" s="53" t="s">
        <v>948</v>
      </c>
      <c r="H703" s="53"/>
      <c r="I703" s="53"/>
      <c r="J703" s="53"/>
      <c r="K703" s="53"/>
      <c r="L703" s="53"/>
    </row>
    <row r="704" spans="1:13" s="11" customFormat="1" x14ac:dyDescent="0.3">
      <c r="A704" s="6">
        <v>704</v>
      </c>
      <c r="B704" s="1271"/>
      <c r="C704" s="70" t="s">
        <v>1692</v>
      </c>
      <c r="D704" s="661" t="s">
        <v>1833</v>
      </c>
      <c r="E704" s="240"/>
      <c r="F704" s="240"/>
      <c r="G704" s="166" t="s">
        <v>948</v>
      </c>
      <c r="H704" s="166"/>
      <c r="I704" s="166"/>
      <c r="J704" s="166"/>
      <c r="K704" s="166"/>
      <c r="L704" s="166"/>
    </row>
    <row r="705" spans="1:12" s="11" customFormat="1" x14ac:dyDescent="0.3">
      <c r="A705" s="6">
        <v>705</v>
      </c>
      <c r="B705" s="1271"/>
      <c r="C705" s="391" t="s">
        <v>1693</v>
      </c>
      <c r="D705" s="657" t="s">
        <v>1833</v>
      </c>
      <c r="E705" s="400"/>
      <c r="F705" s="400"/>
      <c r="G705" s="375" t="s">
        <v>948</v>
      </c>
      <c r="H705" s="375"/>
      <c r="I705" s="375"/>
      <c r="J705" s="375"/>
      <c r="K705" s="375"/>
      <c r="L705" s="375"/>
    </row>
    <row r="706" spans="1:12" s="11" customFormat="1" x14ac:dyDescent="0.3">
      <c r="A706" s="6">
        <v>706</v>
      </c>
      <c r="B706" s="1271"/>
      <c r="C706" s="49" t="s">
        <v>1694</v>
      </c>
      <c r="D706" s="330">
        <f>$D$683*$D$696/100</f>
        <v>1.2246545454545454</v>
      </c>
      <c r="E706" s="225"/>
      <c r="F706" s="225"/>
      <c r="G706" s="49" t="s">
        <v>948</v>
      </c>
      <c r="H706" s="50" t="s">
        <v>629</v>
      </c>
      <c r="I706" s="49"/>
      <c r="J706" s="49"/>
      <c r="K706" s="49"/>
      <c r="L706" s="49"/>
    </row>
    <row r="707" spans="1:12" s="11" customFormat="1" x14ac:dyDescent="0.3">
      <c r="A707" s="6">
        <v>707</v>
      </c>
      <c r="B707" s="1271"/>
      <c r="C707" s="221" t="s">
        <v>1695</v>
      </c>
      <c r="D707" s="658" t="s">
        <v>1833</v>
      </c>
      <c r="E707" s="222"/>
      <c r="F707" s="222"/>
      <c r="G707" s="110" t="s">
        <v>948</v>
      </c>
      <c r="H707" s="110"/>
      <c r="I707" s="110"/>
      <c r="J707" s="110"/>
      <c r="K707" s="110"/>
      <c r="L707" s="110"/>
    </row>
    <row r="708" spans="1:12" s="11" customFormat="1" x14ac:dyDescent="0.3">
      <c r="A708" s="6">
        <v>708</v>
      </c>
      <c r="B708" s="1271"/>
      <c r="C708" s="221" t="s">
        <v>1696</v>
      </c>
      <c r="D708" s="658" t="s">
        <v>1833</v>
      </c>
      <c r="E708" s="222"/>
      <c r="F708" s="222"/>
      <c r="G708" s="110" t="s">
        <v>948</v>
      </c>
      <c r="H708" s="110"/>
      <c r="I708" s="110"/>
      <c r="J708" s="110"/>
      <c r="K708" s="110"/>
      <c r="L708" s="110"/>
    </row>
    <row r="709" spans="1:12" s="11" customFormat="1" x14ac:dyDescent="0.3">
      <c r="A709" s="6">
        <v>709</v>
      </c>
      <c r="B709" s="1271"/>
      <c r="C709" s="52" t="s">
        <v>1697</v>
      </c>
      <c r="D709" s="652" t="s">
        <v>1833</v>
      </c>
      <c r="E709" s="80"/>
      <c r="F709" s="80"/>
      <c r="G709" s="3" t="s">
        <v>948</v>
      </c>
      <c r="H709" s="3"/>
      <c r="I709" s="3"/>
      <c r="J709" s="3"/>
      <c r="K709" s="3"/>
      <c r="L709" s="3"/>
    </row>
    <row r="710" spans="1:12" s="11" customFormat="1" ht="15.65" thickBot="1" x14ac:dyDescent="0.35">
      <c r="A710" s="6">
        <v>710</v>
      </c>
      <c r="B710" s="1271"/>
      <c r="C710" s="115"/>
      <c r="D710" s="219"/>
      <c r="E710" s="219"/>
      <c r="F710" s="219"/>
      <c r="G710" s="115"/>
    </row>
    <row r="711" spans="1:12" ht="15.65" thickBot="1" x14ac:dyDescent="0.35">
      <c r="A711" s="6">
        <v>711</v>
      </c>
      <c r="B711" s="1271"/>
      <c r="C711" s="272" t="s">
        <v>484</v>
      </c>
      <c r="D711" s="554">
        <f>$D$698+$D$699+$D$702+$D$706</f>
        <v>10.996372840909089</v>
      </c>
      <c r="E711" s="319"/>
      <c r="F711" s="319"/>
      <c r="G711" s="129" t="s">
        <v>948</v>
      </c>
      <c r="H711" s="112" t="s">
        <v>629</v>
      </c>
    </row>
    <row r="712" spans="1:12" ht="15.65" thickBot="1" x14ac:dyDescent="0.35">
      <c r="A712" s="6">
        <v>712</v>
      </c>
      <c r="B712" s="30"/>
      <c r="C712" s="268"/>
      <c r="D712" s="100"/>
      <c r="E712" s="266"/>
      <c r="F712" s="266"/>
      <c r="G712" s="30"/>
    </row>
    <row r="713" spans="1:12" ht="15.65" thickBot="1" x14ac:dyDescent="0.35">
      <c r="A713" s="6">
        <v>713</v>
      </c>
      <c r="B713" s="36" t="s">
        <v>1579</v>
      </c>
      <c r="C713" s="968" t="s">
        <v>89</v>
      </c>
      <c r="D713" s="1175">
        <f>'Table S1.6 (Additional data)'!B96</f>
        <v>5.8626967912211141</v>
      </c>
      <c r="E713" s="969"/>
      <c r="F713" s="969"/>
      <c r="G713" s="36" t="s">
        <v>4</v>
      </c>
      <c r="H713" s="1157" t="s">
        <v>2491</v>
      </c>
      <c r="I713" s="36"/>
      <c r="J713" s="36"/>
      <c r="K713" s="36"/>
      <c r="L713" s="36" t="s">
        <v>1897</v>
      </c>
    </row>
    <row r="714" spans="1:12" s="131" customFormat="1" x14ac:dyDescent="0.3">
      <c r="A714" s="6">
        <v>714</v>
      </c>
      <c r="B714" s="326"/>
      <c r="C714" s="39"/>
      <c r="D714" s="148"/>
      <c r="E714" s="305"/>
      <c r="F714" s="305"/>
      <c r="G714" s="151"/>
      <c r="H714" s="509"/>
    </row>
    <row r="715" spans="1:12" ht="15.05" customHeight="1" x14ac:dyDescent="0.3">
      <c r="A715" s="6">
        <v>715</v>
      </c>
      <c r="B715" s="1275" t="s">
        <v>1712</v>
      </c>
      <c r="C715" s="221" t="s">
        <v>1698</v>
      </c>
      <c r="D715" s="278">
        <f>$D$713/100*$D$675</f>
        <v>4.0365746676739388E-2</v>
      </c>
      <c r="E715" s="278"/>
      <c r="F715" s="278"/>
      <c r="G715" s="110" t="s">
        <v>948</v>
      </c>
      <c r="H715" s="584" t="s">
        <v>629</v>
      </c>
      <c r="I715" s="110"/>
      <c r="J715" s="110"/>
      <c r="K715" s="110"/>
      <c r="L715" s="110"/>
    </row>
    <row r="716" spans="1:12" x14ac:dyDescent="0.3">
      <c r="A716" s="6">
        <v>716</v>
      </c>
      <c r="B716" s="1276"/>
      <c r="C716" s="221" t="s">
        <v>1699</v>
      </c>
      <c r="D716" s="573">
        <f>$D$713/100*$D$676</f>
        <v>9.8088780013920476E-2</v>
      </c>
      <c r="E716" s="278"/>
      <c r="F716" s="278"/>
      <c r="G716" s="110" t="s">
        <v>948</v>
      </c>
      <c r="H716" s="584" t="s">
        <v>629</v>
      </c>
      <c r="I716" s="110"/>
      <c r="J716" s="110"/>
      <c r="K716" s="110"/>
      <c r="L716" s="110"/>
    </row>
    <row r="717" spans="1:12" x14ac:dyDescent="0.3">
      <c r="A717" s="6">
        <v>717</v>
      </c>
      <c r="B717" s="1276"/>
      <c r="C717" s="221" t="s">
        <v>1700</v>
      </c>
      <c r="D717" s="658" t="s">
        <v>1833</v>
      </c>
      <c r="E717" s="278"/>
      <c r="F717" s="278"/>
      <c r="G717" s="110" t="s">
        <v>948</v>
      </c>
      <c r="H717" s="269"/>
      <c r="I717" s="110"/>
      <c r="J717" s="110"/>
      <c r="K717" s="110"/>
      <c r="L717" s="110"/>
    </row>
    <row r="718" spans="1:12" x14ac:dyDescent="0.3">
      <c r="A718" s="6">
        <v>718</v>
      </c>
      <c r="B718" s="1276"/>
      <c r="C718" s="69" t="s">
        <v>1701</v>
      </c>
      <c r="D718" s="659" t="s">
        <v>1833</v>
      </c>
      <c r="E718" s="214"/>
      <c r="F718" s="214"/>
      <c r="G718" s="55" t="s">
        <v>948</v>
      </c>
      <c r="H718" s="476"/>
      <c r="I718" s="55"/>
      <c r="J718" s="55"/>
      <c r="K718" s="55"/>
      <c r="L718" s="55"/>
    </row>
    <row r="719" spans="1:12" x14ac:dyDescent="0.3">
      <c r="A719" s="6">
        <v>719</v>
      </c>
      <c r="B719" s="1276"/>
      <c r="C719" s="49" t="s">
        <v>1702</v>
      </c>
      <c r="D719" s="203">
        <f>$D$713/100*$D$679</f>
        <v>1.0073179032189004</v>
      </c>
      <c r="E719" s="144"/>
      <c r="F719" s="144"/>
      <c r="G719" s="49" t="s">
        <v>948</v>
      </c>
      <c r="H719" s="543" t="s">
        <v>629</v>
      </c>
      <c r="I719" s="49"/>
      <c r="J719" s="49"/>
      <c r="K719" s="49"/>
      <c r="L719" s="49"/>
    </row>
    <row r="720" spans="1:12" x14ac:dyDescent="0.3">
      <c r="A720" s="6">
        <v>720</v>
      </c>
      <c r="B720" s="1276"/>
      <c r="C720" s="25" t="s">
        <v>1703</v>
      </c>
      <c r="D720" s="660" t="s">
        <v>1833</v>
      </c>
      <c r="E720" s="143"/>
      <c r="F720" s="143"/>
      <c r="G720" s="53" t="s">
        <v>948</v>
      </c>
      <c r="H720" s="488"/>
      <c r="I720" s="53"/>
      <c r="J720" s="53"/>
      <c r="K720" s="53"/>
      <c r="L720" s="53"/>
    </row>
    <row r="721" spans="1:12" x14ac:dyDescent="0.3">
      <c r="A721" s="6">
        <v>721</v>
      </c>
      <c r="B721" s="1276"/>
      <c r="C721" s="70" t="s">
        <v>1704</v>
      </c>
      <c r="D721" s="661" t="s">
        <v>1833</v>
      </c>
      <c r="E721" s="467"/>
      <c r="F721" s="467"/>
      <c r="G721" s="166" t="s">
        <v>948</v>
      </c>
      <c r="H721" s="519"/>
      <c r="I721" s="166"/>
      <c r="J721" s="166"/>
      <c r="K721" s="166"/>
      <c r="L721" s="166"/>
    </row>
    <row r="722" spans="1:12" x14ac:dyDescent="0.3">
      <c r="A722" s="6">
        <v>722</v>
      </c>
      <c r="B722" s="1276"/>
      <c r="C722" s="391" t="s">
        <v>1705</v>
      </c>
      <c r="D722" s="657" t="s">
        <v>1833</v>
      </c>
      <c r="E722" s="436"/>
      <c r="F722" s="436"/>
      <c r="G722" s="375" t="s">
        <v>948</v>
      </c>
      <c r="H722" s="472"/>
      <c r="I722" s="375"/>
      <c r="J722" s="375"/>
      <c r="K722" s="375"/>
      <c r="L722" s="375"/>
    </row>
    <row r="723" spans="1:12" x14ac:dyDescent="0.3">
      <c r="A723" s="6">
        <v>723</v>
      </c>
      <c r="B723" s="1276"/>
      <c r="C723" s="49" t="s">
        <v>1706</v>
      </c>
      <c r="D723" s="144">
        <f>$D$713/100*$D$683</f>
        <v>0.14359556547981431</v>
      </c>
      <c r="E723" s="144"/>
      <c r="F723" s="144"/>
      <c r="G723" s="49" t="s">
        <v>948</v>
      </c>
      <c r="H723" s="543" t="s">
        <v>629</v>
      </c>
      <c r="I723" s="49"/>
      <c r="J723" s="49"/>
      <c r="K723" s="49"/>
      <c r="L723" s="49"/>
    </row>
    <row r="724" spans="1:12" x14ac:dyDescent="0.3">
      <c r="A724" s="6">
        <v>724</v>
      </c>
      <c r="B724" s="1276"/>
      <c r="C724" s="221" t="s">
        <v>1707</v>
      </c>
      <c r="D724" s="658" t="s">
        <v>1833</v>
      </c>
      <c r="E724" s="278"/>
      <c r="F724" s="278"/>
      <c r="G724" s="110" t="s">
        <v>948</v>
      </c>
      <c r="H724" s="269"/>
      <c r="I724" s="110"/>
      <c r="J724" s="110"/>
      <c r="K724" s="110"/>
      <c r="L724" s="110"/>
    </row>
    <row r="725" spans="1:12" x14ac:dyDescent="0.3">
      <c r="A725" s="6">
        <v>725</v>
      </c>
      <c r="B725" s="1276"/>
      <c r="C725" s="221" t="s">
        <v>1708</v>
      </c>
      <c r="D725" s="658" t="s">
        <v>1833</v>
      </c>
      <c r="E725" s="278"/>
      <c r="F725" s="278"/>
      <c r="G725" s="110" t="s">
        <v>948</v>
      </c>
      <c r="H725" s="269"/>
      <c r="I725" s="110"/>
      <c r="J725" s="110"/>
      <c r="K725" s="110"/>
      <c r="L725" s="110"/>
    </row>
    <row r="726" spans="1:12" x14ac:dyDescent="0.3">
      <c r="A726" s="6">
        <v>726</v>
      </c>
      <c r="B726" s="1276"/>
      <c r="C726" s="52" t="s">
        <v>1709</v>
      </c>
      <c r="D726" s="652" t="s">
        <v>1833</v>
      </c>
      <c r="E726" s="145"/>
      <c r="F726" s="145"/>
      <c r="G726" s="3" t="s">
        <v>948</v>
      </c>
      <c r="H726" s="522"/>
      <c r="I726" s="3"/>
      <c r="J726" s="3"/>
      <c r="K726" s="3"/>
      <c r="L726" s="3"/>
    </row>
    <row r="727" spans="1:12" s="11" customFormat="1" ht="15.65" thickBot="1" x14ac:dyDescent="0.35">
      <c r="A727" s="6">
        <v>727</v>
      </c>
      <c r="B727" s="1276"/>
      <c r="C727" s="124"/>
      <c r="D727" s="219"/>
      <c r="E727" s="146"/>
      <c r="F727" s="148"/>
      <c r="G727" s="489"/>
      <c r="H727" s="492"/>
    </row>
    <row r="728" spans="1:12" s="11" customFormat="1" ht="15.65" thickBot="1" x14ac:dyDescent="0.35">
      <c r="A728" s="6">
        <v>728</v>
      </c>
      <c r="B728" s="1277"/>
      <c r="C728" s="272" t="s">
        <v>1724</v>
      </c>
      <c r="D728" s="328">
        <f>$D$715+$D$716+$D$719+$D$723</f>
        <v>1.2893679953893744</v>
      </c>
      <c r="E728" s="140"/>
      <c r="F728" s="140"/>
      <c r="G728" s="546" t="s">
        <v>948</v>
      </c>
      <c r="H728" s="547" t="s">
        <v>629</v>
      </c>
      <c r="I728" s="327"/>
    </row>
    <row r="729" spans="1:12" s="11" customFormat="1" x14ac:dyDescent="0.3">
      <c r="A729" s="6">
        <v>729</v>
      </c>
      <c r="B729" s="544"/>
      <c r="C729" s="268"/>
      <c r="D729" s="266"/>
      <c r="E729" s="468"/>
      <c r="F729" s="468"/>
      <c r="G729" s="125"/>
      <c r="H729" s="545"/>
    </row>
    <row r="730" spans="1:12" x14ac:dyDescent="0.3">
      <c r="A730" s="6">
        <v>730</v>
      </c>
      <c r="C730" s="5"/>
      <c r="D730" s="139"/>
      <c r="E730" s="139"/>
      <c r="F730" s="468"/>
      <c r="G730" s="125"/>
    </row>
    <row r="731" spans="1:12" x14ac:dyDescent="0.3">
      <c r="A731" s="6">
        <v>731</v>
      </c>
      <c r="B731" s="70" t="s">
        <v>47</v>
      </c>
      <c r="C731" s="70" t="s">
        <v>47</v>
      </c>
      <c r="D731" s="240"/>
      <c r="E731" s="240"/>
      <c r="F731" s="240"/>
      <c r="G731" s="70"/>
      <c r="H731" s="70"/>
      <c r="I731" s="166"/>
      <c r="J731" s="166"/>
      <c r="K731" s="166"/>
      <c r="L731" s="166"/>
    </row>
    <row r="732" spans="1:12" s="11" customFormat="1" ht="15.65" thickBot="1" x14ac:dyDescent="0.35">
      <c r="A732" s="6">
        <v>732</v>
      </c>
      <c r="B732" s="115"/>
      <c r="C732" s="5"/>
      <c r="D732" s="83"/>
      <c r="E732" s="83"/>
      <c r="F732" s="83"/>
      <c r="G732" s="5"/>
    </row>
    <row r="733" spans="1:12" x14ac:dyDescent="0.3">
      <c r="A733" s="6">
        <v>733</v>
      </c>
      <c r="B733" s="1281" t="s">
        <v>1605</v>
      </c>
      <c r="C733" s="501" t="s">
        <v>306</v>
      </c>
      <c r="D733" s="278">
        <f>$D$746/($D$66*1000)*100</f>
        <v>0.15343915343915346</v>
      </c>
      <c r="E733" s="91"/>
      <c r="F733" s="91"/>
      <c r="G733" s="110" t="s">
        <v>4</v>
      </c>
      <c r="H733" s="41" t="s">
        <v>629</v>
      </c>
      <c r="I733" s="110"/>
      <c r="J733" s="110"/>
      <c r="K733" s="110"/>
      <c r="L733" s="110"/>
    </row>
    <row r="734" spans="1:12" x14ac:dyDescent="0.3">
      <c r="A734" s="6">
        <v>734</v>
      </c>
      <c r="B734" s="1282"/>
      <c r="C734" s="501" t="s">
        <v>307</v>
      </c>
      <c r="D734" s="91">
        <f>$D$747/($D$67*1000)*100</f>
        <v>7.4358974358974358E-2</v>
      </c>
      <c r="E734" s="91"/>
      <c r="F734" s="91"/>
      <c r="G734" s="110" t="s">
        <v>4</v>
      </c>
      <c r="H734" s="41" t="s">
        <v>629</v>
      </c>
      <c r="I734" s="110"/>
      <c r="J734" s="110"/>
      <c r="K734" s="110"/>
      <c r="L734" s="110"/>
    </row>
    <row r="735" spans="1:12" x14ac:dyDescent="0.3">
      <c r="A735" s="6">
        <v>735</v>
      </c>
      <c r="B735" s="1282"/>
      <c r="C735" s="501" t="s">
        <v>245</v>
      </c>
      <c r="D735" s="278">
        <f>$D$748/($D$68*1000)*100</f>
        <v>0.14499999999999999</v>
      </c>
      <c r="E735" s="91"/>
      <c r="F735" s="91"/>
      <c r="G735" s="110" t="s">
        <v>4</v>
      </c>
      <c r="H735" s="41" t="s">
        <v>629</v>
      </c>
      <c r="I735" s="110"/>
      <c r="J735" s="110"/>
      <c r="K735" s="110"/>
      <c r="L735" s="110"/>
    </row>
    <row r="736" spans="1:12" x14ac:dyDescent="0.3">
      <c r="A736" s="6">
        <v>736</v>
      </c>
      <c r="B736" s="1282"/>
      <c r="C736" s="258" t="s">
        <v>244</v>
      </c>
      <c r="D736" s="252">
        <f>$D$749/($D$69*1000)*100</f>
        <v>1.3283465336853426</v>
      </c>
      <c r="E736" s="215"/>
      <c r="F736" s="215"/>
      <c r="G736" s="279" t="s">
        <v>4</v>
      </c>
      <c r="H736" s="212" t="s">
        <v>629</v>
      </c>
      <c r="I736" s="55"/>
      <c r="J736" s="55"/>
      <c r="K736" s="55"/>
      <c r="L736" s="55"/>
    </row>
    <row r="737" spans="1:13" x14ac:dyDescent="0.3">
      <c r="A737" s="6">
        <v>737</v>
      </c>
      <c r="B737" s="1282"/>
      <c r="C737" s="478" t="s">
        <v>243</v>
      </c>
      <c r="D737" s="144">
        <f>$D$750/($D$72*1000)*100</f>
        <v>0.13585</v>
      </c>
      <c r="E737" s="86"/>
      <c r="F737" s="86"/>
      <c r="G737" s="226" t="s">
        <v>4</v>
      </c>
      <c r="H737" s="50" t="s">
        <v>629</v>
      </c>
      <c r="I737" s="49"/>
      <c r="J737" s="49"/>
      <c r="K737" s="49"/>
      <c r="L737" s="49"/>
    </row>
    <row r="738" spans="1:13" x14ac:dyDescent="0.3">
      <c r="A738" s="6">
        <v>738</v>
      </c>
      <c r="B738" s="1282"/>
      <c r="C738" s="502" t="s">
        <v>242</v>
      </c>
      <c r="D738" s="254">
        <f>$D$751/($D$73*1000)*100</f>
        <v>7.6999819940926306</v>
      </c>
      <c r="E738" s="82"/>
      <c r="F738" s="82"/>
      <c r="G738" s="51" t="s">
        <v>4</v>
      </c>
      <c r="H738" s="121" t="s">
        <v>629</v>
      </c>
      <c r="I738" s="53"/>
      <c r="J738" s="53"/>
      <c r="K738" s="53"/>
      <c r="L738" s="53"/>
    </row>
    <row r="739" spans="1:13" x14ac:dyDescent="0.3">
      <c r="A739" s="6">
        <v>739</v>
      </c>
      <c r="B739" s="1282"/>
      <c r="C739" s="503" t="s">
        <v>241</v>
      </c>
      <c r="D739" s="661" t="s">
        <v>1833</v>
      </c>
      <c r="E739" s="393"/>
      <c r="F739" s="393"/>
      <c r="G739" s="417" t="s">
        <v>4</v>
      </c>
      <c r="H739" s="396"/>
      <c r="I739" s="166"/>
      <c r="J739" s="166"/>
      <c r="K739" s="166"/>
      <c r="L739" s="166"/>
    </row>
    <row r="740" spans="1:13" x14ac:dyDescent="0.3">
      <c r="A740" s="6">
        <v>740</v>
      </c>
      <c r="B740" s="1282"/>
      <c r="C740" s="502" t="s">
        <v>333</v>
      </c>
      <c r="D740" s="201">
        <v>0</v>
      </c>
      <c r="E740" s="82"/>
      <c r="F740" s="82"/>
      <c r="G740" s="51" t="s">
        <v>4</v>
      </c>
      <c r="H740" s="53"/>
      <c r="I740" s="25" t="s">
        <v>860</v>
      </c>
      <c r="J740" s="53"/>
      <c r="K740" s="53"/>
      <c r="L740" s="53"/>
    </row>
    <row r="741" spans="1:13" x14ac:dyDescent="0.3">
      <c r="A741" s="6">
        <v>741</v>
      </c>
      <c r="B741" s="1282"/>
      <c r="C741" s="478" t="s">
        <v>237</v>
      </c>
      <c r="D741" s="330">
        <f>$D$754/($D$76*1000)*100</f>
        <v>0.22641666666666665</v>
      </c>
      <c r="E741" s="86"/>
      <c r="F741" s="86"/>
      <c r="G741" s="226" t="s">
        <v>4</v>
      </c>
      <c r="H741" s="50" t="s">
        <v>629</v>
      </c>
      <c r="I741" s="49"/>
      <c r="J741" s="49"/>
      <c r="K741" s="49"/>
      <c r="L741" s="49"/>
    </row>
    <row r="742" spans="1:13" x14ac:dyDescent="0.3">
      <c r="A742" s="6">
        <v>742</v>
      </c>
      <c r="B742" s="1282"/>
      <c r="C742" s="501" t="s">
        <v>239</v>
      </c>
      <c r="D742" s="573">
        <f>$D$755/($D$77*1000)*100</f>
        <v>8.3588565708540692</v>
      </c>
      <c r="E742" s="91"/>
      <c r="F742" s="91"/>
      <c r="G742" s="233" t="s">
        <v>4</v>
      </c>
      <c r="H742" s="41" t="s">
        <v>629</v>
      </c>
      <c r="I742" s="110"/>
      <c r="J742" s="110"/>
      <c r="K742" s="110"/>
      <c r="L742" s="110"/>
    </row>
    <row r="743" spans="1:13" x14ac:dyDescent="0.3">
      <c r="A743" s="6">
        <v>743</v>
      </c>
      <c r="B743" s="1282"/>
      <c r="C743" s="501" t="s">
        <v>238</v>
      </c>
      <c r="D743" s="91">
        <f>$D$756/($D$78*1000)*100</f>
        <v>3.2894736842105261E-3</v>
      </c>
      <c r="E743" s="91"/>
      <c r="F743" s="91"/>
      <c r="G743" s="233" t="s">
        <v>4</v>
      </c>
      <c r="H743" s="41" t="s">
        <v>629</v>
      </c>
      <c r="I743" s="110"/>
      <c r="J743" s="110"/>
      <c r="K743" s="110"/>
      <c r="L743" s="110"/>
    </row>
    <row r="744" spans="1:13" ht="15.65" thickBot="1" x14ac:dyDescent="0.35">
      <c r="A744" s="6">
        <v>744</v>
      </c>
      <c r="B744" s="1283"/>
      <c r="C744" s="539" t="s">
        <v>240</v>
      </c>
      <c r="D744" s="665" t="s">
        <v>1833</v>
      </c>
      <c r="E744" s="235"/>
      <c r="F744" s="235"/>
      <c r="G744" s="236"/>
      <c r="H744" s="237"/>
      <c r="I744" s="238"/>
      <c r="J744" s="238"/>
      <c r="K744" s="238"/>
      <c r="L744" s="238"/>
    </row>
    <row r="745" spans="1:13" ht="15.65" thickBot="1" x14ac:dyDescent="0.35">
      <c r="A745" s="6">
        <v>745</v>
      </c>
      <c r="B745" s="485"/>
      <c r="C745" s="5"/>
      <c r="D745" s="971"/>
      <c r="E745" s="105"/>
      <c r="F745" s="105"/>
      <c r="G745" s="31"/>
      <c r="H745" s="12"/>
      <c r="K745" s="131"/>
      <c r="L745" s="131"/>
    </row>
    <row r="746" spans="1:13" ht="15.65" thickBot="1" x14ac:dyDescent="0.35">
      <c r="A746" s="6">
        <v>746</v>
      </c>
      <c r="B746" s="1281" t="s">
        <v>1606</v>
      </c>
      <c r="C746" s="970" t="s">
        <v>288</v>
      </c>
      <c r="D746" s="964">
        <v>29</v>
      </c>
      <c r="E746" s="972"/>
      <c r="F746" s="963" t="s">
        <v>2517</v>
      </c>
      <c r="G746" s="110" t="s">
        <v>5</v>
      </c>
      <c r="H746" s="221" t="s">
        <v>858</v>
      </c>
      <c r="I746" s="110" t="s">
        <v>859</v>
      </c>
      <c r="J746" s="956"/>
      <c r="K746" s="957" t="s">
        <v>1833</v>
      </c>
      <c r="L746" s="957" t="s">
        <v>1833</v>
      </c>
      <c r="M746" s="29"/>
    </row>
    <row r="747" spans="1:13" ht="15.65" thickBot="1" x14ac:dyDescent="0.35">
      <c r="A747" s="6">
        <v>747</v>
      </c>
      <c r="B747" s="1282"/>
      <c r="C747" s="970" t="s">
        <v>289</v>
      </c>
      <c r="D747" s="1176">
        <v>29</v>
      </c>
      <c r="E747" s="972"/>
      <c r="F747" s="963" t="s">
        <v>2517</v>
      </c>
      <c r="G747" s="110" t="s">
        <v>5</v>
      </c>
      <c r="H747" s="221" t="s">
        <v>858</v>
      </c>
      <c r="I747" s="110" t="s">
        <v>859</v>
      </c>
      <c r="J747" s="956"/>
      <c r="K747" s="957" t="s">
        <v>1833</v>
      </c>
      <c r="L747" s="957" t="s">
        <v>1833</v>
      </c>
      <c r="M747" s="29"/>
    </row>
    <row r="748" spans="1:13" ht="15.65" thickBot="1" x14ac:dyDescent="0.35">
      <c r="A748" s="6">
        <v>748</v>
      </c>
      <c r="B748" s="1282"/>
      <c r="C748" s="970" t="s">
        <v>246</v>
      </c>
      <c r="D748" s="1177">
        <v>29</v>
      </c>
      <c r="E748" s="972"/>
      <c r="F748" s="972"/>
      <c r="G748" s="110" t="s">
        <v>5</v>
      </c>
      <c r="H748" s="41" t="s">
        <v>861</v>
      </c>
      <c r="I748" s="110" t="s">
        <v>408</v>
      </c>
      <c r="J748" s="110"/>
      <c r="K748" s="262"/>
      <c r="L748" s="262"/>
    </row>
    <row r="749" spans="1:13" ht="15.65" thickBot="1" x14ac:dyDescent="0.35">
      <c r="A749" s="6">
        <v>749</v>
      </c>
      <c r="B749" s="1282"/>
      <c r="C749" s="973" t="s">
        <v>247</v>
      </c>
      <c r="D749" s="1117">
        <f>$D$754</f>
        <v>135.85</v>
      </c>
      <c r="E749" s="974"/>
      <c r="F749" s="974"/>
      <c r="G749" s="55" t="s">
        <v>5</v>
      </c>
      <c r="H749" s="55" t="s">
        <v>2495</v>
      </c>
      <c r="I749" s="55" t="s">
        <v>862</v>
      </c>
      <c r="J749" s="55"/>
      <c r="K749" s="55" t="s">
        <v>1926</v>
      </c>
      <c r="L749" s="55" t="s">
        <v>863</v>
      </c>
    </row>
    <row r="750" spans="1:13" ht="15.65" thickBot="1" x14ac:dyDescent="0.35">
      <c r="A750" s="6">
        <v>750</v>
      </c>
      <c r="B750" s="1282"/>
      <c r="C750" s="931" t="s">
        <v>248</v>
      </c>
      <c r="D750" s="1118">
        <f>D754</f>
        <v>135.85</v>
      </c>
      <c r="E750" s="917"/>
      <c r="F750" s="917"/>
      <c r="G750" s="49" t="s">
        <v>5</v>
      </c>
      <c r="H750" s="49" t="s">
        <v>2494</v>
      </c>
      <c r="I750" s="49" t="s">
        <v>862</v>
      </c>
      <c r="J750" s="49"/>
      <c r="K750" s="49" t="s">
        <v>1916</v>
      </c>
      <c r="L750" s="49" t="s">
        <v>863</v>
      </c>
    </row>
    <row r="751" spans="1:13" x14ac:dyDescent="0.3">
      <c r="A751" s="6">
        <v>751</v>
      </c>
      <c r="B751" s="1282"/>
      <c r="C751" s="502" t="s">
        <v>253</v>
      </c>
      <c r="D751" s="1116">
        <f>4/3*PI()*2.5^3</f>
        <v>65.449846949787357</v>
      </c>
      <c r="E751" s="82"/>
      <c r="F751" s="82"/>
      <c r="G751" s="53" t="s">
        <v>5</v>
      </c>
      <c r="H751" s="53" t="s">
        <v>684</v>
      </c>
      <c r="I751" s="53" t="s">
        <v>2493</v>
      </c>
      <c r="J751" s="53" t="s">
        <v>1897</v>
      </c>
      <c r="K751" s="177" t="s">
        <v>1396</v>
      </c>
      <c r="L751" s="53" t="s">
        <v>686</v>
      </c>
    </row>
    <row r="752" spans="1:13" x14ac:dyDescent="0.3">
      <c r="A752" s="6">
        <v>752</v>
      </c>
      <c r="B752" s="1282"/>
      <c r="C752" s="503" t="s">
        <v>254</v>
      </c>
      <c r="D752" s="661" t="s">
        <v>1833</v>
      </c>
      <c r="E752" s="393"/>
      <c r="F752" s="393"/>
      <c r="G752" s="166" t="s">
        <v>5</v>
      </c>
      <c r="H752" s="166"/>
      <c r="I752" s="166"/>
      <c r="J752" s="166"/>
      <c r="K752" s="166"/>
      <c r="L752" s="166"/>
    </row>
    <row r="753" spans="1:13" x14ac:dyDescent="0.3">
      <c r="A753" s="6">
        <v>753</v>
      </c>
      <c r="B753" s="1282"/>
      <c r="C753" s="502" t="s">
        <v>485</v>
      </c>
      <c r="D753" s="201">
        <v>0</v>
      </c>
      <c r="E753" s="281"/>
      <c r="F753" s="281"/>
      <c r="G753" s="53" t="s">
        <v>5</v>
      </c>
      <c r="H753" s="53"/>
      <c r="I753" s="25" t="s">
        <v>860</v>
      </c>
      <c r="J753" s="53"/>
      <c r="K753" s="53"/>
      <c r="L753" s="53"/>
    </row>
    <row r="754" spans="1:13" x14ac:dyDescent="0.3">
      <c r="A754" s="6">
        <v>754</v>
      </c>
      <c r="B754" s="1282"/>
      <c r="C754" s="478" t="s">
        <v>249</v>
      </c>
      <c r="D754" s="320">
        <v>135.85</v>
      </c>
      <c r="E754" s="225"/>
      <c r="F754" s="225"/>
      <c r="G754" s="49" t="s">
        <v>5</v>
      </c>
      <c r="H754" s="49" t="s">
        <v>2494</v>
      </c>
      <c r="I754" s="49" t="s">
        <v>1897</v>
      </c>
      <c r="J754" s="49"/>
      <c r="K754" s="49" t="s">
        <v>1916</v>
      </c>
      <c r="L754" s="49" t="s">
        <v>863</v>
      </c>
    </row>
    <row r="755" spans="1:13" ht="15.65" thickBot="1" x14ac:dyDescent="0.35">
      <c r="A755" s="6">
        <v>755</v>
      </c>
      <c r="B755" s="1282"/>
      <c r="C755" s="501" t="s">
        <v>250</v>
      </c>
      <c r="D755" s="1115">
        <f>4/3*PI()*2.5^3</f>
        <v>65.449846949787357</v>
      </c>
      <c r="E755" s="222"/>
      <c r="F755" s="222"/>
      <c r="G755" s="110" t="s">
        <v>5</v>
      </c>
      <c r="H755" s="110" t="s">
        <v>2496</v>
      </c>
      <c r="I755" s="110" t="s">
        <v>2497</v>
      </c>
      <c r="J755" s="110"/>
      <c r="K755" s="110" t="s">
        <v>1916</v>
      </c>
      <c r="L755" s="977" t="s">
        <v>863</v>
      </c>
    </row>
    <row r="756" spans="1:13" ht="15.65" thickBot="1" x14ac:dyDescent="0.35">
      <c r="A756" s="6">
        <v>756</v>
      </c>
      <c r="B756" s="1282"/>
      <c r="C756" s="970" t="s">
        <v>251</v>
      </c>
      <c r="D756" s="1113">
        <v>125</v>
      </c>
      <c r="E756" s="963"/>
      <c r="F756" s="963"/>
      <c r="G756" s="110" t="s">
        <v>5</v>
      </c>
      <c r="H756" s="110" t="s">
        <v>857</v>
      </c>
      <c r="I756" s="110" t="s">
        <v>2498</v>
      </c>
      <c r="J756" s="110"/>
      <c r="K756" s="962" t="s">
        <v>1917</v>
      </c>
      <c r="L756" s="978" t="s">
        <v>1918</v>
      </c>
      <c r="M756" s="29"/>
    </row>
    <row r="757" spans="1:13" ht="15.65" thickBot="1" x14ac:dyDescent="0.35">
      <c r="A757" s="6">
        <v>757</v>
      </c>
      <c r="B757" s="1283"/>
      <c r="C757" s="487" t="s">
        <v>252</v>
      </c>
      <c r="D757" s="979" t="s">
        <v>1833</v>
      </c>
      <c r="E757" s="84"/>
      <c r="F757" s="84"/>
      <c r="G757" s="3" t="s">
        <v>5</v>
      </c>
      <c r="H757" s="3"/>
      <c r="I757" s="3"/>
      <c r="J757" s="3"/>
      <c r="K757" s="3"/>
      <c r="L757" s="818"/>
    </row>
    <row r="758" spans="1:13" ht="15.65" thickBot="1" x14ac:dyDescent="0.35">
      <c r="A758" s="6">
        <v>758</v>
      </c>
      <c r="B758" s="485"/>
      <c r="C758" s="5"/>
      <c r="D758" s="75"/>
      <c r="E758" s="75"/>
      <c r="F758" s="75"/>
      <c r="G758" s="11"/>
    </row>
    <row r="759" spans="1:13" ht="15.05" customHeight="1" x14ac:dyDescent="0.3">
      <c r="A759" s="6">
        <v>759</v>
      </c>
      <c r="B759" s="1278" t="s">
        <v>1607</v>
      </c>
      <c r="C759" s="501" t="s">
        <v>575</v>
      </c>
      <c r="D759" s="273">
        <f>$D$746*$D$41/1000000000</f>
        <v>1.6965000000000001E-3</v>
      </c>
      <c r="E759" s="91"/>
      <c r="F759" s="91"/>
      <c r="G759" s="110" t="s">
        <v>537</v>
      </c>
      <c r="H759" s="41" t="s">
        <v>629</v>
      </c>
      <c r="I759" s="110" t="s">
        <v>415</v>
      </c>
      <c r="J759" s="110"/>
      <c r="K759" s="110"/>
      <c r="L759" s="110"/>
    </row>
    <row r="760" spans="1:13" x14ac:dyDescent="0.3">
      <c r="A760" s="6">
        <v>760</v>
      </c>
      <c r="B760" s="1279"/>
      <c r="C760" s="501" t="s">
        <v>576</v>
      </c>
      <c r="D760" s="273">
        <f>$D$747*$D$42/1000000000</f>
        <v>1.2440999999999999E-3</v>
      </c>
      <c r="E760" s="91"/>
      <c r="F760" s="91"/>
      <c r="G760" s="110" t="s">
        <v>537</v>
      </c>
      <c r="H760" s="41" t="s">
        <v>629</v>
      </c>
      <c r="I760" s="110" t="s">
        <v>415</v>
      </c>
      <c r="J760" s="110"/>
      <c r="K760" s="110"/>
      <c r="L760" s="110"/>
    </row>
    <row r="761" spans="1:13" x14ac:dyDescent="0.3">
      <c r="A761" s="6">
        <v>761</v>
      </c>
      <c r="B761" s="1279"/>
      <c r="C761" s="501" t="s">
        <v>577</v>
      </c>
      <c r="D761" s="454">
        <f>$D$748*$D$43/1000000000</f>
        <v>4.176E-5</v>
      </c>
      <c r="E761" s="91"/>
      <c r="F761" s="91"/>
      <c r="G761" s="110" t="s">
        <v>537</v>
      </c>
      <c r="H761" s="41" t="s">
        <v>629</v>
      </c>
      <c r="I761" s="110" t="s">
        <v>415</v>
      </c>
      <c r="J761" s="110"/>
      <c r="K761" s="110"/>
      <c r="L761" s="110"/>
    </row>
    <row r="762" spans="1:13" x14ac:dyDescent="0.3">
      <c r="A762" s="6">
        <v>762</v>
      </c>
      <c r="B762" s="1279"/>
      <c r="C762" s="258" t="s">
        <v>578</v>
      </c>
      <c r="D762" s="449">
        <f>$D$749*$D$44/1000000000</f>
        <v>8.5585499999999998E-3</v>
      </c>
      <c r="E762" s="215"/>
      <c r="F762" s="215"/>
      <c r="G762" s="55" t="s">
        <v>537</v>
      </c>
      <c r="H762" s="212" t="s">
        <v>629</v>
      </c>
      <c r="I762" s="55" t="s">
        <v>415</v>
      </c>
      <c r="J762" s="55"/>
      <c r="K762" s="55"/>
      <c r="L762" s="55"/>
    </row>
    <row r="763" spans="1:13" x14ac:dyDescent="0.3">
      <c r="A763" s="6">
        <v>763</v>
      </c>
      <c r="B763" s="1279"/>
      <c r="C763" s="478" t="s">
        <v>579</v>
      </c>
      <c r="D763" s="86">
        <f>$D$750*$D$47/1000000000</f>
        <v>2.1396374999999999E-2</v>
      </c>
      <c r="E763" s="86"/>
      <c r="F763" s="86"/>
      <c r="G763" s="49" t="s">
        <v>537</v>
      </c>
      <c r="H763" s="50" t="s">
        <v>629</v>
      </c>
      <c r="I763" s="49" t="s">
        <v>415</v>
      </c>
      <c r="J763" s="49"/>
      <c r="K763" s="49"/>
      <c r="L763" s="49"/>
    </row>
    <row r="764" spans="1:13" x14ac:dyDescent="0.3">
      <c r="A764" s="6">
        <v>764</v>
      </c>
      <c r="B764" s="1279"/>
      <c r="C764" s="502" t="s">
        <v>580</v>
      </c>
      <c r="D764" s="281">
        <f>$D$751*$D$48/1000000000</f>
        <v>3.2070425005395805E-3</v>
      </c>
      <c r="E764" s="82"/>
      <c r="F764" s="82"/>
      <c r="G764" s="53" t="s">
        <v>537</v>
      </c>
      <c r="H764" s="121" t="s">
        <v>629</v>
      </c>
      <c r="I764" s="53" t="s">
        <v>415</v>
      </c>
      <c r="J764" s="53"/>
      <c r="K764" s="53"/>
      <c r="L764" s="53"/>
    </row>
    <row r="765" spans="1:13" x14ac:dyDescent="0.3">
      <c r="A765" s="6">
        <v>765</v>
      </c>
      <c r="B765" s="1279"/>
      <c r="C765" s="503" t="s">
        <v>581</v>
      </c>
      <c r="D765" s="661" t="s">
        <v>1833</v>
      </c>
      <c r="E765" s="393"/>
      <c r="F765" s="393"/>
      <c r="G765" s="166" t="s">
        <v>537</v>
      </c>
      <c r="H765" s="166"/>
      <c r="I765" s="166"/>
      <c r="J765" s="166"/>
      <c r="K765" s="166"/>
      <c r="L765" s="166"/>
    </row>
    <row r="766" spans="1:13" x14ac:dyDescent="0.3">
      <c r="A766" s="6">
        <v>766</v>
      </c>
      <c r="B766" s="1279"/>
      <c r="C766" s="504" t="s">
        <v>582</v>
      </c>
      <c r="D766" s="447">
        <v>0</v>
      </c>
      <c r="E766" s="430"/>
      <c r="F766" s="430"/>
      <c r="G766" s="375" t="s">
        <v>537</v>
      </c>
      <c r="H766" s="422"/>
      <c r="I766" s="375" t="s">
        <v>2394</v>
      </c>
      <c r="J766" s="375"/>
      <c r="K766" s="375"/>
      <c r="L766" s="375"/>
    </row>
    <row r="767" spans="1:13" x14ac:dyDescent="0.3">
      <c r="A767" s="6">
        <v>767</v>
      </c>
      <c r="B767" s="1279"/>
      <c r="C767" s="478" t="s">
        <v>583</v>
      </c>
      <c r="D767" s="86">
        <f>$D$754*$D$51/1000000000</f>
        <v>1.0167014E-2</v>
      </c>
      <c r="E767" s="86"/>
      <c r="F767" s="86"/>
      <c r="G767" s="49" t="s">
        <v>537</v>
      </c>
      <c r="H767" s="50" t="s">
        <v>629</v>
      </c>
      <c r="I767" s="49" t="s">
        <v>415</v>
      </c>
      <c r="J767" s="49"/>
      <c r="K767" s="49"/>
      <c r="L767" s="49"/>
    </row>
    <row r="768" spans="1:13" x14ac:dyDescent="0.3">
      <c r="A768" s="6">
        <v>768</v>
      </c>
      <c r="B768" s="1279"/>
      <c r="C768" s="501" t="s">
        <v>584</v>
      </c>
      <c r="D768" s="273">
        <f>$D$755*$D$52/1000000000</f>
        <v>5.242532740677968E-3</v>
      </c>
      <c r="E768" s="91"/>
      <c r="F768" s="91"/>
      <c r="G768" s="110" t="s">
        <v>537</v>
      </c>
      <c r="H768" s="41" t="s">
        <v>629</v>
      </c>
      <c r="I768" s="110"/>
      <c r="J768" s="110"/>
      <c r="K768" s="110"/>
      <c r="L768" s="110"/>
    </row>
    <row r="769" spans="1:12" x14ac:dyDescent="0.3">
      <c r="A769" s="6">
        <v>769</v>
      </c>
      <c r="B769" s="1279"/>
      <c r="C769" s="501" t="s">
        <v>585</v>
      </c>
      <c r="D769" s="454">
        <f>$D$756*$D$53/1000000000</f>
        <v>1.5E-5</v>
      </c>
      <c r="E769" s="91"/>
      <c r="F769" s="91"/>
      <c r="G769" s="110" t="s">
        <v>537</v>
      </c>
      <c r="H769" s="41" t="s">
        <v>629</v>
      </c>
      <c r="I769" s="110" t="s">
        <v>415</v>
      </c>
      <c r="J769" s="110"/>
      <c r="K769" s="110"/>
      <c r="L769" s="110"/>
    </row>
    <row r="770" spans="1:12" x14ac:dyDescent="0.3">
      <c r="A770" s="6">
        <v>770</v>
      </c>
      <c r="B770" s="1279"/>
      <c r="C770" s="487" t="s">
        <v>586</v>
      </c>
      <c r="D770" s="652" t="s">
        <v>1833</v>
      </c>
      <c r="E770" s="84"/>
      <c r="F770" s="84"/>
      <c r="G770" s="3" t="s">
        <v>537</v>
      </c>
      <c r="H770" s="3"/>
      <c r="I770" s="3" t="s">
        <v>415</v>
      </c>
      <c r="J770" s="3"/>
      <c r="K770" s="3"/>
      <c r="L770" s="3"/>
    </row>
    <row r="771" spans="1:12" x14ac:dyDescent="0.3">
      <c r="A771" s="6">
        <v>771</v>
      </c>
      <c r="B771" s="1279"/>
      <c r="C771" s="274"/>
      <c r="D771" s="75"/>
      <c r="E771" s="75"/>
      <c r="F771" s="75"/>
      <c r="G771" s="11"/>
    </row>
    <row r="772" spans="1:12" s="11" customFormat="1" ht="15.65" thickBot="1" x14ac:dyDescent="0.35">
      <c r="A772" s="6">
        <v>772</v>
      </c>
      <c r="B772" s="1279"/>
      <c r="C772" s="492"/>
      <c r="D772" s="114"/>
      <c r="E772" s="114"/>
      <c r="F772" s="114"/>
      <c r="G772" s="115"/>
    </row>
    <row r="773" spans="1:12" ht="15.65" thickBot="1" x14ac:dyDescent="0.35">
      <c r="A773" s="6">
        <v>773</v>
      </c>
      <c r="B773" s="1280"/>
      <c r="C773" s="521" t="s">
        <v>587</v>
      </c>
      <c r="D773" s="119">
        <f>SUM(D759:D764)+$D$767+$D$768+$D$769</f>
        <v>5.1568874241217547E-2</v>
      </c>
      <c r="E773" s="307"/>
      <c r="F773" s="307"/>
      <c r="G773" s="129" t="s">
        <v>537</v>
      </c>
      <c r="H773" s="4" t="s">
        <v>629</v>
      </c>
    </row>
    <row r="774" spans="1:12" s="131" customFormat="1" ht="15.65" thickBot="1" x14ac:dyDescent="0.35">
      <c r="A774" s="6">
        <v>774</v>
      </c>
      <c r="B774" s="500"/>
      <c r="C774" s="39"/>
      <c r="D774" s="494"/>
      <c r="E774" s="533"/>
      <c r="F774" s="533"/>
      <c r="G774" s="151"/>
      <c r="H774" s="286"/>
    </row>
    <row r="775" spans="1:12" ht="15.05" customHeight="1" x14ac:dyDescent="0.3">
      <c r="A775" s="6">
        <v>775</v>
      </c>
      <c r="B775" s="1278" t="s">
        <v>1671</v>
      </c>
      <c r="C775" s="555" t="s">
        <v>1659</v>
      </c>
      <c r="D775" s="556">
        <f>$D$759*$D$17</f>
        <v>7.711363636363637E-2</v>
      </c>
      <c r="E775" s="556"/>
      <c r="F775" s="1202"/>
      <c r="G775" s="557" t="s">
        <v>948</v>
      </c>
      <c r="H775" s="41" t="s">
        <v>629</v>
      </c>
      <c r="I775" s="110"/>
      <c r="J775" s="110"/>
      <c r="K775" s="110"/>
      <c r="L775" s="110"/>
    </row>
    <row r="776" spans="1:12" x14ac:dyDescent="0.3">
      <c r="A776" s="6">
        <v>776</v>
      </c>
      <c r="B776" s="1279"/>
      <c r="C776" s="558" t="s">
        <v>1660</v>
      </c>
      <c r="D776" s="91">
        <f>$D$760*$D$17</f>
        <v>5.6549999999999996E-2</v>
      </c>
      <c r="E776" s="91"/>
      <c r="F776" s="1203"/>
      <c r="G776" s="559" t="s">
        <v>948</v>
      </c>
      <c r="H776" s="41" t="s">
        <v>629</v>
      </c>
      <c r="I776" s="110"/>
      <c r="J776" s="110"/>
      <c r="K776" s="110"/>
      <c r="L776" s="110"/>
    </row>
    <row r="777" spans="1:12" x14ac:dyDescent="0.3">
      <c r="A777" s="6">
        <v>777</v>
      </c>
      <c r="B777" s="1279"/>
      <c r="C777" s="558" t="s">
        <v>1661</v>
      </c>
      <c r="D777" s="273">
        <f>$D$761*$D$17</f>
        <v>1.8981818181818182E-3</v>
      </c>
      <c r="E777" s="91"/>
      <c r="F777" s="1203"/>
      <c r="G777" s="559" t="s">
        <v>948</v>
      </c>
      <c r="H777" s="41" t="s">
        <v>629</v>
      </c>
      <c r="I777" s="110"/>
      <c r="J777" s="110"/>
      <c r="K777" s="110"/>
      <c r="L777" s="110"/>
    </row>
    <row r="778" spans="1:12" x14ac:dyDescent="0.3">
      <c r="A778" s="6">
        <v>778</v>
      </c>
      <c r="B778" s="1279"/>
      <c r="C778" s="560" t="s">
        <v>1662</v>
      </c>
      <c r="D778" s="214">
        <f>$D$762*$D$17</f>
        <v>0.38902499999999995</v>
      </c>
      <c r="E778" s="215"/>
      <c r="F778" s="1204"/>
      <c r="G778" s="561" t="s">
        <v>948</v>
      </c>
      <c r="H778" s="212" t="s">
        <v>629</v>
      </c>
      <c r="I778" s="55"/>
      <c r="J778" s="55"/>
      <c r="K778" s="55"/>
      <c r="L778" s="55"/>
    </row>
    <row r="779" spans="1:12" x14ac:dyDescent="0.3">
      <c r="A779" s="6">
        <v>779</v>
      </c>
      <c r="B779" s="1279"/>
      <c r="C779" s="562" t="s">
        <v>1663</v>
      </c>
      <c r="D779" s="144">
        <f>$D$763*$D$17</f>
        <v>0.97256249999999989</v>
      </c>
      <c r="E779" s="86"/>
      <c r="F779" s="1205"/>
      <c r="G779" s="563" t="s">
        <v>948</v>
      </c>
      <c r="H779" s="50" t="s">
        <v>629</v>
      </c>
      <c r="I779" s="49"/>
      <c r="J779" s="49"/>
      <c r="K779" s="49"/>
      <c r="L779" s="49"/>
    </row>
    <row r="780" spans="1:12" x14ac:dyDescent="0.3">
      <c r="A780" s="6">
        <v>780</v>
      </c>
      <c r="B780" s="1279"/>
      <c r="C780" s="564" t="s">
        <v>1664</v>
      </c>
      <c r="D780" s="143">
        <f>$D$764*$D$17</f>
        <v>0.14577465911543547</v>
      </c>
      <c r="E780" s="82"/>
      <c r="F780" s="1206"/>
      <c r="G780" s="565" t="s">
        <v>948</v>
      </c>
      <c r="H780" s="121" t="s">
        <v>629</v>
      </c>
      <c r="I780" s="53"/>
      <c r="J780" s="53"/>
      <c r="K780" s="53"/>
      <c r="L780" s="53"/>
    </row>
    <row r="781" spans="1:12" x14ac:dyDescent="0.3">
      <c r="A781" s="6">
        <v>781</v>
      </c>
      <c r="B781" s="1279"/>
      <c r="C781" s="566" t="s">
        <v>1665</v>
      </c>
      <c r="D781" s="661" t="s">
        <v>1833</v>
      </c>
      <c r="E781" s="393"/>
      <c r="F781" s="1207"/>
      <c r="G781" s="567" t="s">
        <v>948</v>
      </c>
      <c r="H781" s="166"/>
      <c r="I781" s="166"/>
      <c r="J781" s="166"/>
      <c r="K781" s="166"/>
      <c r="L781" s="166"/>
    </row>
    <row r="782" spans="1:12" x14ac:dyDescent="0.3">
      <c r="A782" s="6">
        <v>782</v>
      </c>
      <c r="B782" s="1279"/>
      <c r="C782" s="582" t="s">
        <v>1666</v>
      </c>
      <c r="D782" s="430">
        <f>$D$766*$D$17</f>
        <v>0</v>
      </c>
      <c r="E782" s="430"/>
      <c r="F782" s="1208"/>
      <c r="G782" s="583" t="s">
        <v>948</v>
      </c>
      <c r="H782" s="422" t="s">
        <v>629</v>
      </c>
      <c r="I782" s="375"/>
      <c r="J782" s="375"/>
      <c r="K782" s="375"/>
      <c r="L782" s="375"/>
    </row>
    <row r="783" spans="1:12" x14ac:dyDescent="0.3">
      <c r="A783" s="6">
        <v>783</v>
      </c>
      <c r="B783" s="1279"/>
      <c r="C783" s="562" t="s">
        <v>1667</v>
      </c>
      <c r="D783" s="144">
        <f>$D$767*$D$17</f>
        <v>0.46213700000000002</v>
      </c>
      <c r="E783" s="86"/>
      <c r="F783" s="1205"/>
      <c r="G783" s="563" t="s">
        <v>948</v>
      </c>
      <c r="H783" s="50" t="s">
        <v>629</v>
      </c>
      <c r="I783" s="49"/>
      <c r="J783" s="49"/>
      <c r="K783" s="49"/>
      <c r="L783" s="49"/>
    </row>
    <row r="784" spans="1:12" x14ac:dyDescent="0.3">
      <c r="A784" s="6">
        <v>784</v>
      </c>
      <c r="B784" s="1279"/>
      <c r="C784" s="558" t="s">
        <v>1668</v>
      </c>
      <c r="D784" s="278">
        <f>$D$768*$D$17</f>
        <v>0.23829694275808944</v>
      </c>
      <c r="E784" s="91"/>
      <c r="F784" s="1203"/>
      <c r="G784" s="559" t="s">
        <v>948</v>
      </c>
      <c r="H784" s="41" t="s">
        <v>629</v>
      </c>
      <c r="I784" s="110"/>
      <c r="J784" s="110"/>
      <c r="K784" s="110"/>
      <c r="L784" s="110"/>
    </row>
    <row r="785" spans="1:13" x14ac:dyDescent="0.3">
      <c r="A785" s="6">
        <v>785</v>
      </c>
      <c r="B785" s="1279"/>
      <c r="C785" s="558" t="s">
        <v>1669</v>
      </c>
      <c r="D785" s="273">
        <f>$D$769*$D$17</f>
        <v>6.8181818181818176E-4</v>
      </c>
      <c r="E785" s="91"/>
      <c r="F785" s="1203"/>
      <c r="G785" s="559" t="s">
        <v>948</v>
      </c>
      <c r="H785" s="41" t="s">
        <v>629</v>
      </c>
      <c r="I785" s="110"/>
      <c r="J785" s="110"/>
      <c r="K785" s="110"/>
      <c r="L785" s="110"/>
    </row>
    <row r="786" spans="1:13" x14ac:dyDescent="0.3">
      <c r="A786" s="6">
        <v>786</v>
      </c>
      <c r="B786" s="1279"/>
      <c r="C786" s="568" t="s">
        <v>1670</v>
      </c>
      <c r="D786" s="652" t="s">
        <v>1833</v>
      </c>
      <c r="E786" s="84"/>
      <c r="F786" s="1209"/>
      <c r="G786" s="569" t="s">
        <v>948</v>
      </c>
      <c r="H786" s="3"/>
      <c r="I786" s="3"/>
      <c r="J786" s="3"/>
      <c r="K786" s="3"/>
      <c r="L786" s="3"/>
    </row>
    <row r="787" spans="1:13" ht="15.65" thickBot="1" x14ac:dyDescent="0.35">
      <c r="A787" s="6">
        <v>787</v>
      </c>
      <c r="B787" s="1279"/>
      <c r="C787" s="570"/>
      <c r="D787" s="75"/>
      <c r="E787" s="75"/>
      <c r="F787" s="1210"/>
      <c r="G787" s="571"/>
    </row>
    <row r="788" spans="1:13" ht="15.65" customHeight="1" thickBot="1" x14ac:dyDescent="0.35">
      <c r="A788" s="6">
        <v>788</v>
      </c>
      <c r="B788" s="1280"/>
      <c r="C788" s="272" t="s">
        <v>1959</v>
      </c>
      <c r="D788" s="328">
        <f>$D$775+$D$776+$D$777+$D$778+$D$779+$D$780+$D$782+$D$783+$D$784+$D785</f>
        <v>2.3440397382371612</v>
      </c>
      <c r="E788" s="308"/>
      <c r="F788" s="308"/>
      <c r="G788" s="129" t="s">
        <v>948</v>
      </c>
      <c r="H788" s="4" t="s">
        <v>629</v>
      </c>
    </row>
    <row r="789" spans="1:13" x14ac:dyDescent="0.3">
      <c r="A789" s="6">
        <v>789</v>
      </c>
      <c r="B789" s="30"/>
      <c r="C789" s="530"/>
      <c r="D789" s="266"/>
      <c r="E789" s="266"/>
      <c r="F789" s="266"/>
      <c r="G789" s="125"/>
      <c r="H789" s="4"/>
    </row>
    <row r="790" spans="1:13" x14ac:dyDescent="0.3">
      <c r="A790" s="6">
        <v>790</v>
      </c>
      <c r="B790" s="250" t="s">
        <v>921</v>
      </c>
      <c r="C790" s="250" t="s">
        <v>921</v>
      </c>
      <c r="D790" s="106"/>
      <c r="E790" s="106"/>
      <c r="F790" s="106"/>
      <c r="G790" s="37"/>
      <c r="H790" s="446"/>
      <c r="I790" s="37"/>
      <c r="J790" s="37"/>
      <c r="K790" s="37"/>
      <c r="L790" s="37"/>
    </row>
    <row r="791" spans="1:13" s="11" customFormat="1" ht="15.65" thickBot="1" x14ac:dyDescent="0.35">
      <c r="A791" s="6">
        <v>791</v>
      </c>
      <c r="C791" s="5"/>
      <c r="D791" s="219"/>
      <c r="E791" s="83"/>
      <c r="F791" s="83"/>
      <c r="H791" s="4"/>
      <c r="K791" s="115"/>
      <c r="L791" s="115"/>
    </row>
    <row r="792" spans="1:13" ht="15.05" customHeight="1" thickBot="1" x14ac:dyDescent="0.35">
      <c r="A792" s="6">
        <v>792</v>
      </c>
      <c r="B792" s="536" t="s">
        <v>1611</v>
      </c>
      <c r="C792" s="883" t="s">
        <v>1713</v>
      </c>
      <c r="D792" s="1178">
        <v>0.91700000000000004</v>
      </c>
      <c r="E792" s="947"/>
      <c r="F792" s="947" t="s">
        <v>2516</v>
      </c>
      <c r="G792" s="17" t="s">
        <v>5</v>
      </c>
      <c r="H792" s="6" t="s">
        <v>864</v>
      </c>
      <c r="I792" s="2" t="s">
        <v>2511</v>
      </c>
      <c r="J792" s="602"/>
      <c r="K792" s="912" t="s">
        <v>1833</v>
      </c>
      <c r="L792" s="912" t="s">
        <v>1833</v>
      </c>
      <c r="M792" s="29"/>
    </row>
    <row r="793" spans="1:13" ht="15.05" customHeight="1" thickBot="1" x14ac:dyDescent="0.35">
      <c r="A793" s="6">
        <v>793</v>
      </c>
      <c r="B793" s="536"/>
      <c r="C793" s="5"/>
      <c r="D793" s="100"/>
      <c r="E793" s="83"/>
      <c r="F793" s="83"/>
      <c r="G793" s="17"/>
      <c r="H793" s="6"/>
      <c r="K793" s="30"/>
      <c r="L793" s="30"/>
    </row>
    <row r="794" spans="1:13" ht="15.65" thickBot="1" x14ac:dyDescent="0.35">
      <c r="A794" s="6">
        <v>794</v>
      </c>
      <c r="B794" s="1267" t="s">
        <v>1672</v>
      </c>
      <c r="C794" s="872" t="s">
        <v>1714</v>
      </c>
      <c r="D794" s="1114">
        <v>10</v>
      </c>
      <c r="E794" s="963"/>
      <c r="F794" s="963"/>
      <c r="G794" s="241" t="s">
        <v>27</v>
      </c>
      <c r="H794" s="241"/>
      <c r="I794" s="221" t="s">
        <v>491</v>
      </c>
      <c r="J794" s="110"/>
      <c r="K794" s="110"/>
      <c r="L794" s="110"/>
    </row>
    <row r="795" spans="1:13" ht="15.65" thickBot="1" x14ac:dyDescent="0.35">
      <c r="A795" s="6">
        <v>795</v>
      </c>
      <c r="B795" s="1268"/>
      <c r="C795" s="872" t="s">
        <v>1715</v>
      </c>
      <c r="D795" s="1114">
        <v>10</v>
      </c>
      <c r="E795" s="963"/>
      <c r="F795" s="963"/>
      <c r="G795" s="241" t="s">
        <v>27</v>
      </c>
      <c r="H795" s="241"/>
      <c r="I795" s="221" t="s">
        <v>491</v>
      </c>
      <c r="J795" s="110"/>
      <c r="K795" s="110"/>
      <c r="L795" s="110"/>
    </row>
    <row r="796" spans="1:13" x14ac:dyDescent="0.3">
      <c r="A796" s="6">
        <v>796</v>
      </c>
      <c r="B796" s="1268"/>
      <c r="C796" s="65" t="s">
        <v>1716</v>
      </c>
      <c r="D796" s="961" t="s">
        <v>1833</v>
      </c>
      <c r="E796" s="222"/>
      <c r="F796" s="222"/>
      <c r="G796" s="241" t="s">
        <v>27</v>
      </c>
      <c r="H796" s="221"/>
      <c r="I796" s="110"/>
      <c r="J796" s="110"/>
      <c r="K796" s="110"/>
      <c r="L796" s="110"/>
    </row>
    <row r="797" spans="1:13" x14ac:dyDescent="0.3">
      <c r="A797" s="6">
        <v>797</v>
      </c>
      <c r="B797" s="1268"/>
      <c r="C797" s="666" t="s">
        <v>1717</v>
      </c>
      <c r="D797" s="659" t="s">
        <v>1833</v>
      </c>
      <c r="E797" s="242"/>
      <c r="F797" s="242"/>
      <c r="G797" s="216" t="s">
        <v>27</v>
      </c>
      <c r="H797" s="69"/>
      <c r="I797" s="55"/>
      <c r="J797" s="55"/>
      <c r="K797" s="55"/>
      <c r="L797" s="55"/>
    </row>
    <row r="798" spans="1:13" x14ac:dyDescent="0.3">
      <c r="A798" s="6">
        <v>798</v>
      </c>
      <c r="B798" s="1268"/>
      <c r="C798" s="49" t="s">
        <v>1718</v>
      </c>
      <c r="D798" s="203">
        <f>$D$801</f>
        <v>91.603053435114518</v>
      </c>
      <c r="E798" s="86"/>
      <c r="F798" s="86"/>
      <c r="G798" s="227" t="s">
        <v>27</v>
      </c>
      <c r="H798" s="50" t="s">
        <v>629</v>
      </c>
      <c r="I798" s="67" t="s">
        <v>231</v>
      </c>
      <c r="J798" s="49"/>
      <c r="K798" s="49"/>
      <c r="L798" s="49"/>
    </row>
    <row r="799" spans="1:13" x14ac:dyDescent="0.3">
      <c r="A799" s="6">
        <v>799</v>
      </c>
      <c r="B799" s="1268"/>
      <c r="C799" s="25" t="s">
        <v>1719</v>
      </c>
      <c r="D799" s="660" t="s">
        <v>1833</v>
      </c>
      <c r="E799" s="85"/>
      <c r="F799" s="85"/>
      <c r="G799" s="64" t="s">
        <v>27</v>
      </c>
      <c r="H799" s="25"/>
      <c r="I799" s="53"/>
      <c r="J799" s="53"/>
      <c r="K799" s="53"/>
      <c r="L799" s="53"/>
    </row>
    <row r="800" spans="1:13" x14ac:dyDescent="0.3">
      <c r="A800" s="6">
        <v>800</v>
      </c>
      <c r="B800" s="1268"/>
      <c r="C800" s="70" t="s">
        <v>1720</v>
      </c>
      <c r="D800" s="661" t="s">
        <v>1833</v>
      </c>
      <c r="E800" s="240"/>
      <c r="F800" s="240"/>
      <c r="G800" s="394" t="s">
        <v>27</v>
      </c>
      <c r="H800" s="70"/>
      <c r="I800" s="166"/>
      <c r="J800" s="166"/>
      <c r="K800" s="166"/>
      <c r="L800" s="166"/>
    </row>
    <row r="801" spans="1:13" ht="15.65" thickBot="1" x14ac:dyDescent="0.35">
      <c r="A801" s="6">
        <v>801</v>
      </c>
      <c r="B801" s="1268"/>
      <c r="C801" s="49" t="s">
        <v>1721</v>
      </c>
      <c r="D801" s="980">
        <f>($D$827/100)*($D$76*1000)/$D$792</f>
        <v>91.603053435114518</v>
      </c>
      <c r="E801" s="86"/>
      <c r="F801" s="86"/>
      <c r="G801" s="227" t="s">
        <v>27</v>
      </c>
      <c r="H801" s="50" t="s">
        <v>629</v>
      </c>
      <c r="I801" s="67" t="s">
        <v>1872</v>
      </c>
      <c r="J801" s="49" t="s">
        <v>1897</v>
      </c>
      <c r="K801" s="758" t="s">
        <v>1897</v>
      </c>
      <c r="L801" s="49"/>
    </row>
    <row r="802" spans="1:13" ht="15.65" thickBot="1" x14ac:dyDescent="0.35">
      <c r="A802" s="6">
        <v>802</v>
      </c>
      <c r="B802" s="1268"/>
      <c r="C802" s="962" t="s">
        <v>1722</v>
      </c>
      <c r="D802" s="1179">
        <v>10</v>
      </c>
      <c r="E802" s="963" t="s">
        <v>1833</v>
      </c>
      <c r="F802" s="963"/>
      <c r="G802" s="221" t="s">
        <v>27</v>
      </c>
      <c r="H802" s="221" t="s">
        <v>117</v>
      </c>
      <c r="I802" s="110" t="s">
        <v>1919</v>
      </c>
      <c r="J802" s="110" t="s">
        <v>685</v>
      </c>
      <c r="K802" s="981" t="s">
        <v>1920</v>
      </c>
      <c r="L802" s="982" t="s">
        <v>1921</v>
      </c>
    </row>
    <row r="803" spans="1:13" ht="15.65" thickBot="1" x14ac:dyDescent="0.35">
      <c r="A803" s="6">
        <v>803</v>
      </c>
      <c r="B803" s="1268"/>
      <c r="C803" s="962" t="s">
        <v>1873</v>
      </c>
      <c r="D803" s="1179">
        <v>112</v>
      </c>
      <c r="E803" s="963"/>
      <c r="F803" s="963" t="s">
        <v>2515</v>
      </c>
      <c r="G803" s="221" t="s">
        <v>27</v>
      </c>
      <c r="H803" s="221" t="s">
        <v>382</v>
      </c>
      <c r="I803" s="110" t="s">
        <v>236</v>
      </c>
      <c r="J803" s="956" t="s">
        <v>685</v>
      </c>
      <c r="K803" s="983" t="s">
        <v>1833</v>
      </c>
      <c r="L803" s="984" t="s">
        <v>1833</v>
      </c>
      <c r="M803" s="29"/>
    </row>
    <row r="804" spans="1:13" s="11" customFormat="1" x14ac:dyDescent="0.3">
      <c r="A804" s="6">
        <v>804</v>
      </c>
      <c r="B804" s="1269"/>
      <c r="C804" s="52" t="s">
        <v>1723</v>
      </c>
      <c r="D804" s="979" t="s">
        <v>1833</v>
      </c>
      <c r="E804" s="80"/>
      <c r="F804" s="80"/>
      <c r="G804" s="3" t="s">
        <v>27</v>
      </c>
      <c r="H804" s="3"/>
      <c r="I804" s="3"/>
      <c r="J804" s="3"/>
      <c r="K804" s="818"/>
      <c r="L804" s="818"/>
    </row>
    <row r="805" spans="1:13" s="11" customFormat="1" ht="15.65" thickBot="1" x14ac:dyDescent="0.35">
      <c r="A805" s="6">
        <v>805</v>
      </c>
      <c r="B805" s="115"/>
      <c r="C805" s="5"/>
      <c r="D805" s="83"/>
      <c r="E805" s="83"/>
      <c r="F805" s="83"/>
    </row>
    <row r="806" spans="1:13" x14ac:dyDescent="0.3">
      <c r="A806" s="6">
        <v>806</v>
      </c>
      <c r="B806" s="1287" t="s">
        <v>1610</v>
      </c>
      <c r="C806" s="501" t="s">
        <v>1648</v>
      </c>
      <c r="D806" s="91">
        <f>$D$794*$D$792/1000</f>
        <v>9.1699999999999993E-3</v>
      </c>
      <c r="E806" s="91"/>
      <c r="F806" s="91"/>
      <c r="G806" s="110" t="s">
        <v>0</v>
      </c>
      <c r="H806" s="41" t="s">
        <v>629</v>
      </c>
      <c r="I806" s="110" t="s">
        <v>2395</v>
      </c>
      <c r="J806" s="110"/>
      <c r="K806" s="110"/>
      <c r="L806" s="110"/>
    </row>
    <row r="807" spans="1:13" x14ac:dyDescent="0.3">
      <c r="A807" s="6">
        <v>807</v>
      </c>
      <c r="B807" s="1288"/>
      <c r="C807" s="501" t="s">
        <v>1649</v>
      </c>
      <c r="D807" s="91">
        <f>$D$795*$D$792/1000</f>
        <v>9.1699999999999993E-3</v>
      </c>
      <c r="E807" s="91"/>
      <c r="F807" s="91"/>
      <c r="G807" s="110" t="s">
        <v>0</v>
      </c>
      <c r="H807" s="41" t="s">
        <v>629</v>
      </c>
      <c r="I807" s="110" t="s">
        <v>2395</v>
      </c>
      <c r="J807" s="110"/>
      <c r="K807" s="110"/>
      <c r="L807" s="110"/>
    </row>
    <row r="808" spans="1:13" x14ac:dyDescent="0.3">
      <c r="A808" s="6">
        <v>808</v>
      </c>
      <c r="B808" s="1288"/>
      <c r="C808" s="501" t="s">
        <v>1650</v>
      </c>
      <c r="D808" s="658" t="s">
        <v>1833</v>
      </c>
      <c r="E808" s="222"/>
      <c r="F808" s="222"/>
      <c r="G808" s="110" t="s">
        <v>0</v>
      </c>
      <c r="H808" s="110"/>
      <c r="I808" s="110"/>
      <c r="J808" s="110"/>
      <c r="K808" s="110"/>
      <c r="L808" s="110"/>
    </row>
    <row r="809" spans="1:13" x14ac:dyDescent="0.3">
      <c r="A809" s="6">
        <v>809</v>
      </c>
      <c r="B809" s="1288"/>
      <c r="C809" s="258" t="s">
        <v>1651</v>
      </c>
      <c r="D809" s="659" t="s">
        <v>1833</v>
      </c>
      <c r="E809" s="242"/>
      <c r="F809" s="242"/>
      <c r="G809" s="55" t="s">
        <v>0</v>
      </c>
      <c r="H809" s="55"/>
      <c r="I809" s="55"/>
      <c r="J809" s="55"/>
      <c r="K809" s="55"/>
      <c r="L809" s="55"/>
    </row>
    <row r="810" spans="1:13" x14ac:dyDescent="0.3">
      <c r="A810" s="6">
        <v>810</v>
      </c>
      <c r="B810" s="1288"/>
      <c r="C810" s="478" t="s">
        <v>1652</v>
      </c>
      <c r="D810" s="86">
        <f>$D$813</f>
        <v>8.4000000000000019E-2</v>
      </c>
      <c r="E810" s="86"/>
      <c r="F810" s="86"/>
      <c r="G810" s="49" t="s">
        <v>0</v>
      </c>
      <c r="H810" s="50" t="s">
        <v>629</v>
      </c>
      <c r="I810" s="49"/>
      <c r="J810" s="49"/>
      <c r="K810" s="49"/>
      <c r="L810" s="49"/>
    </row>
    <row r="811" spans="1:13" x14ac:dyDescent="0.3">
      <c r="A811" s="6">
        <v>811</v>
      </c>
      <c r="B811" s="1288"/>
      <c r="C811" s="502" t="s">
        <v>1653</v>
      </c>
      <c r="D811" s="660" t="s">
        <v>1833</v>
      </c>
      <c r="E811" s="85"/>
      <c r="F811" s="85"/>
      <c r="G811" s="53" t="s">
        <v>0</v>
      </c>
      <c r="H811" s="53"/>
      <c r="I811" s="53"/>
      <c r="J811" s="53"/>
      <c r="K811" s="53"/>
      <c r="L811" s="53"/>
    </row>
    <row r="812" spans="1:13" x14ac:dyDescent="0.3">
      <c r="A812" s="6">
        <v>812</v>
      </c>
      <c r="B812" s="1288"/>
      <c r="C812" s="503" t="s">
        <v>1654</v>
      </c>
      <c r="D812" s="661" t="s">
        <v>1833</v>
      </c>
      <c r="E812" s="240"/>
      <c r="F812" s="240"/>
      <c r="G812" s="166" t="s">
        <v>0</v>
      </c>
      <c r="H812" s="166"/>
      <c r="I812" s="166"/>
      <c r="J812" s="166"/>
      <c r="K812" s="166"/>
      <c r="L812" s="166"/>
    </row>
    <row r="813" spans="1:13" x14ac:dyDescent="0.3">
      <c r="A813" s="6">
        <v>813</v>
      </c>
      <c r="B813" s="1288"/>
      <c r="C813" s="478" t="s">
        <v>1655</v>
      </c>
      <c r="D813" s="86">
        <f>$D$827/100*($D$76)</f>
        <v>8.4000000000000019E-2</v>
      </c>
      <c r="E813" s="86"/>
      <c r="F813" s="86"/>
      <c r="G813" s="49" t="s">
        <v>0</v>
      </c>
      <c r="H813" s="50" t="s">
        <v>629</v>
      </c>
      <c r="I813" s="49" t="s">
        <v>1846</v>
      </c>
      <c r="J813" s="49"/>
      <c r="K813" s="49"/>
      <c r="L813" s="49"/>
    </row>
    <row r="814" spans="1:13" x14ac:dyDescent="0.3">
      <c r="A814" s="6">
        <v>814</v>
      </c>
      <c r="B814" s="1288"/>
      <c r="C814" s="501" t="s">
        <v>1656</v>
      </c>
      <c r="D814" s="91">
        <f>D803*D792/1000</f>
        <v>0.102704</v>
      </c>
      <c r="E814" s="91"/>
      <c r="F814" s="91"/>
      <c r="G814" s="110" t="s">
        <v>0</v>
      </c>
      <c r="H814" s="41" t="s">
        <v>629</v>
      </c>
      <c r="I814" s="110"/>
      <c r="J814" s="110"/>
      <c r="K814" s="110"/>
      <c r="L814" s="110"/>
    </row>
    <row r="815" spans="1:13" x14ac:dyDescent="0.3">
      <c r="A815" s="6">
        <v>815</v>
      </c>
      <c r="B815" s="1288"/>
      <c r="C815" s="501" t="s">
        <v>1657</v>
      </c>
      <c r="D815" s="91">
        <f>$D$792*$D$802/1000</f>
        <v>9.1699999999999993E-3</v>
      </c>
      <c r="E815" s="91"/>
      <c r="F815" s="91"/>
      <c r="G815" s="110" t="s">
        <v>0</v>
      </c>
      <c r="H815" s="41" t="s">
        <v>629</v>
      </c>
      <c r="I815" s="110"/>
      <c r="J815" s="110"/>
      <c r="K815" s="110"/>
      <c r="L815" s="110"/>
    </row>
    <row r="816" spans="1:13" ht="15.65" thickBot="1" x14ac:dyDescent="0.35">
      <c r="A816" s="6">
        <v>816</v>
      </c>
      <c r="B816" s="1289"/>
      <c r="C816" s="487" t="s">
        <v>1658</v>
      </c>
      <c r="D816" s="652" t="s">
        <v>1833</v>
      </c>
      <c r="E816" s="80"/>
      <c r="F816" s="80"/>
      <c r="G816" s="3" t="s">
        <v>0</v>
      </c>
      <c r="H816" s="3"/>
      <c r="I816" s="3"/>
      <c r="J816" s="3"/>
      <c r="K816" s="3"/>
      <c r="L816" s="3"/>
    </row>
    <row r="817" spans="1:12" s="11" customFormat="1" x14ac:dyDescent="0.3">
      <c r="A817" s="6">
        <v>817</v>
      </c>
      <c r="B817" s="125"/>
      <c r="C817" s="5"/>
      <c r="D817" s="83"/>
      <c r="E817" s="83"/>
      <c r="F817" s="83"/>
    </row>
    <row r="818" spans="1:12" s="11" customFormat="1" ht="15.65" thickBot="1" x14ac:dyDescent="0.35">
      <c r="A818" s="6">
        <v>818</v>
      </c>
      <c r="B818" s="115"/>
      <c r="C818" s="5"/>
      <c r="D818" s="83"/>
      <c r="E818" s="83"/>
      <c r="F818" s="83"/>
    </row>
    <row r="819" spans="1:12" x14ac:dyDescent="0.3">
      <c r="A819" s="6">
        <v>819</v>
      </c>
      <c r="B819" s="1290" t="s">
        <v>1608</v>
      </c>
      <c r="C819" s="501" t="s">
        <v>290</v>
      </c>
      <c r="D819" s="278">
        <f>$D$794*$D$792/($D$66*1000)*100</f>
        <v>4.8518518518518516E-2</v>
      </c>
      <c r="E819" s="91"/>
      <c r="F819" s="91"/>
      <c r="G819" s="233" t="s">
        <v>4</v>
      </c>
      <c r="H819" s="41" t="s">
        <v>629</v>
      </c>
      <c r="I819" s="221" t="s">
        <v>232</v>
      </c>
      <c r="J819" s="110"/>
      <c r="K819" s="110"/>
      <c r="L819" s="110"/>
    </row>
    <row r="820" spans="1:12" x14ac:dyDescent="0.3">
      <c r="A820" s="6">
        <v>820</v>
      </c>
      <c r="B820" s="1291"/>
      <c r="C820" s="501" t="s">
        <v>291</v>
      </c>
      <c r="D820" s="278">
        <f>$D$795*$D$792/($D$67*1000)*100</f>
        <v>2.3512820512820512E-2</v>
      </c>
      <c r="E820" s="91"/>
      <c r="F820" s="91"/>
      <c r="G820" s="233" t="s">
        <v>4</v>
      </c>
      <c r="H820" s="41" t="s">
        <v>629</v>
      </c>
      <c r="I820" s="221" t="s">
        <v>233</v>
      </c>
      <c r="J820" s="110"/>
      <c r="K820" s="110"/>
      <c r="L820" s="110"/>
    </row>
    <row r="821" spans="1:12" x14ac:dyDescent="0.3">
      <c r="A821" s="6">
        <v>821</v>
      </c>
      <c r="B821" s="1291"/>
      <c r="C821" s="501" t="s">
        <v>221</v>
      </c>
      <c r="D821" s="658" t="s">
        <v>1833</v>
      </c>
      <c r="E821" s="222"/>
      <c r="F821" s="222"/>
      <c r="G821" s="233" t="s">
        <v>4</v>
      </c>
      <c r="H821" s="234"/>
      <c r="I821" s="110"/>
      <c r="J821" s="110"/>
      <c r="K821" s="110"/>
      <c r="L821" s="110"/>
    </row>
    <row r="822" spans="1:12" x14ac:dyDescent="0.3">
      <c r="A822" s="6">
        <v>822</v>
      </c>
      <c r="B822" s="1291"/>
      <c r="C822" s="258" t="s">
        <v>222</v>
      </c>
      <c r="D822" s="659" t="s">
        <v>1833</v>
      </c>
      <c r="E822" s="242"/>
      <c r="F822" s="242"/>
      <c r="G822" s="279" t="s">
        <v>4</v>
      </c>
      <c r="H822" s="243"/>
      <c r="I822" s="55"/>
      <c r="J822" s="55"/>
      <c r="K822" s="55"/>
      <c r="L822" s="55"/>
    </row>
    <row r="823" spans="1:12" x14ac:dyDescent="0.3">
      <c r="A823" s="6">
        <v>823</v>
      </c>
      <c r="B823" s="1291"/>
      <c r="C823" s="478" t="s">
        <v>223</v>
      </c>
      <c r="D823" s="144">
        <f>$D$798*$D$792/($D$72*1000)*100</f>
        <v>8.4000000000000019E-2</v>
      </c>
      <c r="E823" s="86"/>
      <c r="F823" s="86"/>
      <c r="G823" s="227" t="s">
        <v>4</v>
      </c>
      <c r="H823" s="50" t="s">
        <v>629</v>
      </c>
      <c r="I823" s="67" t="s">
        <v>1845</v>
      </c>
      <c r="J823" s="49" t="s">
        <v>1897</v>
      </c>
      <c r="K823" s="49"/>
      <c r="L823" s="49"/>
    </row>
    <row r="824" spans="1:12" x14ac:dyDescent="0.3">
      <c r="A824" s="6">
        <v>824</v>
      </c>
      <c r="B824" s="1291"/>
      <c r="C824" s="502" t="s">
        <v>225</v>
      </c>
      <c r="D824" s="660" t="s">
        <v>1833</v>
      </c>
      <c r="E824" s="85"/>
      <c r="F824" s="85"/>
      <c r="G824" s="51" t="s">
        <v>4</v>
      </c>
      <c r="H824" s="244"/>
      <c r="I824" s="53"/>
      <c r="J824" s="53"/>
      <c r="K824" s="53"/>
      <c r="L824" s="53"/>
    </row>
    <row r="825" spans="1:12" x14ac:dyDescent="0.3">
      <c r="A825" s="6">
        <v>825</v>
      </c>
      <c r="B825" s="1291"/>
      <c r="C825" s="503" t="s">
        <v>226</v>
      </c>
      <c r="D825" s="661" t="s">
        <v>1833</v>
      </c>
      <c r="E825" s="240"/>
      <c r="F825" s="240"/>
      <c r="G825" s="417" t="s">
        <v>4</v>
      </c>
      <c r="H825" s="396"/>
      <c r="I825" s="166"/>
      <c r="J825" s="166"/>
      <c r="K825" s="166"/>
      <c r="L825" s="166"/>
    </row>
    <row r="826" spans="1:12" x14ac:dyDescent="0.3">
      <c r="A826" s="6">
        <v>826</v>
      </c>
      <c r="B826" s="1291"/>
      <c r="C826" s="503" t="s">
        <v>1523</v>
      </c>
      <c r="D826" s="661" t="s">
        <v>492</v>
      </c>
      <c r="E826" s="240"/>
      <c r="F826" s="240"/>
      <c r="G826" s="417" t="s">
        <v>4</v>
      </c>
      <c r="H826" s="396"/>
      <c r="I826" s="166"/>
      <c r="J826" s="166"/>
      <c r="K826" s="166"/>
      <c r="L826" s="166"/>
    </row>
    <row r="827" spans="1:12" x14ac:dyDescent="0.3">
      <c r="A827" s="6">
        <v>827</v>
      </c>
      <c r="B827" s="1291"/>
      <c r="C827" s="478" t="s">
        <v>224</v>
      </c>
      <c r="D827" s="650">
        <v>0.14000000000000001</v>
      </c>
      <c r="E827" s="225" t="s">
        <v>1833</v>
      </c>
      <c r="F827" s="225"/>
      <c r="G827" s="226" t="s">
        <v>4</v>
      </c>
      <c r="H827" s="67" t="s">
        <v>46</v>
      </c>
      <c r="I827" s="49"/>
      <c r="J827" s="49" t="s">
        <v>1409</v>
      </c>
      <c r="K827" s="49" t="s">
        <v>1410</v>
      </c>
      <c r="L827" s="49" t="s">
        <v>1411</v>
      </c>
    </row>
    <row r="828" spans="1:12" x14ac:dyDescent="0.3">
      <c r="A828" s="6">
        <v>828</v>
      </c>
      <c r="B828" s="1291"/>
      <c r="C828" s="501" t="s">
        <v>234</v>
      </c>
      <c r="D828" s="466">
        <f>$D$803*$D$792/($D$77*1000)*100</f>
        <v>13.116730523627076</v>
      </c>
      <c r="E828" s="91"/>
      <c r="F828" s="91"/>
      <c r="G828" s="233" t="s">
        <v>4</v>
      </c>
      <c r="H828" s="41" t="s">
        <v>629</v>
      </c>
      <c r="I828" s="221" t="s">
        <v>235</v>
      </c>
      <c r="J828" s="110" t="s">
        <v>1897</v>
      </c>
      <c r="K828" s="110"/>
      <c r="L828" s="110"/>
    </row>
    <row r="829" spans="1:12" x14ac:dyDescent="0.3">
      <c r="A829" s="6">
        <v>829</v>
      </c>
      <c r="B829" s="1291"/>
      <c r="C829" s="501" t="s">
        <v>227</v>
      </c>
      <c r="D829" s="273">
        <f>$D$802*$D$792/($D$78*1000)*100</f>
        <v>2.4131578947368421E-4</v>
      </c>
      <c r="E829" s="91"/>
      <c r="F829" s="91"/>
      <c r="G829" s="233" t="s">
        <v>4</v>
      </c>
      <c r="H829" s="221" t="s">
        <v>382</v>
      </c>
      <c r="I829" s="110" t="s">
        <v>897</v>
      </c>
      <c r="J829" s="110" t="s">
        <v>1897</v>
      </c>
      <c r="K829" s="110"/>
      <c r="L829" s="110"/>
    </row>
    <row r="830" spans="1:12" ht="15.65" thickBot="1" x14ac:dyDescent="0.35">
      <c r="A830" s="6">
        <v>830</v>
      </c>
      <c r="B830" s="1292"/>
      <c r="C830" s="487" t="s">
        <v>228</v>
      </c>
      <c r="D830" s="652" t="s">
        <v>1833</v>
      </c>
      <c r="E830" s="80"/>
      <c r="F830" s="80"/>
      <c r="G830" s="192" t="s">
        <v>4</v>
      </c>
      <c r="H830" s="245"/>
      <c r="I830" s="3"/>
      <c r="J830" s="3"/>
      <c r="K830" s="3"/>
      <c r="L830" s="3"/>
    </row>
    <row r="831" spans="1:12" ht="15.65" thickBot="1" x14ac:dyDescent="0.35">
      <c r="A831" s="6">
        <v>831</v>
      </c>
      <c r="B831" s="485"/>
      <c r="C831" s="5"/>
      <c r="D831" s="107"/>
      <c r="E831" s="107"/>
      <c r="F831" s="107"/>
      <c r="G831" s="31"/>
      <c r="H831" s="12"/>
    </row>
    <row r="832" spans="1:12" x14ac:dyDescent="0.3">
      <c r="A832" s="6">
        <v>832</v>
      </c>
      <c r="B832" s="1287" t="s">
        <v>1609</v>
      </c>
      <c r="C832" s="501" t="s">
        <v>1627</v>
      </c>
      <c r="D832" s="273">
        <f>($D$806*$D$41)/1000000</f>
        <v>5.3644499999999998E-4</v>
      </c>
      <c r="E832" s="91"/>
      <c r="F832" s="91"/>
      <c r="G832" s="110" t="s">
        <v>537</v>
      </c>
      <c r="H832" s="41" t="s">
        <v>629</v>
      </c>
      <c r="I832" s="110"/>
      <c r="J832" s="110"/>
      <c r="K832" s="110"/>
      <c r="L832" s="110"/>
    </row>
    <row r="833" spans="1:12" x14ac:dyDescent="0.3">
      <c r="A833" s="6">
        <v>833</v>
      </c>
      <c r="B833" s="1288"/>
      <c r="C833" s="501" t="s">
        <v>1628</v>
      </c>
      <c r="D833" s="273">
        <f>($D$807*$D$42)/1000000</f>
        <v>3.9339299999999997E-4</v>
      </c>
      <c r="E833" s="91"/>
      <c r="F833" s="91"/>
      <c r="G833" s="110" t="s">
        <v>537</v>
      </c>
      <c r="H833" s="41"/>
      <c r="I833" s="110"/>
      <c r="J833" s="110"/>
      <c r="K833" s="110"/>
      <c r="L833" s="110"/>
    </row>
    <row r="834" spans="1:12" x14ac:dyDescent="0.3">
      <c r="A834" s="6">
        <v>834</v>
      </c>
      <c r="B834" s="1288"/>
      <c r="C834" s="501" t="s">
        <v>1629</v>
      </c>
      <c r="D834" s="658" t="s">
        <v>1833</v>
      </c>
      <c r="E834" s="91"/>
      <c r="F834" s="91"/>
      <c r="G834" s="110" t="s">
        <v>537</v>
      </c>
      <c r="H834" s="41"/>
      <c r="I834" s="110"/>
      <c r="J834" s="110"/>
      <c r="K834" s="110"/>
      <c r="L834" s="110"/>
    </row>
    <row r="835" spans="1:12" x14ac:dyDescent="0.3">
      <c r="A835" s="6">
        <v>835</v>
      </c>
      <c r="B835" s="1288"/>
      <c r="C835" s="524" t="s">
        <v>1637</v>
      </c>
      <c r="D835" s="659" t="s">
        <v>1833</v>
      </c>
      <c r="E835" s="242"/>
      <c r="F835" s="242"/>
      <c r="G835" s="242" t="s">
        <v>537</v>
      </c>
      <c r="H835" s="242"/>
      <c r="I835" s="242"/>
      <c r="J835" s="242"/>
      <c r="K835" s="242"/>
      <c r="L835" s="242"/>
    </row>
    <row r="836" spans="1:12" x14ac:dyDescent="0.3">
      <c r="A836" s="6">
        <v>836</v>
      </c>
      <c r="B836" s="1288"/>
      <c r="C836" s="478" t="s">
        <v>1630</v>
      </c>
      <c r="D836" s="86">
        <f>$D$810*$D$47/1000000</f>
        <v>1.3230000000000004E-2</v>
      </c>
      <c r="E836" s="86"/>
      <c r="F836" s="86"/>
      <c r="G836" s="49" t="s">
        <v>537</v>
      </c>
      <c r="H836" s="50" t="s">
        <v>629</v>
      </c>
      <c r="I836" s="49"/>
      <c r="J836" s="49"/>
      <c r="K836" s="49"/>
      <c r="L836" s="49"/>
    </row>
    <row r="837" spans="1:12" x14ac:dyDescent="0.3">
      <c r="A837" s="6">
        <v>837</v>
      </c>
      <c r="B837" s="1288"/>
      <c r="C837" s="502" t="s">
        <v>1631</v>
      </c>
      <c r="D837" s="660" t="s">
        <v>1833</v>
      </c>
      <c r="E837" s="25"/>
      <c r="F837" s="25"/>
      <c r="G837" s="25" t="s">
        <v>537</v>
      </c>
      <c r="H837" s="25"/>
      <c r="I837" s="25"/>
      <c r="J837" s="25"/>
      <c r="K837" s="25"/>
      <c r="L837" s="25"/>
    </row>
    <row r="838" spans="1:12" x14ac:dyDescent="0.3">
      <c r="A838" s="6">
        <v>838</v>
      </c>
      <c r="B838" s="1288"/>
      <c r="C838" s="503" t="s">
        <v>1632</v>
      </c>
      <c r="D838" s="667" t="s">
        <v>1833</v>
      </c>
      <c r="E838" s="393"/>
      <c r="F838" s="393"/>
      <c r="G838" s="166" t="s">
        <v>537</v>
      </c>
      <c r="H838" s="165"/>
      <c r="I838" s="166"/>
      <c r="J838" s="166"/>
      <c r="K838" s="166"/>
      <c r="L838" s="166"/>
    </row>
    <row r="839" spans="1:12" x14ac:dyDescent="0.3">
      <c r="A839" s="6">
        <v>839</v>
      </c>
      <c r="B839" s="1288"/>
      <c r="C839" s="504" t="s">
        <v>1633</v>
      </c>
      <c r="D839" s="657" t="s">
        <v>492</v>
      </c>
      <c r="E839" s="430"/>
      <c r="F839" s="430"/>
      <c r="G839" s="375" t="s">
        <v>537</v>
      </c>
      <c r="H839" s="422"/>
      <c r="I839" s="375"/>
      <c r="J839" s="375"/>
      <c r="K839" s="375"/>
      <c r="L839" s="375"/>
    </row>
    <row r="840" spans="1:12" x14ac:dyDescent="0.3">
      <c r="A840" s="6">
        <v>840</v>
      </c>
      <c r="B840" s="1288"/>
      <c r="C840" s="478" t="s">
        <v>1634</v>
      </c>
      <c r="D840" s="86">
        <f>$D$813*$D$51/1000000</f>
        <v>6.2865600000000009E-3</v>
      </c>
      <c r="E840" s="86"/>
      <c r="F840" s="86"/>
      <c r="G840" s="49" t="s">
        <v>537</v>
      </c>
      <c r="H840" s="50" t="s">
        <v>629</v>
      </c>
      <c r="I840" s="49"/>
      <c r="J840" s="49"/>
      <c r="K840" s="49"/>
      <c r="L840" s="49"/>
    </row>
    <row r="841" spans="1:12" x14ac:dyDescent="0.3">
      <c r="A841" s="6">
        <v>841</v>
      </c>
      <c r="B841" s="1288"/>
      <c r="C841" s="501" t="s">
        <v>1635</v>
      </c>
      <c r="D841" s="658" t="s">
        <v>1833</v>
      </c>
      <c r="E841" s="221"/>
      <c r="F841" s="221"/>
      <c r="G841" s="110" t="s">
        <v>537</v>
      </c>
      <c r="H841" s="221"/>
      <c r="I841" s="221"/>
      <c r="J841" s="221"/>
      <c r="K841" s="221"/>
      <c r="L841" s="221"/>
    </row>
    <row r="842" spans="1:12" x14ac:dyDescent="0.3">
      <c r="A842" s="6">
        <v>842</v>
      </c>
      <c r="B842" s="1288"/>
      <c r="C842" s="501" t="s">
        <v>1636</v>
      </c>
      <c r="D842" s="658" t="s">
        <v>1833</v>
      </c>
      <c r="E842" s="221"/>
      <c r="F842" s="221"/>
      <c r="G842" s="110" t="s">
        <v>537</v>
      </c>
      <c r="H842" s="221"/>
      <c r="I842" s="221"/>
      <c r="J842" s="221"/>
      <c r="K842" s="221"/>
      <c r="L842" s="221"/>
    </row>
    <row r="843" spans="1:12" x14ac:dyDescent="0.3">
      <c r="A843" s="6">
        <v>843</v>
      </c>
      <c r="B843" s="1288"/>
      <c r="C843" s="487" t="s">
        <v>1529</v>
      </c>
      <c r="D843" s="652" t="s">
        <v>1833</v>
      </c>
      <c r="E843" s="52"/>
      <c r="F843" s="52"/>
      <c r="G843" s="52" t="s">
        <v>537</v>
      </c>
      <c r="H843" s="52"/>
      <c r="I843" s="52"/>
      <c r="J843" s="52"/>
      <c r="K843" s="52"/>
      <c r="L843" s="52"/>
    </row>
    <row r="844" spans="1:12" s="11" customFormat="1" ht="15.65" thickBot="1" x14ac:dyDescent="0.35">
      <c r="A844" s="6">
        <v>844</v>
      </c>
      <c r="B844" s="1288"/>
      <c r="C844" s="490"/>
      <c r="D844" s="219"/>
      <c r="E844" s="124"/>
      <c r="F844" s="124"/>
      <c r="G844" s="124"/>
      <c r="H844" s="5"/>
      <c r="I844" s="5"/>
      <c r="J844" s="5"/>
      <c r="K844" s="5"/>
      <c r="L844" s="5"/>
    </row>
    <row r="845" spans="1:12" s="115" customFormat="1" ht="15.65" thickBot="1" x14ac:dyDescent="0.35">
      <c r="A845" s="6">
        <v>845</v>
      </c>
      <c r="B845" s="1289"/>
      <c r="C845" s="521" t="s">
        <v>1960</v>
      </c>
      <c r="D845" s="140">
        <f>$D$832+$D$833+$D$836+$D$840</f>
        <v>2.0446398000000005E-2</v>
      </c>
      <c r="E845" s="457"/>
      <c r="F845" s="1211"/>
      <c r="G845" s="129" t="s">
        <v>537</v>
      </c>
      <c r="H845" s="490"/>
      <c r="I845" s="124"/>
      <c r="J845" s="124"/>
      <c r="K845" s="124"/>
      <c r="L845" s="124"/>
    </row>
    <row r="846" spans="1:12" s="11" customFormat="1" ht="15.65" thickBot="1" x14ac:dyDescent="0.35">
      <c r="A846" s="6">
        <v>846</v>
      </c>
      <c r="B846" s="537"/>
      <c r="C846" s="268"/>
      <c r="D846" s="126"/>
      <c r="E846" s="268"/>
      <c r="F846" s="268"/>
      <c r="G846" s="125"/>
      <c r="H846" s="5"/>
      <c r="I846" s="5"/>
      <c r="J846" s="5"/>
      <c r="K846" s="5"/>
      <c r="L846" s="5"/>
    </row>
    <row r="847" spans="1:12" s="11" customFormat="1" x14ac:dyDescent="0.3">
      <c r="A847" s="6">
        <v>847</v>
      </c>
      <c r="B847" s="1287" t="s">
        <v>1647</v>
      </c>
      <c r="C847" s="501" t="s">
        <v>1638</v>
      </c>
      <c r="D847" s="278">
        <f>$D$832*$D$17</f>
        <v>2.4383863636363634E-2</v>
      </c>
      <c r="E847" s="91"/>
      <c r="F847" s="91"/>
      <c r="G847" s="110" t="s">
        <v>948</v>
      </c>
      <c r="H847" s="41" t="s">
        <v>629</v>
      </c>
      <c r="I847" s="110"/>
      <c r="J847" s="110"/>
      <c r="K847" s="110"/>
      <c r="L847" s="110"/>
    </row>
    <row r="848" spans="1:12" s="11" customFormat="1" x14ac:dyDescent="0.3">
      <c r="A848" s="6">
        <v>848</v>
      </c>
      <c r="B848" s="1288"/>
      <c r="C848" s="501" t="s">
        <v>1639</v>
      </c>
      <c r="D848" s="278">
        <f>$D$833*$D$17</f>
        <v>1.7881499999999998E-2</v>
      </c>
      <c r="E848" s="91"/>
      <c r="F848" s="91"/>
      <c r="G848" s="110" t="s">
        <v>948</v>
      </c>
      <c r="H848" s="41"/>
      <c r="I848" s="110"/>
      <c r="J848" s="110"/>
      <c r="K848" s="110"/>
      <c r="L848" s="110"/>
    </row>
    <row r="849" spans="1:12" s="11" customFormat="1" x14ac:dyDescent="0.3">
      <c r="A849" s="6">
        <v>849</v>
      </c>
      <c r="B849" s="1288"/>
      <c r="C849" s="501" t="s">
        <v>1640</v>
      </c>
      <c r="D849" s="658" t="s">
        <v>1833</v>
      </c>
      <c r="E849" s="91"/>
      <c r="F849" s="91"/>
      <c r="G849" s="110" t="s">
        <v>948</v>
      </c>
      <c r="H849" s="41"/>
      <c r="I849" s="110"/>
      <c r="J849" s="110"/>
      <c r="K849" s="110"/>
      <c r="L849" s="110"/>
    </row>
    <row r="850" spans="1:12" s="11" customFormat="1" x14ac:dyDescent="0.3">
      <c r="A850" s="6">
        <v>850</v>
      </c>
      <c r="B850" s="1288"/>
      <c r="C850" s="524" t="s">
        <v>1641</v>
      </c>
      <c r="D850" s="659" t="s">
        <v>1833</v>
      </c>
      <c r="E850" s="242"/>
      <c r="F850" s="242"/>
      <c r="G850" s="242" t="s">
        <v>948</v>
      </c>
      <c r="H850" s="242"/>
      <c r="I850" s="242"/>
      <c r="J850" s="242"/>
      <c r="K850" s="242"/>
      <c r="L850" s="242"/>
    </row>
    <row r="851" spans="1:12" s="11" customFormat="1" x14ac:dyDescent="0.3">
      <c r="A851" s="6">
        <v>851</v>
      </c>
      <c r="B851" s="1288"/>
      <c r="C851" s="478" t="s">
        <v>1642</v>
      </c>
      <c r="D851" s="144">
        <f>$D$836*$D$17</f>
        <v>0.60136363636363654</v>
      </c>
      <c r="E851" s="86"/>
      <c r="F851" s="86"/>
      <c r="G851" s="49" t="s">
        <v>948</v>
      </c>
      <c r="H851" s="50" t="s">
        <v>629</v>
      </c>
      <c r="I851" s="49"/>
      <c r="J851" s="49"/>
      <c r="K851" s="49"/>
      <c r="L851" s="49"/>
    </row>
    <row r="852" spans="1:12" s="11" customFormat="1" x14ac:dyDescent="0.3">
      <c r="A852" s="6">
        <v>852</v>
      </c>
      <c r="B852" s="1288"/>
      <c r="C852" s="502" t="s">
        <v>1631</v>
      </c>
      <c r="D852" s="660" t="s">
        <v>1833</v>
      </c>
      <c r="E852" s="25"/>
      <c r="F852" s="25"/>
      <c r="G852" s="25" t="s">
        <v>948</v>
      </c>
      <c r="H852" s="25"/>
      <c r="I852" s="25"/>
      <c r="J852" s="25"/>
      <c r="K852" s="25"/>
      <c r="L852" s="25"/>
    </row>
    <row r="853" spans="1:12" s="11" customFormat="1" x14ac:dyDescent="0.3">
      <c r="A853" s="6">
        <v>853</v>
      </c>
      <c r="B853" s="1288"/>
      <c r="C853" s="503" t="s">
        <v>1632</v>
      </c>
      <c r="D853" s="667" t="s">
        <v>1833</v>
      </c>
      <c r="E853" s="393"/>
      <c r="F853" s="393"/>
      <c r="G853" s="166" t="s">
        <v>948</v>
      </c>
      <c r="H853" s="165"/>
      <c r="I853" s="166"/>
      <c r="J853" s="166"/>
      <c r="K853" s="166"/>
      <c r="L853" s="166"/>
    </row>
    <row r="854" spans="1:12" s="11" customFormat="1" x14ac:dyDescent="0.3">
      <c r="A854" s="6">
        <v>854</v>
      </c>
      <c r="B854" s="1288"/>
      <c r="C854" s="504" t="s">
        <v>1633</v>
      </c>
      <c r="D854" s="657" t="s">
        <v>492</v>
      </c>
      <c r="E854" s="430"/>
      <c r="F854" s="430"/>
      <c r="G854" s="375" t="s">
        <v>948</v>
      </c>
      <c r="H854" s="422"/>
      <c r="I854" s="375"/>
      <c r="J854" s="375"/>
      <c r="K854" s="375"/>
      <c r="L854" s="375"/>
    </row>
    <row r="855" spans="1:12" s="11" customFormat="1" x14ac:dyDescent="0.3">
      <c r="A855" s="6">
        <v>855</v>
      </c>
      <c r="B855" s="1288"/>
      <c r="C855" s="478" t="s">
        <v>1643</v>
      </c>
      <c r="D855" s="330">
        <f>$D$840*$D$17</f>
        <v>0.28575272727272732</v>
      </c>
      <c r="E855" s="86"/>
      <c r="F855" s="86"/>
      <c r="G855" s="49" t="s">
        <v>948</v>
      </c>
      <c r="H855" s="50" t="s">
        <v>629</v>
      </c>
      <c r="I855" s="49"/>
      <c r="J855" s="49"/>
      <c r="K855" s="49"/>
      <c r="L855" s="49"/>
    </row>
    <row r="856" spans="1:12" s="11" customFormat="1" x14ac:dyDescent="0.3">
      <c r="A856" s="6">
        <v>856</v>
      </c>
      <c r="B856" s="1288"/>
      <c r="C856" s="501" t="s">
        <v>1644</v>
      </c>
      <c r="D856" s="658" t="s">
        <v>1833</v>
      </c>
      <c r="E856" s="221"/>
      <c r="F856" s="221"/>
      <c r="G856" s="110" t="s">
        <v>948</v>
      </c>
      <c r="H856" s="221"/>
      <c r="I856" s="221"/>
      <c r="J856" s="221"/>
      <c r="K856" s="221"/>
      <c r="L856" s="221"/>
    </row>
    <row r="857" spans="1:12" s="11" customFormat="1" x14ac:dyDescent="0.3">
      <c r="A857" s="6">
        <v>857</v>
      </c>
      <c r="B857" s="1288"/>
      <c r="C857" s="501" t="s">
        <v>1645</v>
      </c>
      <c r="D857" s="658" t="s">
        <v>1833</v>
      </c>
      <c r="E857" s="221"/>
      <c r="F857" s="221"/>
      <c r="G857" s="110" t="s">
        <v>948</v>
      </c>
      <c r="H857" s="221"/>
      <c r="I857" s="221"/>
      <c r="J857" s="221"/>
      <c r="K857" s="221"/>
      <c r="L857" s="221"/>
    </row>
    <row r="858" spans="1:12" s="11" customFormat="1" x14ac:dyDescent="0.3">
      <c r="A858" s="6">
        <v>858</v>
      </c>
      <c r="B858" s="1288"/>
      <c r="C858" s="487" t="s">
        <v>1646</v>
      </c>
      <c r="D858" s="652" t="s">
        <v>1833</v>
      </c>
      <c r="E858" s="52"/>
      <c r="F858" s="52"/>
      <c r="G858" s="52" t="s">
        <v>948</v>
      </c>
      <c r="H858" s="52"/>
      <c r="I858" s="52"/>
      <c r="J858" s="52"/>
      <c r="K858" s="52"/>
      <c r="L858" s="52"/>
    </row>
    <row r="859" spans="1:12" s="11" customFormat="1" ht="15.65" thickBot="1" x14ac:dyDescent="0.35">
      <c r="A859" s="6">
        <v>859</v>
      </c>
      <c r="B859" s="1288"/>
      <c r="C859" s="490"/>
      <c r="D859" s="219"/>
      <c r="E859" s="124"/>
      <c r="F859" s="124"/>
      <c r="G859" s="124"/>
      <c r="H859" s="5"/>
      <c r="I859" s="5"/>
      <c r="J859" s="5"/>
      <c r="K859" s="5"/>
      <c r="L859" s="5"/>
    </row>
    <row r="860" spans="1:12" s="11" customFormat="1" ht="15.65" thickBot="1" x14ac:dyDescent="0.35">
      <c r="A860" s="6">
        <v>860</v>
      </c>
      <c r="B860" s="1289"/>
      <c r="C860" s="521" t="s">
        <v>1961</v>
      </c>
      <c r="D860" s="328">
        <f>$D$847+$D$848+$D$851+$D$855</f>
        <v>0.92938172727272761</v>
      </c>
      <c r="E860" s="457"/>
      <c r="F860" s="1211"/>
      <c r="G860" s="275" t="s">
        <v>948</v>
      </c>
      <c r="H860" s="274"/>
      <c r="I860" s="5"/>
      <c r="J860" s="5"/>
      <c r="K860" s="5"/>
      <c r="L860" s="5"/>
    </row>
    <row r="861" spans="1:12" s="11" customFormat="1" x14ac:dyDescent="0.3">
      <c r="A861" s="6">
        <v>861</v>
      </c>
      <c r="B861" s="526"/>
      <c r="C861" s="528"/>
      <c r="D861" s="528"/>
      <c r="E861" s="528"/>
      <c r="F861" s="528"/>
      <c r="G861" s="125"/>
    </row>
    <row r="862" spans="1:12" s="11" customFormat="1" ht="15.05" customHeight="1" x14ac:dyDescent="0.35">
      <c r="A862" s="6">
        <v>862</v>
      </c>
      <c r="B862" s="532"/>
      <c r="C862" s="530"/>
      <c r="D862" s="126"/>
      <c r="E862" s="126"/>
      <c r="F862" s="126"/>
      <c r="G862" s="125"/>
    </row>
    <row r="863" spans="1:12" s="11" customFormat="1" ht="15.05" customHeight="1" x14ac:dyDescent="0.3">
      <c r="A863" s="6">
        <v>863</v>
      </c>
      <c r="B863" s="70" t="s">
        <v>911</v>
      </c>
      <c r="C863" s="531" t="s">
        <v>911</v>
      </c>
      <c r="D863" s="240"/>
      <c r="E863" s="240"/>
      <c r="F863" s="240"/>
      <c r="G863" s="70"/>
      <c r="H863" s="70"/>
      <c r="I863" s="70"/>
      <c r="J863" s="70"/>
      <c r="K863" s="70"/>
      <c r="L863" s="70"/>
    </row>
    <row r="864" spans="1:12" s="11" customFormat="1" ht="15.65" thickBot="1" x14ac:dyDescent="0.35">
      <c r="A864" s="6">
        <v>864</v>
      </c>
      <c r="B864" s="489"/>
      <c r="C864" s="5"/>
      <c r="D864" s="83"/>
      <c r="E864" s="83"/>
      <c r="F864" s="83"/>
      <c r="G864" s="5"/>
      <c r="H864" s="5"/>
      <c r="I864" s="5"/>
      <c r="J864" s="5"/>
      <c r="K864" s="5"/>
      <c r="L864" s="5"/>
    </row>
    <row r="865" spans="1:12" ht="15.05" customHeight="1" x14ac:dyDescent="0.3">
      <c r="A865" s="6">
        <v>865</v>
      </c>
      <c r="B865" s="1278" t="s">
        <v>1612</v>
      </c>
      <c r="C865" s="501" t="s">
        <v>292</v>
      </c>
      <c r="D865" s="466">
        <f>100-$D$276-$D$379-$D$449-$D$517-$D$634-$D$733-$D$819</f>
        <v>93.178223258752766</v>
      </c>
      <c r="E865" s="91"/>
      <c r="F865" s="91"/>
      <c r="G865" s="110" t="s">
        <v>4</v>
      </c>
      <c r="H865" s="41" t="s">
        <v>629</v>
      </c>
      <c r="I865" s="110" t="s">
        <v>898</v>
      </c>
      <c r="J865" s="110" t="s">
        <v>1897</v>
      </c>
      <c r="K865" s="110" t="s">
        <v>1897</v>
      </c>
      <c r="L865" s="110" t="s">
        <v>1897</v>
      </c>
    </row>
    <row r="866" spans="1:12" x14ac:dyDescent="0.3">
      <c r="A866" s="6">
        <v>866</v>
      </c>
      <c r="B866" s="1279"/>
      <c r="C866" s="501" t="s">
        <v>293</v>
      </c>
      <c r="D866" s="466">
        <f>100-$D$277-$D$380-$D$450-$D$518-$D$635-$D$734-$D$820</f>
        <v>92.601677425395565</v>
      </c>
      <c r="E866" s="91"/>
      <c r="F866" s="91"/>
      <c r="G866" s="110" t="s">
        <v>4</v>
      </c>
      <c r="H866" s="41" t="s">
        <v>629</v>
      </c>
      <c r="I866" s="110" t="s">
        <v>898</v>
      </c>
      <c r="J866" s="110" t="s">
        <v>1897</v>
      </c>
      <c r="K866" s="110" t="s">
        <v>1897</v>
      </c>
      <c r="L866" s="110" t="s">
        <v>1897</v>
      </c>
    </row>
    <row r="867" spans="1:12" ht="15.05" customHeight="1" x14ac:dyDescent="0.3">
      <c r="A867" s="6">
        <v>867</v>
      </c>
      <c r="B867" s="1279"/>
      <c r="C867" s="501" t="s">
        <v>207</v>
      </c>
      <c r="D867" s="668" t="s">
        <v>1833</v>
      </c>
      <c r="E867" s="91"/>
      <c r="F867" s="91"/>
      <c r="G867" s="110" t="s">
        <v>4</v>
      </c>
      <c r="H867" s="110"/>
      <c r="I867" s="110"/>
      <c r="J867" s="110"/>
      <c r="K867" s="110"/>
      <c r="L867" s="110"/>
    </row>
    <row r="868" spans="1:12" x14ac:dyDescent="0.3">
      <c r="A868" s="6">
        <v>868</v>
      </c>
      <c r="B868" s="1279"/>
      <c r="C868" s="258" t="s">
        <v>199</v>
      </c>
      <c r="D868" s="659" t="s">
        <v>1833</v>
      </c>
      <c r="E868" s="242"/>
      <c r="F868" s="242"/>
      <c r="G868" s="55" t="s">
        <v>4</v>
      </c>
      <c r="H868" s="55"/>
      <c r="I868" s="55" t="s">
        <v>419</v>
      </c>
      <c r="J868" s="55" t="s">
        <v>1897</v>
      </c>
      <c r="K868" s="55"/>
      <c r="L868" s="55"/>
    </row>
    <row r="869" spans="1:12" s="11" customFormat="1" x14ac:dyDescent="0.3">
      <c r="A869" s="6">
        <v>869</v>
      </c>
      <c r="B869" s="1279"/>
      <c r="C869" s="477" t="s">
        <v>1148</v>
      </c>
      <c r="D869" s="79"/>
      <c r="E869" s="79"/>
      <c r="F869" s="79"/>
      <c r="G869" s="34" t="s">
        <v>4</v>
      </c>
      <c r="H869" s="34"/>
      <c r="I869" s="34"/>
      <c r="J869" s="34"/>
      <c r="K869" s="34"/>
      <c r="L869" s="34"/>
    </row>
    <row r="870" spans="1:12" x14ac:dyDescent="0.3">
      <c r="A870" s="6">
        <v>870</v>
      </c>
      <c r="B870" s="1279"/>
      <c r="C870" s="478" t="s">
        <v>112</v>
      </c>
      <c r="D870" s="203">
        <f>100-$D$281-$D$383-$D$453-$D$513-$D$521-$D$638-$D$737-$D$823</f>
        <v>84.310149999999993</v>
      </c>
      <c r="E870" s="86"/>
      <c r="F870" s="86"/>
      <c r="G870" s="49" t="s">
        <v>4</v>
      </c>
      <c r="H870" s="50" t="s">
        <v>629</v>
      </c>
      <c r="I870" s="67" t="s">
        <v>1923</v>
      </c>
      <c r="J870" s="49" t="s">
        <v>1897</v>
      </c>
      <c r="K870" s="49" t="s">
        <v>1897</v>
      </c>
      <c r="L870" s="49" t="s">
        <v>1897</v>
      </c>
    </row>
    <row r="871" spans="1:12" x14ac:dyDescent="0.3">
      <c r="A871" s="6">
        <v>871</v>
      </c>
      <c r="B871" s="1279"/>
      <c r="C871" s="488" t="s">
        <v>317</v>
      </c>
      <c r="D871" s="660" t="s">
        <v>1833</v>
      </c>
      <c r="E871" s="85"/>
      <c r="F871" s="85"/>
      <c r="G871" s="53" t="s">
        <v>4</v>
      </c>
      <c r="H871" s="244"/>
      <c r="I871" s="53"/>
      <c r="J871" s="53"/>
      <c r="K871" s="53"/>
      <c r="L871" s="53"/>
    </row>
    <row r="872" spans="1:12" x14ac:dyDescent="0.3">
      <c r="A872" s="6">
        <v>872</v>
      </c>
      <c r="B872" s="1279"/>
      <c r="C872" s="519" t="s">
        <v>318</v>
      </c>
      <c r="D872" s="661" t="s">
        <v>1833</v>
      </c>
      <c r="E872" s="240"/>
      <c r="F872" s="240"/>
      <c r="G872" s="166" t="s">
        <v>4</v>
      </c>
      <c r="H872" s="396"/>
      <c r="I872" s="166"/>
      <c r="J872" s="166"/>
      <c r="K872" s="166"/>
      <c r="L872" s="166"/>
    </row>
    <row r="873" spans="1:12" x14ac:dyDescent="0.3">
      <c r="A873" s="6">
        <v>873</v>
      </c>
      <c r="B873" s="1279"/>
      <c r="C873" s="481" t="s">
        <v>1307</v>
      </c>
      <c r="D873" s="669" t="s">
        <v>492</v>
      </c>
      <c r="E873" s="442"/>
      <c r="F873" s="442"/>
      <c r="G873" s="419" t="s">
        <v>4</v>
      </c>
      <c r="H873" s="419" t="s">
        <v>2396</v>
      </c>
      <c r="I873" s="419"/>
      <c r="J873" s="419"/>
      <c r="K873" s="419"/>
      <c r="L873" s="419"/>
    </row>
    <row r="874" spans="1:12" x14ac:dyDescent="0.3">
      <c r="A874" s="6">
        <v>874</v>
      </c>
      <c r="B874" s="1279"/>
      <c r="C874" s="478" t="s">
        <v>113</v>
      </c>
      <c r="D874" s="203">
        <f>100-$D$285-$D$387-$D$457-$D$513-$D$525-$D$642-$D$741-$D$827</f>
        <v>79.163583333333335</v>
      </c>
      <c r="E874" s="86"/>
      <c r="F874" s="86"/>
      <c r="G874" s="49" t="s">
        <v>4</v>
      </c>
      <c r="H874" s="50" t="s">
        <v>629</v>
      </c>
      <c r="I874" s="49" t="s">
        <v>1922</v>
      </c>
      <c r="J874" s="49" t="s">
        <v>1897</v>
      </c>
      <c r="K874" s="49" t="s">
        <v>1897</v>
      </c>
      <c r="L874" s="49" t="s">
        <v>1897</v>
      </c>
    </row>
    <row r="875" spans="1:12" x14ac:dyDescent="0.3">
      <c r="A875" s="6">
        <v>875</v>
      </c>
      <c r="B875" s="1279"/>
      <c r="C875" s="501" t="s">
        <v>420</v>
      </c>
      <c r="D875" s="649">
        <v>64</v>
      </c>
      <c r="E875" s="222"/>
      <c r="F875" s="222"/>
      <c r="G875" s="110" t="s">
        <v>4</v>
      </c>
      <c r="H875" s="110" t="s">
        <v>852</v>
      </c>
      <c r="I875" s="110" t="s">
        <v>2397</v>
      </c>
      <c r="J875" s="110" t="s">
        <v>685</v>
      </c>
      <c r="K875" s="110" t="s">
        <v>1928</v>
      </c>
      <c r="L875" s="110" t="s">
        <v>1924</v>
      </c>
    </row>
    <row r="876" spans="1:12" x14ac:dyDescent="0.3">
      <c r="A876" s="6">
        <v>876</v>
      </c>
      <c r="B876" s="1279"/>
      <c r="C876" s="501" t="s">
        <v>208</v>
      </c>
      <c r="D876" s="649">
        <v>90</v>
      </c>
      <c r="E876" s="222"/>
      <c r="F876" s="222"/>
      <c r="G876" s="110" t="s">
        <v>4</v>
      </c>
      <c r="H876" s="110" t="s">
        <v>132</v>
      </c>
      <c r="I876" s="110" t="s">
        <v>230</v>
      </c>
      <c r="J876" s="110" t="s">
        <v>1897</v>
      </c>
      <c r="K876" s="110" t="s">
        <v>1393</v>
      </c>
      <c r="L876" s="110" t="s">
        <v>654</v>
      </c>
    </row>
    <row r="877" spans="1:12" ht="15.65" thickBot="1" x14ac:dyDescent="0.35">
      <c r="A877" s="6">
        <v>877</v>
      </c>
      <c r="B877" s="1280"/>
      <c r="C877" s="522" t="s">
        <v>200</v>
      </c>
      <c r="D877" s="664" t="s">
        <v>1833</v>
      </c>
      <c r="E877" s="88"/>
      <c r="F877" s="88"/>
      <c r="G877" s="3" t="s">
        <v>4</v>
      </c>
      <c r="H877" s="3"/>
      <c r="I877" s="3"/>
      <c r="J877" s="3"/>
      <c r="K877" s="3"/>
      <c r="L877" s="3"/>
    </row>
    <row r="878" spans="1:12" ht="15.65" thickBot="1" x14ac:dyDescent="0.35">
      <c r="A878" s="6">
        <v>878</v>
      </c>
      <c r="B878" s="534"/>
      <c r="C878" s="15"/>
      <c r="D878" s="75"/>
      <c r="E878" s="75"/>
      <c r="F878" s="75"/>
      <c r="G878" s="11"/>
    </row>
    <row r="879" spans="1:12" ht="15.05" customHeight="1" x14ac:dyDescent="0.3">
      <c r="A879" s="6">
        <v>879</v>
      </c>
      <c r="B879" s="1278" t="s">
        <v>1613</v>
      </c>
      <c r="C879" s="501" t="s">
        <v>416</v>
      </c>
      <c r="D879" s="573">
        <f>$D$865/100*$D$66</f>
        <v>17.610684195904273</v>
      </c>
      <c r="E879" s="91"/>
      <c r="F879" s="91"/>
      <c r="G879" s="110" t="s">
        <v>460</v>
      </c>
      <c r="H879" s="41" t="s">
        <v>629</v>
      </c>
      <c r="I879" s="110"/>
      <c r="J879" s="110"/>
      <c r="K879" s="110"/>
      <c r="L879" s="110"/>
    </row>
    <row r="880" spans="1:12" x14ac:dyDescent="0.3">
      <c r="A880" s="6">
        <v>880</v>
      </c>
      <c r="B880" s="1279"/>
      <c r="C880" s="501" t="s">
        <v>417</v>
      </c>
      <c r="D880" s="573">
        <f>$D$866/100*$D$67</f>
        <v>36.114654195904272</v>
      </c>
      <c r="E880" s="91"/>
      <c r="F880" s="91"/>
      <c r="G880" s="110" t="s">
        <v>460</v>
      </c>
      <c r="H880" s="41" t="s">
        <v>629</v>
      </c>
      <c r="I880" s="110"/>
      <c r="J880" s="110"/>
      <c r="K880" s="110"/>
      <c r="L880" s="110"/>
    </row>
    <row r="881" spans="1:12" ht="15.05" customHeight="1" x14ac:dyDescent="0.3">
      <c r="A881" s="6">
        <v>881</v>
      </c>
      <c r="B881" s="1279"/>
      <c r="C881" s="501" t="s">
        <v>209</v>
      </c>
      <c r="D881" s="658" t="s">
        <v>1833</v>
      </c>
      <c r="E881" s="91"/>
      <c r="F881" s="91"/>
      <c r="G881" s="110" t="s">
        <v>460</v>
      </c>
      <c r="H881" s="110"/>
      <c r="I881" s="110"/>
      <c r="J881" s="110"/>
      <c r="K881" s="110"/>
      <c r="L881" s="110"/>
    </row>
    <row r="882" spans="1:12" x14ac:dyDescent="0.3">
      <c r="A882" s="6">
        <v>882</v>
      </c>
      <c r="B882" s="1279"/>
      <c r="C882" s="258" t="s">
        <v>201</v>
      </c>
      <c r="D882" s="659" t="s">
        <v>1833</v>
      </c>
      <c r="E882" s="215"/>
      <c r="F882" s="215"/>
      <c r="G882" s="55" t="s">
        <v>460</v>
      </c>
      <c r="H882" s="55"/>
      <c r="I882" s="55"/>
      <c r="J882" s="55"/>
      <c r="K882" s="55"/>
      <c r="L882" s="55"/>
    </row>
    <row r="883" spans="1:12" x14ac:dyDescent="0.3">
      <c r="A883" s="6">
        <v>883</v>
      </c>
      <c r="B883" s="1279"/>
      <c r="C883" s="478" t="s">
        <v>114</v>
      </c>
      <c r="D883" s="330">
        <f>($D$870/100)*$D$72</f>
        <v>84.310149999999993</v>
      </c>
      <c r="E883" s="86"/>
      <c r="F883" s="86"/>
      <c r="G883" s="49" t="s">
        <v>460</v>
      </c>
      <c r="H883" s="50" t="s">
        <v>629</v>
      </c>
      <c r="I883" s="49"/>
      <c r="J883" s="49"/>
      <c r="K883" s="49"/>
      <c r="L883" s="49"/>
    </row>
    <row r="884" spans="1:12" x14ac:dyDescent="0.3">
      <c r="A884" s="6">
        <v>884</v>
      </c>
      <c r="B884" s="1279"/>
      <c r="C884" s="502" t="s">
        <v>203</v>
      </c>
      <c r="D884" s="660" t="s">
        <v>1833</v>
      </c>
      <c r="E884" s="82"/>
      <c r="F884" s="82"/>
      <c r="G884" s="53" t="s">
        <v>460</v>
      </c>
      <c r="H884" s="53"/>
      <c r="I884" s="53"/>
      <c r="J884" s="53"/>
      <c r="K884" s="53"/>
      <c r="L884" s="53"/>
    </row>
    <row r="885" spans="1:12" x14ac:dyDescent="0.3">
      <c r="A885" s="6">
        <v>885</v>
      </c>
      <c r="B885" s="1279"/>
      <c r="C885" s="503" t="s">
        <v>202</v>
      </c>
      <c r="D885" s="661" t="s">
        <v>1833</v>
      </c>
      <c r="E885" s="393"/>
      <c r="F885" s="393"/>
      <c r="G885" s="166" t="s">
        <v>460</v>
      </c>
      <c r="H885" s="166"/>
      <c r="I885" s="166"/>
      <c r="J885" s="166"/>
      <c r="K885" s="166"/>
      <c r="L885" s="166"/>
    </row>
    <row r="886" spans="1:12" x14ac:dyDescent="0.3">
      <c r="A886" s="6">
        <v>886</v>
      </c>
      <c r="B886" s="1279"/>
      <c r="C886" s="504" t="s">
        <v>486</v>
      </c>
      <c r="D886" s="657" t="s">
        <v>1833</v>
      </c>
      <c r="E886" s="430"/>
      <c r="F886" s="430"/>
      <c r="G886" s="375" t="s">
        <v>460</v>
      </c>
      <c r="H886" s="375"/>
      <c r="I886" s="375"/>
      <c r="J886" s="375"/>
      <c r="K886" s="375"/>
      <c r="L886" s="375"/>
    </row>
    <row r="887" spans="1:12" s="6" customFormat="1" x14ac:dyDescent="0.3">
      <c r="A887" s="6">
        <v>887</v>
      </c>
      <c r="B887" s="1279"/>
      <c r="C887" s="478" t="s">
        <v>115</v>
      </c>
      <c r="D887" s="330">
        <f>($D$874/100)*$D$76</f>
        <v>47.498149999999995</v>
      </c>
      <c r="E887" s="86"/>
      <c r="F887" s="86"/>
      <c r="G887" s="49" t="s">
        <v>460</v>
      </c>
      <c r="H887" s="50" t="s">
        <v>629</v>
      </c>
      <c r="I887" s="67"/>
      <c r="J887" s="67"/>
      <c r="K887" s="67"/>
      <c r="L887" s="67"/>
    </row>
    <row r="888" spans="1:12" x14ac:dyDescent="0.3">
      <c r="A888" s="6">
        <v>888</v>
      </c>
      <c r="B888" s="1279"/>
      <c r="C888" s="501" t="s">
        <v>316</v>
      </c>
      <c r="D888" s="573">
        <f>(($D$875/100)*$D$77)</f>
        <v>0.50112000000000001</v>
      </c>
      <c r="E888" s="91"/>
      <c r="F888" s="91"/>
      <c r="G888" s="110" t="s">
        <v>460</v>
      </c>
      <c r="H888" s="41" t="s">
        <v>629</v>
      </c>
      <c r="I888" s="110"/>
      <c r="J888" s="110"/>
      <c r="K888" s="110"/>
      <c r="L888" s="110"/>
    </row>
    <row r="889" spans="1:12" s="6" customFormat="1" x14ac:dyDescent="0.3">
      <c r="A889" s="6">
        <v>889</v>
      </c>
      <c r="B889" s="1279"/>
      <c r="C889" s="501" t="s">
        <v>204</v>
      </c>
      <c r="D889" s="466">
        <f>ROUND($D876/100*$D78,-2)</f>
        <v>3400</v>
      </c>
      <c r="E889" s="91"/>
      <c r="F889" s="91"/>
      <c r="G889" s="110" t="s">
        <v>460</v>
      </c>
      <c r="H889" s="41" t="s">
        <v>629</v>
      </c>
      <c r="I889" s="221"/>
      <c r="J889" s="221"/>
      <c r="K889" s="221"/>
      <c r="L889" s="221"/>
    </row>
    <row r="890" spans="1:12" s="6" customFormat="1" ht="15.65" thickBot="1" x14ac:dyDescent="0.35">
      <c r="A890" s="6">
        <v>890</v>
      </c>
      <c r="B890" s="1280"/>
      <c r="C890" s="487" t="s">
        <v>210</v>
      </c>
      <c r="D890" s="652" t="s">
        <v>1833</v>
      </c>
      <c r="E890" s="84"/>
      <c r="F890" s="84"/>
      <c r="G890" s="3" t="s">
        <v>460</v>
      </c>
      <c r="H890" s="52"/>
      <c r="I890" s="52"/>
      <c r="J890" s="52"/>
      <c r="K890" s="52"/>
      <c r="L890" s="52"/>
    </row>
    <row r="891" spans="1:12" s="6" customFormat="1" x14ac:dyDescent="0.3">
      <c r="A891" s="6">
        <v>891</v>
      </c>
      <c r="B891" s="535"/>
      <c r="C891" s="5"/>
      <c r="D891" s="76"/>
      <c r="E891" s="76"/>
      <c r="F891" s="76"/>
      <c r="H891" s="1"/>
    </row>
    <row r="892" spans="1:12" x14ac:dyDescent="0.3">
      <c r="A892" s="6">
        <v>892</v>
      </c>
      <c r="B892" s="536"/>
      <c r="C892" s="67" t="s">
        <v>97</v>
      </c>
      <c r="D892" s="203">
        <f>($D$883+$D$887)/2</f>
        <v>65.904149999999987</v>
      </c>
      <c r="E892" s="86"/>
      <c r="F892" s="86"/>
      <c r="G892" s="49" t="s">
        <v>0</v>
      </c>
      <c r="H892" s="50" t="s">
        <v>629</v>
      </c>
      <c r="I892" s="49"/>
      <c r="J892" s="49"/>
      <c r="K892" s="49"/>
      <c r="L892" s="49"/>
    </row>
    <row r="893" spans="1:12" ht="15.65" thickBot="1" x14ac:dyDescent="0.35">
      <c r="A893" s="6">
        <v>893</v>
      </c>
      <c r="B893" s="135"/>
      <c r="C893" s="15"/>
      <c r="D893" s="75"/>
      <c r="E893" s="75"/>
      <c r="F893" s="75"/>
      <c r="G893" s="11"/>
    </row>
    <row r="894" spans="1:12" x14ac:dyDescent="0.3">
      <c r="A894" s="6">
        <v>894</v>
      </c>
      <c r="B894" s="1278" t="s">
        <v>1614</v>
      </c>
      <c r="C894" s="501" t="s">
        <v>590</v>
      </c>
      <c r="D894" s="466">
        <f>($D$865/100)*($D$66*$D$41)/1000000</f>
        <v>1.0302250254604</v>
      </c>
      <c r="E894" s="91"/>
      <c r="F894" s="91"/>
      <c r="G894" s="110" t="s">
        <v>538</v>
      </c>
      <c r="H894" s="249" t="s">
        <v>629</v>
      </c>
      <c r="I894" s="110"/>
      <c r="J894" s="110"/>
      <c r="K894" s="110"/>
      <c r="L894" s="110"/>
    </row>
    <row r="895" spans="1:12" x14ac:dyDescent="0.3">
      <c r="A895" s="6">
        <v>895</v>
      </c>
      <c r="B895" s="1279"/>
      <c r="C895" s="501" t="s">
        <v>591</v>
      </c>
      <c r="D895" s="573">
        <f>($D$866/100)*($D$67*$D$42)/1000000</f>
        <v>1.5493186650042932</v>
      </c>
      <c r="E895" s="91"/>
      <c r="F895" s="91"/>
      <c r="G895" s="110" t="s">
        <v>538</v>
      </c>
      <c r="H895" s="249" t="s">
        <v>629</v>
      </c>
      <c r="I895" s="110"/>
      <c r="J895" s="110"/>
      <c r="K895" s="110"/>
      <c r="L895" s="110"/>
    </row>
    <row r="896" spans="1:12" ht="15.05" customHeight="1" x14ac:dyDescent="0.3">
      <c r="A896" s="6">
        <v>896</v>
      </c>
      <c r="B896" s="1279"/>
      <c r="C896" s="501" t="s">
        <v>592</v>
      </c>
      <c r="D896" s="658" t="s">
        <v>1833</v>
      </c>
      <c r="E896" s="91"/>
      <c r="F896" s="91"/>
      <c r="G896" s="110" t="s">
        <v>538</v>
      </c>
      <c r="H896" s="247"/>
      <c r="I896" s="110"/>
      <c r="J896" s="110"/>
      <c r="K896" s="110"/>
      <c r="L896" s="110"/>
    </row>
    <row r="897" spans="1:12" x14ac:dyDescent="0.3">
      <c r="A897" s="6">
        <v>897</v>
      </c>
      <c r="B897" s="1279"/>
      <c r="C897" s="258" t="s">
        <v>593</v>
      </c>
      <c r="D897" s="659" t="s">
        <v>1833</v>
      </c>
      <c r="E897" s="215"/>
      <c r="F897" s="215"/>
      <c r="G897" s="55" t="s">
        <v>538</v>
      </c>
      <c r="H897" s="248"/>
      <c r="I897" s="55"/>
      <c r="J897" s="55"/>
      <c r="K897" s="55"/>
      <c r="L897" s="55"/>
    </row>
    <row r="898" spans="1:12" x14ac:dyDescent="0.3">
      <c r="A898" s="6">
        <v>898</v>
      </c>
      <c r="B898" s="1279"/>
      <c r="C898" s="478" t="s">
        <v>594</v>
      </c>
      <c r="D898" s="330">
        <f>($D$870/100)*$D$47*$D$72/1000000</f>
        <v>13.278848624999998</v>
      </c>
      <c r="E898" s="86"/>
      <c r="F898" s="86"/>
      <c r="G898" s="49" t="s">
        <v>538</v>
      </c>
      <c r="H898" s="50" t="s">
        <v>629</v>
      </c>
      <c r="I898" s="49"/>
      <c r="J898" s="49"/>
      <c r="K898" s="49"/>
      <c r="L898" s="49"/>
    </row>
    <row r="899" spans="1:12" x14ac:dyDescent="0.3">
      <c r="A899" s="6">
        <v>899</v>
      </c>
      <c r="B899" s="1279"/>
      <c r="C899" s="502" t="s">
        <v>488</v>
      </c>
      <c r="D899" s="660" t="s">
        <v>1833</v>
      </c>
      <c r="E899" s="82"/>
      <c r="F899" s="82"/>
      <c r="G899" s="53" t="s">
        <v>538</v>
      </c>
      <c r="H899" s="53"/>
      <c r="I899" s="53"/>
      <c r="J899" s="53"/>
      <c r="K899" s="53"/>
      <c r="L899" s="53"/>
    </row>
    <row r="900" spans="1:12" x14ac:dyDescent="0.3">
      <c r="A900" s="6">
        <v>900</v>
      </c>
      <c r="B900" s="1279"/>
      <c r="C900" s="503" t="s">
        <v>489</v>
      </c>
      <c r="D900" s="661" t="s">
        <v>1833</v>
      </c>
      <c r="E900" s="393"/>
      <c r="F900" s="393"/>
      <c r="G900" s="166" t="s">
        <v>538</v>
      </c>
      <c r="H900" s="166"/>
      <c r="I900" s="166"/>
      <c r="J900" s="166"/>
      <c r="K900" s="166"/>
      <c r="L900" s="166"/>
    </row>
    <row r="901" spans="1:12" x14ac:dyDescent="0.3">
      <c r="A901" s="6">
        <v>901</v>
      </c>
      <c r="B901" s="1279"/>
      <c r="C901" s="504" t="s">
        <v>487</v>
      </c>
      <c r="D901" s="657" t="s">
        <v>1833</v>
      </c>
      <c r="E901" s="430"/>
      <c r="F901" s="430"/>
      <c r="G901" s="375" t="s">
        <v>538</v>
      </c>
      <c r="H901" s="375"/>
      <c r="I901" s="375"/>
      <c r="J901" s="375"/>
      <c r="K901" s="375"/>
      <c r="L901" s="375"/>
    </row>
    <row r="902" spans="1:12" x14ac:dyDescent="0.3">
      <c r="A902" s="6">
        <v>902</v>
      </c>
      <c r="B902" s="1279"/>
      <c r="C902" s="478" t="s">
        <v>595</v>
      </c>
      <c r="D902" s="330">
        <f>($D$874/100)*$D$76*$D$51/1000000</f>
        <v>3.5547615459999995</v>
      </c>
      <c r="E902" s="86"/>
      <c r="F902" s="86"/>
      <c r="G902" s="49" t="s">
        <v>538</v>
      </c>
      <c r="H902" s="50" t="s">
        <v>629</v>
      </c>
      <c r="I902" s="49"/>
      <c r="J902" s="49"/>
      <c r="K902" s="49"/>
      <c r="L902" s="49"/>
    </row>
    <row r="903" spans="1:12" x14ac:dyDescent="0.3">
      <c r="A903" s="6">
        <v>903</v>
      </c>
      <c r="B903" s="1279"/>
      <c r="C903" s="501" t="s">
        <v>596</v>
      </c>
      <c r="D903" s="573">
        <f>$D$889*$D$53/1000000</f>
        <v>0.40799999999999997</v>
      </c>
      <c r="E903" s="91"/>
      <c r="F903" s="91"/>
      <c r="G903" s="110" t="s">
        <v>538</v>
      </c>
      <c r="H903" s="41" t="s">
        <v>629</v>
      </c>
      <c r="I903" s="110"/>
      <c r="J903" s="110"/>
      <c r="K903" s="110"/>
      <c r="L903" s="110"/>
    </row>
    <row r="904" spans="1:12" x14ac:dyDescent="0.3">
      <c r="A904" s="6">
        <v>904</v>
      </c>
      <c r="B904" s="1279"/>
      <c r="C904" s="501" t="s">
        <v>597</v>
      </c>
      <c r="D904" s="278">
        <f>($D$875/100)*$D$77*$D$52/1000000</f>
        <v>4.0139712000000001E-2</v>
      </c>
      <c r="E904" s="91"/>
      <c r="F904" s="91"/>
      <c r="G904" s="110" t="s">
        <v>538</v>
      </c>
      <c r="H904" s="41" t="s">
        <v>629</v>
      </c>
      <c r="I904" s="110"/>
      <c r="J904" s="110"/>
      <c r="K904" s="110"/>
      <c r="L904" s="110"/>
    </row>
    <row r="905" spans="1:12" x14ac:dyDescent="0.3">
      <c r="A905" s="6">
        <v>905</v>
      </c>
      <c r="B905" s="1279"/>
      <c r="C905" s="487" t="s">
        <v>490</v>
      </c>
      <c r="D905" s="670" t="s">
        <v>1833</v>
      </c>
      <c r="E905" s="52"/>
      <c r="F905" s="52"/>
      <c r="G905" s="110" t="s">
        <v>538</v>
      </c>
      <c r="H905" s="52"/>
      <c r="I905" s="52"/>
      <c r="J905" s="52"/>
      <c r="K905" s="52"/>
      <c r="L905" s="52"/>
    </row>
    <row r="906" spans="1:12" ht="15.65" thickBot="1" x14ac:dyDescent="0.35">
      <c r="A906" s="6">
        <v>906</v>
      </c>
      <c r="B906" s="1279"/>
      <c r="C906" s="490"/>
      <c r="D906" s="136"/>
      <c r="E906" s="136"/>
      <c r="F906" s="136"/>
      <c r="G906" s="131"/>
    </row>
    <row r="907" spans="1:12" ht="15.65" thickBot="1" x14ac:dyDescent="0.35">
      <c r="A907" s="6">
        <v>907</v>
      </c>
      <c r="B907" s="1280"/>
      <c r="C907" s="521" t="s">
        <v>1962</v>
      </c>
      <c r="D907" s="256">
        <f>D894+D895+D898+D902+D903+D904</f>
        <v>19.861293573464689</v>
      </c>
      <c r="E907" s="119"/>
      <c r="F907" s="307"/>
      <c r="G907" s="120" t="s">
        <v>538</v>
      </c>
      <c r="H907" s="527" t="s">
        <v>629</v>
      </c>
    </row>
    <row r="908" spans="1:12" ht="15.65" thickBot="1" x14ac:dyDescent="0.35">
      <c r="A908" s="6">
        <v>908</v>
      </c>
      <c r="B908" s="534"/>
      <c r="C908" s="530"/>
      <c r="D908" s="117"/>
      <c r="E908" s="117"/>
      <c r="F908" s="117"/>
      <c r="G908" s="30"/>
      <c r="H908" s="75"/>
    </row>
    <row r="909" spans="1:12" x14ac:dyDescent="0.3">
      <c r="A909" s="6">
        <v>909</v>
      </c>
      <c r="B909" s="1278" t="s">
        <v>1625</v>
      </c>
      <c r="C909" s="501" t="s">
        <v>1617</v>
      </c>
      <c r="D909" s="466">
        <f>$D$894*$D$17</f>
        <v>46.828410248199994</v>
      </c>
      <c r="E909" s="91"/>
      <c r="F909" s="91"/>
      <c r="G909" s="110" t="s">
        <v>948</v>
      </c>
      <c r="H909" s="91"/>
      <c r="I909" s="110"/>
      <c r="J909" s="110"/>
      <c r="K909" s="110"/>
      <c r="L909" s="110"/>
    </row>
    <row r="910" spans="1:12" x14ac:dyDescent="0.3">
      <c r="A910" s="6">
        <v>910</v>
      </c>
      <c r="B910" s="1279"/>
      <c r="C910" s="501" t="s">
        <v>1618</v>
      </c>
      <c r="D910" s="466">
        <f>$D$895*$D$17</f>
        <v>70.423575682013322</v>
      </c>
      <c r="E910" s="91"/>
      <c r="F910" s="91"/>
      <c r="G910" s="110" t="s">
        <v>948</v>
      </c>
      <c r="H910" s="91"/>
      <c r="I910" s="110"/>
      <c r="J910" s="110"/>
      <c r="K910" s="110"/>
      <c r="L910" s="110"/>
    </row>
    <row r="911" spans="1:12" ht="15.05" customHeight="1" x14ac:dyDescent="0.3">
      <c r="A911" s="6">
        <v>911</v>
      </c>
      <c r="B911" s="1279"/>
      <c r="C911" s="501" t="s">
        <v>1619</v>
      </c>
      <c r="D911" s="658" t="s">
        <v>1833</v>
      </c>
      <c r="E911" s="91"/>
      <c r="F911" s="91"/>
      <c r="G911" s="110" t="s">
        <v>948</v>
      </c>
      <c r="H911" s="91"/>
      <c r="I911" s="110"/>
      <c r="J911" s="110"/>
      <c r="K911" s="110"/>
      <c r="L911" s="110"/>
    </row>
    <row r="912" spans="1:12" x14ac:dyDescent="0.3">
      <c r="A912" s="6">
        <v>912</v>
      </c>
      <c r="B912" s="1279"/>
      <c r="C912" s="258" t="s">
        <v>1620</v>
      </c>
      <c r="D912" s="659" t="s">
        <v>1833</v>
      </c>
      <c r="E912" s="215"/>
      <c r="F912" s="215"/>
      <c r="G912" s="55" t="s">
        <v>948</v>
      </c>
      <c r="H912" s="215"/>
      <c r="I912" s="55"/>
      <c r="J912" s="55"/>
      <c r="K912" s="55"/>
      <c r="L912" s="55"/>
    </row>
    <row r="913" spans="1:12" x14ac:dyDescent="0.3">
      <c r="A913" s="6">
        <v>913</v>
      </c>
      <c r="B913" s="1279"/>
      <c r="C913" s="478" t="s">
        <v>1621</v>
      </c>
      <c r="D913" s="203">
        <f>ROUND($D$898*$D$17,-1)</f>
        <v>600</v>
      </c>
      <c r="E913" s="86"/>
      <c r="F913" s="86"/>
      <c r="G913" s="49" t="s">
        <v>948</v>
      </c>
      <c r="H913" s="86"/>
      <c r="I913" s="49"/>
      <c r="J913" s="49"/>
      <c r="K913" s="49"/>
      <c r="L913" s="49"/>
    </row>
    <row r="914" spans="1:12" x14ac:dyDescent="0.3">
      <c r="A914" s="6">
        <v>914</v>
      </c>
      <c r="B914" s="1279"/>
      <c r="C914" s="502" t="s">
        <v>1764</v>
      </c>
      <c r="D914" s="660" t="s">
        <v>1833</v>
      </c>
      <c r="E914" s="82"/>
      <c r="F914" s="82"/>
      <c r="G914" s="53" t="s">
        <v>948</v>
      </c>
      <c r="H914" s="82"/>
      <c r="I914" s="53"/>
      <c r="J914" s="53"/>
      <c r="K914" s="53"/>
      <c r="L914" s="53"/>
    </row>
    <row r="915" spans="1:12" x14ac:dyDescent="0.3">
      <c r="A915" s="6">
        <v>915</v>
      </c>
      <c r="B915" s="1279"/>
      <c r="C915" s="503" t="s">
        <v>1765</v>
      </c>
      <c r="D915" s="661" t="s">
        <v>1833</v>
      </c>
      <c r="E915" s="393"/>
      <c r="F915" s="393"/>
      <c r="G915" s="166" t="s">
        <v>948</v>
      </c>
      <c r="H915" s="393"/>
      <c r="I915" s="166"/>
      <c r="J915" s="166"/>
      <c r="K915" s="166"/>
      <c r="L915" s="166"/>
    </row>
    <row r="916" spans="1:12" x14ac:dyDescent="0.3">
      <c r="A916" s="6">
        <v>916</v>
      </c>
      <c r="B916" s="1279"/>
      <c r="C916" s="504" t="s">
        <v>1766</v>
      </c>
      <c r="D916" s="657" t="s">
        <v>1833</v>
      </c>
      <c r="E916" s="430"/>
      <c r="F916" s="430"/>
      <c r="G916" s="375" t="s">
        <v>948</v>
      </c>
      <c r="H916" s="430"/>
      <c r="I916" s="375"/>
      <c r="J916" s="375"/>
      <c r="K916" s="375"/>
      <c r="L916" s="375"/>
    </row>
    <row r="917" spans="1:12" x14ac:dyDescent="0.3">
      <c r="A917" s="6">
        <v>917</v>
      </c>
      <c r="B917" s="1279"/>
      <c r="C917" s="478" t="s">
        <v>1622</v>
      </c>
      <c r="D917" s="203">
        <f>ROUND($D$902*$D$17,-1)</f>
        <v>160</v>
      </c>
      <c r="E917" s="86"/>
      <c r="F917" s="86"/>
      <c r="G917" s="49" t="s">
        <v>948</v>
      </c>
      <c r="H917" s="86"/>
      <c r="I917" s="49"/>
      <c r="J917" s="49"/>
      <c r="K917" s="49"/>
      <c r="L917" s="49"/>
    </row>
    <row r="918" spans="1:12" x14ac:dyDescent="0.3">
      <c r="A918" s="6">
        <v>918</v>
      </c>
      <c r="B918" s="1279"/>
      <c r="C918" s="501" t="s">
        <v>1623</v>
      </c>
      <c r="D918" s="466">
        <f>D903*$D$17</f>
        <v>18.545454545454543</v>
      </c>
      <c r="E918" s="91"/>
      <c r="F918" s="91"/>
      <c r="G918" s="110" t="s">
        <v>948</v>
      </c>
      <c r="H918" s="91"/>
      <c r="I918" s="110"/>
      <c r="J918" s="110"/>
      <c r="K918" s="110"/>
      <c r="L918" s="110"/>
    </row>
    <row r="919" spans="1:12" x14ac:dyDescent="0.3">
      <c r="A919" s="6">
        <v>919</v>
      </c>
      <c r="B919" s="1279"/>
      <c r="C919" s="501" t="s">
        <v>1624</v>
      </c>
      <c r="D919" s="573">
        <f>$D$904*$D$17</f>
        <v>1.8245323636363637</v>
      </c>
      <c r="E919" s="91"/>
      <c r="F919" s="91"/>
      <c r="G919" s="110" t="s">
        <v>948</v>
      </c>
      <c r="H919" s="91"/>
      <c r="I919" s="110"/>
      <c r="J919" s="110"/>
      <c r="K919" s="110"/>
      <c r="L919" s="110"/>
    </row>
    <row r="920" spans="1:12" x14ac:dyDescent="0.3">
      <c r="A920" s="6">
        <v>920</v>
      </c>
      <c r="B920" s="1279"/>
      <c r="C920" s="487" t="s">
        <v>1767</v>
      </c>
      <c r="D920" s="670" t="s">
        <v>1833</v>
      </c>
      <c r="E920" s="84"/>
      <c r="F920" s="84"/>
      <c r="G920" s="3" t="s">
        <v>948</v>
      </c>
      <c r="H920" s="84"/>
      <c r="I920" s="3"/>
      <c r="J920" s="3"/>
      <c r="K920" s="3"/>
      <c r="L920" s="3"/>
    </row>
    <row r="921" spans="1:12" s="5" customFormat="1" ht="15.65" thickBot="1" x14ac:dyDescent="0.35">
      <c r="A921" s="6">
        <v>921</v>
      </c>
      <c r="B921" s="1279"/>
      <c r="C921" s="490"/>
      <c r="D921" s="124"/>
      <c r="E921" s="114"/>
      <c r="F921" s="114"/>
      <c r="G921" s="124"/>
      <c r="H921" s="76"/>
    </row>
    <row r="922" spans="1:12" ht="15.05" customHeight="1" thickBot="1" x14ac:dyDescent="0.35">
      <c r="A922" s="6">
        <v>922</v>
      </c>
      <c r="B922" s="1280"/>
      <c r="C922" s="521" t="s">
        <v>1963</v>
      </c>
      <c r="D922" s="554">
        <f>ROUND($D$909+$D$910+$D$913+$D$917+$D$918+$D$919,-1)</f>
        <v>900</v>
      </c>
      <c r="E922" s="128"/>
      <c r="F922" s="308"/>
      <c r="G922" s="120" t="s">
        <v>948</v>
      </c>
      <c r="H922" s="112" t="s">
        <v>629</v>
      </c>
    </row>
    <row r="923" spans="1:12" x14ac:dyDescent="0.3">
      <c r="A923" s="6">
        <v>923</v>
      </c>
      <c r="B923" s="535"/>
      <c r="C923" s="5"/>
      <c r="D923" s="76"/>
      <c r="E923" s="76"/>
      <c r="F923" s="76"/>
    </row>
    <row r="924" spans="1:12" x14ac:dyDescent="0.3">
      <c r="A924" s="6">
        <v>924</v>
      </c>
      <c r="B924" s="33" t="s">
        <v>1615</v>
      </c>
      <c r="C924" s="33" t="s">
        <v>95</v>
      </c>
      <c r="D924" s="108"/>
      <c r="E924" s="108"/>
      <c r="F924" s="108"/>
      <c r="G924" s="33"/>
      <c r="H924" s="33"/>
      <c r="I924" s="33"/>
      <c r="J924" s="33"/>
      <c r="K924" s="33"/>
      <c r="L924" s="33"/>
    </row>
    <row r="925" spans="1:12" s="11" customFormat="1" x14ac:dyDescent="0.3">
      <c r="A925" s="6">
        <v>925</v>
      </c>
      <c r="C925" s="16"/>
      <c r="D925" s="109"/>
      <c r="E925" s="109"/>
      <c r="F925" s="109"/>
      <c r="G925" s="16"/>
      <c r="H925" s="16"/>
      <c r="I925" s="16"/>
      <c r="J925" s="16"/>
      <c r="K925" s="16"/>
      <c r="L925" s="16"/>
    </row>
    <row r="926" spans="1:12" x14ac:dyDescent="0.3">
      <c r="A926" s="6">
        <v>926</v>
      </c>
      <c r="C926" s="5" t="s">
        <v>1019</v>
      </c>
      <c r="D926" s="291">
        <v>1.163</v>
      </c>
      <c r="E926" s="291">
        <v>0.1</v>
      </c>
      <c r="F926" s="291"/>
      <c r="G926" s="11" t="s">
        <v>1020</v>
      </c>
      <c r="H926" s="6" t="s">
        <v>2368</v>
      </c>
      <c r="I926" s="2" t="s">
        <v>2520</v>
      </c>
      <c r="J926" s="2" t="s">
        <v>899</v>
      </c>
      <c r="K926" s="2" t="s">
        <v>1929</v>
      </c>
      <c r="L926" s="2" t="s">
        <v>850</v>
      </c>
    </row>
    <row r="927" spans="1:12" x14ac:dyDescent="0.3">
      <c r="A927" s="6">
        <v>927</v>
      </c>
      <c r="C927" s="5" t="s">
        <v>598</v>
      </c>
      <c r="D927" s="75">
        <f>$D$926/$D$17</f>
        <v>2.5586000000000001E-2</v>
      </c>
      <c r="E927" s="75"/>
      <c r="F927" s="75"/>
      <c r="G927" s="11" t="s">
        <v>599</v>
      </c>
      <c r="H927" s="1" t="s">
        <v>629</v>
      </c>
    </row>
    <row r="928" spans="1:12" x14ac:dyDescent="0.3">
      <c r="A928" s="6">
        <v>928</v>
      </c>
      <c r="C928" s="5" t="s">
        <v>350</v>
      </c>
      <c r="D928" s="147">
        <f>($D$205*$D$926/$D$329)</f>
        <v>0.98326363636363645</v>
      </c>
      <c r="E928" s="75"/>
      <c r="F928" s="75"/>
      <c r="G928" s="11" t="s">
        <v>28</v>
      </c>
      <c r="H928" s="1" t="s">
        <v>629</v>
      </c>
      <c r="I928" s="2" t="s">
        <v>2398</v>
      </c>
      <c r="J928" s="2" t="s">
        <v>1897</v>
      </c>
    </row>
    <row r="929" spans="1:12" x14ac:dyDescent="0.3">
      <c r="A929" s="6">
        <v>929</v>
      </c>
      <c r="C929" s="5" t="s">
        <v>351</v>
      </c>
      <c r="D929" s="147">
        <f>($D$927/($D$233+$D$237))*1000000000</f>
        <v>1.0981115879828327</v>
      </c>
      <c r="E929" s="75"/>
      <c r="F929" s="75"/>
      <c r="G929" s="11" t="s">
        <v>28</v>
      </c>
      <c r="H929" s="1" t="s">
        <v>629</v>
      </c>
      <c r="I929" s="2" t="s">
        <v>2399</v>
      </c>
      <c r="J929" s="2" t="s">
        <v>1897</v>
      </c>
    </row>
    <row r="930" spans="1:12" x14ac:dyDescent="0.3">
      <c r="A930" s="6">
        <v>930</v>
      </c>
      <c r="C930" s="5" t="s">
        <v>73</v>
      </c>
      <c r="D930" s="291">
        <v>892.5</v>
      </c>
      <c r="G930" s="11" t="s">
        <v>75</v>
      </c>
    </row>
    <row r="931" spans="1:12" x14ac:dyDescent="0.3">
      <c r="A931" s="6">
        <v>931</v>
      </c>
      <c r="C931" s="5" t="s">
        <v>74</v>
      </c>
      <c r="D931" s="291">
        <v>907.49</v>
      </c>
      <c r="G931" s="11" t="s">
        <v>75</v>
      </c>
    </row>
    <row r="932" spans="1:12" x14ac:dyDescent="0.3">
      <c r="A932" s="6">
        <v>932</v>
      </c>
      <c r="C932" s="1" t="s">
        <v>76</v>
      </c>
      <c r="D932" s="324">
        <v>2.52</v>
      </c>
      <c r="E932" s="324">
        <v>0.4</v>
      </c>
      <c r="F932" s="324"/>
      <c r="G932" s="2" t="s">
        <v>44</v>
      </c>
      <c r="H932" s="6" t="s">
        <v>2368</v>
      </c>
      <c r="J932" s="2" t="s">
        <v>851</v>
      </c>
      <c r="K932" s="2" t="s">
        <v>1929</v>
      </c>
      <c r="L932" s="2" t="s">
        <v>850</v>
      </c>
    </row>
    <row r="933" spans="1:12" x14ac:dyDescent="0.3">
      <c r="A933" s="6">
        <v>933</v>
      </c>
      <c r="C933" s="5" t="s">
        <v>1021</v>
      </c>
      <c r="D933" s="207">
        <f>ROUND($D$926/(1+1/$D$932)*1000,-1)</f>
        <v>830</v>
      </c>
      <c r="E933" s="75"/>
      <c r="F933" s="75"/>
      <c r="G933" s="11" t="s">
        <v>973</v>
      </c>
      <c r="H933" s="1" t="s">
        <v>629</v>
      </c>
      <c r="I933" s="6" t="s">
        <v>352</v>
      </c>
    </row>
    <row r="934" spans="1:12" x14ac:dyDescent="0.3">
      <c r="A934" s="6">
        <v>934</v>
      </c>
      <c r="C934" s="5" t="s">
        <v>1022</v>
      </c>
      <c r="D934" s="207">
        <f>$D$926*1000/(1+$D$932)</f>
        <v>330.39772727272725</v>
      </c>
      <c r="E934" s="75"/>
      <c r="F934" s="75"/>
      <c r="G934" s="11" t="s">
        <v>973</v>
      </c>
      <c r="H934" s="1" t="s">
        <v>629</v>
      </c>
      <c r="I934" s="6" t="s">
        <v>352</v>
      </c>
    </row>
    <row r="935" spans="1:12" x14ac:dyDescent="0.3">
      <c r="A935" s="6">
        <v>935</v>
      </c>
      <c r="C935" s="13" t="s">
        <v>1023</v>
      </c>
      <c r="D935" s="207">
        <f>ROUND($D$933/$D$930*1000,-1)</f>
        <v>930</v>
      </c>
      <c r="E935" s="75"/>
      <c r="F935" s="75"/>
      <c r="G935" s="13" t="s">
        <v>974</v>
      </c>
      <c r="H935" s="15" t="s">
        <v>629</v>
      </c>
      <c r="I935" s="13"/>
      <c r="J935" s="13"/>
      <c r="K935" s="13"/>
      <c r="L935" s="13"/>
    </row>
    <row r="936" spans="1:12" x14ac:dyDescent="0.3">
      <c r="A936" s="6">
        <v>936</v>
      </c>
      <c r="C936" s="13" t="s">
        <v>1024</v>
      </c>
      <c r="D936" s="207">
        <f>ROUND($D$934/$D$931*1000,-1)</f>
        <v>360</v>
      </c>
      <c r="E936" s="75"/>
      <c r="F936" s="75"/>
      <c r="G936" s="13" t="s">
        <v>974</v>
      </c>
      <c r="H936" s="15" t="s">
        <v>629</v>
      </c>
      <c r="I936" s="13"/>
      <c r="J936" s="13"/>
      <c r="K936" s="13"/>
      <c r="L936" s="13"/>
    </row>
    <row r="937" spans="1:12" x14ac:dyDescent="0.3">
      <c r="A937" s="6">
        <v>937</v>
      </c>
      <c r="C937" s="13" t="s">
        <v>1025</v>
      </c>
      <c r="D937" s="207">
        <f>ROUND($D$935+$D$936,-2)</f>
        <v>1300</v>
      </c>
      <c r="E937" s="75"/>
      <c r="F937" s="75"/>
      <c r="G937" s="13" t="s">
        <v>974</v>
      </c>
      <c r="H937" s="11" t="s">
        <v>2368</v>
      </c>
      <c r="J937" s="2" t="s">
        <v>851</v>
      </c>
      <c r="K937" s="2" t="s">
        <v>1929</v>
      </c>
      <c r="L937" s="2" t="s">
        <v>850</v>
      </c>
    </row>
    <row r="938" spans="1:12" x14ac:dyDescent="0.3">
      <c r="A938" s="6">
        <v>938</v>
      </c>
      <c r="C938" s="5" t="s">
        <v>1626</v>
      </c>
      <c r="D938" s="207">
        <f>ROUND(1000000000/$D$928,-7)</f>
        <v>1020000000</v>
      </c>
      <c r="E938" s="75"/>
      <c r="F938" s="75"/>
      <c r="G938" s="11" t="s">
        <v>1876</v>
      </c>
      <c r="H938" s="1" t="s">
        <v>629</v>
      </c>
    </row>
    <row r="939" spans="1:12" x14ac:dyDescent="0.3">
      <c r="A939" s="6">
        <v>939</v>
      </c>
      <c r="C939" s="5"/>
      <c r="G939" s="11"/>
    </row>
    <row r="940" spans="1:12" x14ac:dyDescent="0.3">
      <c r="A940" s="6">
        <v>940</v>
      </c>
      <c r="C940" s="5"/>
      <c r="G940" s="11"/>
    </row>
    <row r="941" spans="1:12" s="11" customFormat="1" x14ac:dyDescent="0.3">
      <c r="A941" s="6">
        <v>941</v>
      </c>
      <c r="B941" s="443" t="s">
        <v>1314</v>
      </c>
      <c r="C941" s="443" t="s">
        <v>1775</v>
      </c>
      <c r="D941" s="443"/>
      <c r="E941" s="443"/>
      <c r="F941" s="443"/>
      <c r="G941" s="443"/>
      <c r="H941" s="443"/>
      <c r="I941" s="443"/>
    </row>
    <row r="942" spans="1:12" s="11" customFormat="1" x14ac:dyDescent="0.3">
      <c r="A942" s="6">
        <v>942</v>
      </c>
      <c r="C942" s="16"/>
      <c r="D942" s="109"/>
      <c r="E942" s="109"/>
      <c r="F942" s="109"/>
      <c r="G942" s="16"/>
    </row>
    <row r="943" spans="1:12" s="11" customFormat="1" x14ac:dyDescent="0.3">
      <c r="A943" s="6">
        <v>943</v>
      </c>
      <c r="B943" s="1284" t="s">
        <v>1777</v>
      </c>
      <c r="C943" s="5" t="s">
        <v>138</v>
      </c>
      <c r="D943" s="139">
        <f>1000/$D$154</f>
        <v>0.90909090909090906</v>
      </c>
      <c r="E943" s="76"/>
      <c r="F943" s="76"/>
      <c r="H943" s="11" t="s">
        <v>2153</v>
      </c>
      <c r="I943" s="11" t="s">
        <v>1026</v>
      </c>
    </row>
    <row r="944" spans="1:12" s="11" customFormat="1" x14ac:dyDescent="0.3">
      <c r="A944" s="6">
        <v>944</v>
      </c>
      <c r="B944" s="1285"/>
      <c r="C944" s="123" t="s">
        <v>139</v>
      </c>
      <c r="D944" s="251">
        <f>1000/$D$107</f>
        <v>46.728971962616825</v>
      </c>
      <c r="E944" s="76"/>
      <c r="F944" s="76"/>
      <c r="H944" s="11" t="s">
        <v>2153</v>
      </c>
      <c r="I944" s="11" t="s">
        <v>1027</v>
      </c>
    </row>
    <row r="945" spans="1:9" s="11" customFormat="1" x14ac:dyDescent="0.3">
      <c r="A945" s="6">
        <v>945</v>
      </c>
      <c r="B945" s="1285"/>
      <c r="C945" s="23" t="s">
        <v>140</v>
      </c>
      <c r="D945" s="322">
        <f>1000/$D$329</f>
        <v>9.0909090909090917</v>
      </c>
      <c r="E945" s="76"/>
      <c r="F945" s="76"/>
      <c r="H945" s="11" t="s">
        <v>2153</v>
      </c>
      <c r="I945" s="11" t="s">
        <v>1028</v>
      </c>
    </row>
    <row r="946" spans="1:9" s="11" customFormat="1" x14ac:dyDescent="0.3">
      <c r="A946" s="6">
        <v>946</v>
      </c>
      <c r="B946" s="1285"/>
      <c r="C946" s="44" t="s">
        <v>142</v>
      </c>
      <c r="D946" s="251">
        <f>ROUND(1000/$D$363,-1)</f>
        <v>260</v>
      </c>
      <c r="E946" s="76"/>
      <c r="F946" s="76"/>
      <c r="H946" s="11" t="s">
        <v>2153</v>
      </c>
      <c r="I946" s="11" t="s">
        <v>1029</v>
      </c>
    </row>
    <row r="947" spans="1:9" s="11" customFormat="1" x14ac:dyDescent="0.3">
      <c r="A947" s="6">
        <v>947</v>
      </c>
      <c r="B947" s="1285"/>
      <c r="C947" s="5" t="s">
        <v>143</v>
      </c>
      <c r="D947" s="251">
        <f>1000/($D$363+$D$348)</f>
        <v>54.111359190638751</v>
      </c>
      <c r="E947" s="76"/>
      <c r="F947" s="76"/>
      <c r="H947" s="11" t="s">
        <v>2153</v>
      </c>
      <c r="I947" s="11" t="s">
        <v>1030</v>
      </c>
    </row>
    <row r="948" spans="1:9" s="11" customFormat="1" x14ac:dyDescent="0.3">
      <c r="A948" s="6">
        <v>948</v>
      </c>
      <c r="B948" s="1285"/>
      <c r="C948" s="5" t="s">
        <v>144</v>
      </c>
      <c r="D948" s="322">
        <f>1000/($D$154-$D$922)</f>
        <v>5</v>
      </c>
      <c r="E948" s="76"/>
      <c r="F948" s="76"/>
      <c r="H948" s="11" t="s">
        <v>2153</v>
      </c>
      <c r="I948" s="11" t="s">
        <v>1031</v>
      </c>
    </row>
    <row r="949" spans="1:9" s="11" customFormat="1" x14ac:dyDescent="0.3">
      <c r="A949" s="6">
        <v>949</v>
      </c>
      <c r="B949" s="1285"/>
      <c r="C949" s="5" t="s">
        <v>145</v>
      </c>
      <c r="D949" s="322">
        <f>1000/($D$159-$D$913-$D$917)</f>
        <v>5.2631578947368425</v>
      </c>
      <c r="E949" s="76"/>
      <c r="F949" s="76"/>
      <c r="H949" s="11" t="s">
        <v>2153</v>
      </c>
      <c r="I949" s="11" t="s">
        <v>1032</v>
      </c>
    </row>
    <row r="950" spans="1:9" s="11" customFormat="1" x14ac:dyDescent="0.3">
      <c r="A950" s="6">
        <v>950</v>
      </c>
      <c r="B950" s="1285"/>
      <c r="C950" s="65" t="s">
        <v>146</v>
      </c>
      <c r="D950" s="251">
        <f>1000/$D$438</f>
        <v>25.440340804354086</v>
      </c>
      <c r="E950" s="76"/>
      <c r="F950" s="76"/>
      <c r="H950" s="11" t="s">
        <v>2153</v>
      </c>
      <c r="I950" s="11" t="s">
        <v>1033</v>
      </c>
    </row>
    <row r="951" spans="1:9" s="11" customFormat="1" x14ac:dyDescent="0.3">
      <c r="A951" s="6">
        <v>951</v>
      </c>
      <c r="B951" s="1285"/>
      <c r="C951" s="65" t="s">
        <v>147</v>
      </c>
      <c r="D951" s="251">
        <f>1000/($D$429+$D$433)</f>
        <v>29.893276298104276</v>
      </c>
      <c r="E951" s="76"/>
      <c r="F951" s="76"/>
      <c r="H951" s="11" t="s">
        <v>2153</v>
      </c>
      <c r="I951" s="11" t="s">
        <v>1034</v>
      </c>
    </row>
    <row r="952" spans="1:9" x14ac:dyDescent="0.3">
      <c r="A952" s="6">
        <v>952</v>
      </c>
      <c r="B952" s="1285"/>
      <c r="C952" s="5" t="s">
        <v>148</v>
      </c>
      <c r="D952" s="207">
        <f>1000/($D$438+ $D$860+$D$506)</f>
        <v>24.063213420225168</v>
      </c>
      <c r="E952" s="75"/>
      <c r="F952" s="75"/>
      <c r="H952" s="11" t="s">
        <v>2153</v>
      </c>
      <c r="I952" s="2" t="s">
        <v>1035</v>
      </c>
    </row>
    <row r="953" spans="1:9" x14ac:dyDescent="0.3">
      <c r="A953" s="6">
        <v>953</v>
      </c>
      <c r="B953" s="1285"/>
      <c r="C953" s="5" t="s">
        <v>149</v>
      </c>
      <c r="D953" s="207">
        <f>1000/($D$429+$D$433+$D$497+$D$501+$D$851+$D$855)</f>
        <v>28.200972312745094</v>
      </c>
      <c r="E953" s="75"/>
      <c r="F953" s="75"/>
      <c r="H953" s="11" t="s">
        <v>2153</v>
      </c>
      <c r="I953" s="2" t="s">
        <v>1036</v>
      </c>
    </row>
    <row r="954" spans="1:9" s="11" customFormat="1" x14ac:dyDescent="0.3">
      <c r="A954" s="6">
        <v>954</v>
      </c>
      <c r="B954" s="1285"/>
      <c r="C954" s="5" t="s">
        <v>150</v>
      </c>
      <c r="D954" s="251">
        <f>1000/($D$438+$D$711)</f>
        <v>19.879126023577967</v>
      </c>
      <c r="E954" s="76"/>
      <c r="F954" s="76"/>
      <c r="H954" s="11" t="s">
        <v>2153</v>
      </c>
      <c r="I954" s="11" t="s">
        <v>353</v>
      </c>
    </row>
    <row r="955" spans="1:9" s="11" customFormat="1" x14ac:dyDescent="0.3">
      <c r="A955" s="6">
        <v>955</v>
      </c>
      <c r="B955" s="1285"/>
      <c r="C955" s="5" t="s">
        <v>151</v>
      </c>
      <c r="D955" s="251">
        <f>1000/($D$429+$D$433+$D$702+$D$706)</f>
        <v>23.11182074396531</v>
      </c>
      <c r="E955" s="76"/>
      <c r="F955" s="76"/>
      <c r="H955" s="11" t="s">
        <v>2153</v>
      </c>
      <c r="I955" s="11" t="s">
        <v>353</v>
      </c>
    </row>
    <row r="956" spans="1:9" s="11" customFormat="1" x14ac:dyDescent="0.3">
      <c r="A956" s="6">
        <v>956</v>
      </c>
      <c r="B956" s="1285"/>
      <c r="C956" s="5" t="s">
        <v>152</v>
      </c>
      <c r="D956" s="322">
        <f>1000/($D$438+$D$340+ $D$711 + $D$860)</f>
        <v>8.9734313163312844</v>
      </c>
      <c r="E956" s="76"/>
      <c r="F956" s="76"/>
      <c r="H956" s="11" t="s">
        <v>2153</v>
      </c>
      <c r="I956" s="11" t="s">
        <v>353</v>
      </c>
    </row>
    <row r="957" spans="1:9" s="11" customFormat="1" x14ac:dyDescent="0.3">
      <c r="A957" s="6">
        <v>957</v>
      </c>
      <c r="B957" s="1285"/>
      <c r="C957" s="5" t="s">
        <v>153</v>
      </c>
      <c r="D957" s="322">
        <f>1000/($D$429+$D$433+$D$340+ $D$702+$D$706 + $D$851+ $D$855)</f>
        <v>9.5820588397198065</v>
      </c>
      <c r="E957" s="76"/>
      <c r="F957" s="76"/>
      <c r="H957" s="11" t="s">
        <v>2153</v>
      </c>
      <c r="I957" s="11" t="s">
        <v>353</v>
      </c>
    </row>
    <row r="958" spans="1:9" s="11" customFormat="1" x14ac:dyDescent="0.3">
      <c r="A958" s="6">
        <v>958</v>
      </c>
      <c r="B958" s="1285"/>
      <c r="C958" s="29" t="s">
        <v>154</v>
      </c>
      <c r="D958" s="322">
        <f>1000/($D$438+$D$340+ $D$711+$D$922 +$D$860)</f>
        <v>0.98868930465660898</v>
      </c>
      <c r="E958" s="76"/>
      <c r="F958" s="76"/>
      <c r="H958" s="11" t="s">
        <v>2153</v>
      </c>
      <c r="I958" s="11" t="s">
        <v>353</v>
      </c>
    </row>
    <row r="959" spans="1:9" x14ac:dyDescent="0.3">
      <c r="A959" s="6">
        <v>959</v>
      </c>
      <c r="B959" s="1285"/>
      <c r="C959" s="29" t="s">
        <v>155</v>
      </c>
      <c r="D959" s="284">
        <f>1000/($D$429+$D$433+$D$340+ $D$702+$D$706+$D$913+$D$917+$D$851+$D$855)</f>
        <v>1.1569230727884736</v>
      </c>
      <c r="E959" s="75"/>
      <c r="F959" s="75"/>
      <c r="H959" s="11" t="s">
        <v>2153</v>
      </c>
      <c r="I959" s="11" t="s">
        <v>353</v>
      </c>
    </row>
    <row r="960" spans="1:9" s="11" customFormat="1" x14ac:dyDescent="0.3">
      <c r="A960" s="6">
        <v>960</v>
      </c>
      <c r="B960" s="1285"/>
      <c r="C960" s="29" t="s">
        <v>156</v>
      </c>
      <c r="D960" s="322">
        <f>1000/($D$438+$D$340+ $D$711)</f>
        <v>9.0488967908724121</v>
      </c>
      <c r="E960" s="76"/>
      <c r="F960" s="76"/>
      <c r="H960" s="11" t="s">
        <v>2153</v>
      </c>
      <c r="I960" s="11" t="s">
        <v>353</v>
      </c>
    </row>
    <row r="961" spans="1:9" s="11" customFormat="1" x14ac:dyDescent="0.3">
      <c r="A961" s="6">
        <v>961</v>
      </c>
      <c r="B961" s="1285"/>
      <c r="C961" s="29" t="s">
        <v>157</v>
      </c>
      <c r="D961" s="322">
        <f>1000/($D$429+$D$433+$D$340+ $D$702+$D$706)</f>
        <v>9.6642084891000213</v>
      </c>
      <c r="E961" s="76"/>
      <c r="F961" s="76"/>
      <c r="H961" s="11" t="s">
        <v>2153</v>
      </c>
      <c r="I961" s="11" t="s">
        <v>353</v>
      </c>
    </row>
    <row r="962" spans="1:9" s="11" customFormat="1" x14ac:dyDescent="0.3">
      <c r="A962" s="6">
        <v>962</v>
      </c>
      <c r="B962" s="1285"/>
      <c r="C962" s="29" t="s">
        <v>158</v>
      </c>
      <c r="D962" s="251">
        <f>1000/($D$438+$D$340+ $D$711+$D$922)</f>
        <v>0.98959861691378426</v>
      </c>
      <c r="E962" s="76"/>
      <c r="F962" s="76"/>
      <c r="H962" s="11" t="s">
        <v>2153</v>
      </c>
      <c r="I962" s="11" t="s">
        <v>353</v>
      </c>
    </row>
    <row r="963" spans="1:9" s="11" customFormat="1" x14ac:dyDescent="0.3">
      <c r="A963" s="6">
        <v>963</v>
      </c>
      <c r="B963" s="1285"/>
      <c r="C963" s="29" t="s">
        <v>159</v>
      </c>
      <c r="D963" s="322">
        <f>1000/($D$429+$D$433+$D$340+ $D$702+$D$706+$D$913+$D$917)</f>
        <v>1.1581116722013438</v>
      </c>
      <c r="E963" s="76"/>
      <c r="F963" s="76"/>
      <c r="H963" s="11" t="s">
        <v>2153</v>
      </c>
      <c r="I963" s="11" t="s">
        <v>353</v>
      </c>
    </row>
    <row r="964" spans="1:9" x14ac:dyDescent="0.3">
      <c r="A964" s="6">
        <v>964</v>
      </c>
      <c r="B964" s="1285"/>
      <c r="C964" s="29" t="s">
        <v>160</v>
      </c>
      <c r="D964" s="284">
        <f>1000/($D$438+ $D$711+$D$922)</f>
        <v>1.0522948198366173</v>
      </c>
      <c r="E964" s="75"/>
      <c r="F964" s="75"/>
      <c r="H964" s="11" t="s">
        <v>2153</v>
      </c>
      <c r="I964" s="11" t="s">
        <v>353</v>
      </c>
    </row>
    <row r="965" spans="1:9" x14ac:dyDescent="0.3">
      <c r="A965" s="6">
        <v>965</v>
      </c>
      <c r="B965" s="1285"/>
      <c r="C965" s="29" t="s">
        <v>161</v>
      </c>
      <c r="D965" s="284">
        <f>1000/($D$429+$D$433+ $D$702+$D$706+$D$913+$D$917)</f>
        <v>1.2449146757145235</v>
      </c>
      <c r="E965" s="75"/>
      <c r="F965" s="75"/>
      <c r="H965" s="11" t="s">
        <v>2153</v>
      </c>
      <c r="I965" s="11" t="s">
        <v>353</v>
      </c>
    </row>
    <row r="966" spans="1:9" s="11" customFormat="1" x14ac:dyDescent="0.3">
      <c r="A966" s="6">
        <v>966</v>
      </c>
      <c r="B966" s="1285"/>
      <c r="C966" s="29" t="s">
        <v>162</v>
      </c>
      <c r="D966" s="251">
        <f>1000/($D$438+$D$860)</f>
        <v>24.852728171254583</v>
      </c>
      <c r="E966" s="76"/>
      <c r="F966" s="76"/>
      <c r="H966" s="11" t="s">
        <v>2153</v>
      </c>
      <c r="I966" s="11" t="s">
        <v>353</v>
      </c>
    </row>
    <row r="967" spans="1:9" s="11" customFormat="1" x14ac:dyDescent="0.3">
      <c r="A967" s="6">
        <v>967</v>
      </c>
      <c r="B967" s="1285"/>
      <c r="C967" s="29" t="s">
        <v>163</v>
      </c>
      <c r="D967" s="251">
        <f>1000/($D$429+$D$433+$D$851+$D$855)</f>
        <v>29.121021333370219</v>
      </c>
      <c r="E967" s="76"/>
      <c r="F967" s="76"/>
      <c r="H967" s="11" t="s">
        <v>2153</v>
      </c>
      <c r="I967" s="11" t="s">
        <v>353</v>
      </c>
    </row>
    <row r="968" spans="1:9" s="11" customFormat="1" x14ac:dyDescent="0.3">
      <c r="A968" s="6">
        <v>968</v>
      </c>
      <c r="B968" s="1285"/>
      <c r="C968" s="29" t="s">
        <v>164</v>
      </c>
      <c r="D968" s="251">
        <f>1000/($D$438+$D$340+ $D$860)</f>
        <v>9.9558242274663531</v>
      </c>
      <c r="E968" s="76"/>
      <c r="F968" s="76"/>
      <c r="H968" s="11" t="s">
        <v>2153</v>
      </c>
      <c r="I968" s="11" t="s">
        <v>353</v>
      </c>
    </row>
    <row r="969" spans="1:9" s="11" customFormat="1" x14ac:dyDescent="0.3">
      <c r="A969" s="6">
        <v>969</v>
      </c>
      <c r="B969" s="1285"/>
      <c r="C969" s="29" t="s">
        <v>165</v>
      </c>
      <c r="D969" s="251">
        <f>1000/($D$429+$D$433+$D$340+$D$851+$D$855)</f>
        <v>10.576846217993978</v>
      </c>
      <c r="E969" s="76"/>
      <c r="F969" s="76"/>
      <c r="H969" s="11" t="s">
        <v>2153</v>
      </c>
      <c r="I969" s="11" t="s">
        <v>353</v>
      </c>
    </row>
    <row r="970" spans="1:9" s="11" customFormat="1" x14ac:dyDescent="0.3">
      <c r="A970" s="6">
        <v>970</v>
      </c>
      <c r="B970" s="1285"/>
      <c r="C970" s="29" t="s">
        <v>166</v>
      </c>
      <c r="D970" s="251">
        <f>1000/($D$438+$D$340)</f>
        <v>10.048803404882891</v>
      </c>
      <c r="E970" s="76"/>
      <c r="F970" s="76"/>
      <c r="H970" s="11" t="s">
        <v>2153</v>
      </c>
      <c r="I970" s="11" t="s">
        <v>353</v>
      </c>
    </row>
    <row r="971" spans="1:9" s="11" customFormat="1" x14ac:dyDescent="0.3">
      <c r="A971" s="6">
        <v>971</v>
      </c>
      <c r="B971" s="1285"/>
      <c r="C971" s="29" t="s">
        <v>167</v>
      </c>
      <c r="D971" s="251">
        <f>1000/($D$429+$D$433+$D$340)</f>
        <v>10.677027629597799</v>
      </c>
      <c r="E971" s="76"/>
      <c r="F971" s="76"/>
      <c r="H971" s="11" t="s">
        <v>2153</v>
      </c>
      <c r="I971" s="11" t="s">
        <v>353</v>
      </c>
    </row>
    <row r="972" spans="1:9" s="11" customFormat="1" x14ac:dyDescent="0.3">
      <c r="A972" s="6">
        <v>972</v>
      </c>
      <c r="B972" s="1285"/>
      <c r="C972" s="516" t="s">
        <v>168</v>
      </c>
      <c r="D972" s="251">
        <f>ROUND(1000/$D$506,-1)</f>
        <v>760</v>
      </c>
      <c r="E972" s="76"/>
      <c r="F972" s="76"/>
      <c r="H972" s="11" t="s">
        <v>2153</v>
      </c>
      <c r="I972" s="11" t="s">
        <v>361</v>
      </c>
    </row>
    <row r="973" spans="1:9" s="11" customFormat="1" x14ac:dyDescent="0.3">
      <c r="A973" s="6">
        <v>973</v>
      </c>
      <c r="B973" s="1285"/>
      <c r="C973" s="516" t="s">
        <v>169</v>
      </c>
      <c r="D973" s="251">
        <f>ROUND(1000/($D$497+$D$501),-1)</f>
        <v>890</v>
      </c>
      <c r="E973" s="76"/>
      <c r="F973" s="76"/>
      <c r="H973" s="11" t="s">
        <v>2153</v>
      </c>
      <c r="I973" s="11" t="s">
        <v>362</v>
      </c>
    </row>
    <row r="974" spans="1:9" x14ac:dyDescent="0.3">
      <c r="A974" s="6">
        <v>974</v>
      </c>
      <c r="B974" s="1285"/>
      <c r="C974" s="29" t="s">
        <v>170</v>
      </c>
      <c r="D974" s="207">
        <f>ROUND(1000/($D$860+$D$506),-1)</f>
        <v>440</v>
      </c>
      <c r="E974" s="75"/>
      <c r="F974" s="75"/>
      <c r="H974" s="11" t="s">
        <v>2153</v>
      </c>
      <c r="I974" s="11" t="s">
        <v>353</v>
      </c>
    </row>
    <row r="975" spans="1:9" x14ac:dyDescent="0.3">
      <c r="A975" s="6">
        <v>975</v>
      </c>
      <c r="B975" s="1285"/>
      <c r="C975" s="29" t="s">
        <v>171</v>
      </c>
      <c r="D975" s="207">
        <f>ROUND(1000/($D$497+$D$501+$D$851+$D$855),-1)</f>
        <v>500</v>
      </c>
      <c r="E975" s="75"/>
      <c r="F975" s="75"/>
      <c r="H975" s="11" t="s">
        <v>2153</v>
      </c>
      <c r="I975" s="11" t="s">
        <v>353</v>
      </c>
    </row>
    <row r="976" spans="1:9" s="11" customFormat="1" x14ac:dyDescent="0.3">
      <c r="A976" s="6">
        <v>976</v>
      </c>
      <c r="B976" s="1285"/>
      <c r="C976" s="45" t="s">
        <v>172</v>
      </c>
      <c r="D976" s="251">
        <f>ROUND(1000/$D$573,-3)</f>
        <v>11000</v>
      </c>
      <c r="E976" s="76"/>
      <c r="F976" s="76"/>
      <c r="H976" s="11" t="s">
        <v>2153</v>
      </c>
      <c r="I976" s="11" t="s">
        <v>354</v>
      </c>
    </row>
    <row r="977" spans="1:9" s="11" customFormat="1" x14ac:dyDescent="0.3">
      <c r="A977" s="6">
        <v>977</v>
      </c>
      <c r="B977" s="1285"/>
      <c r="C977" s="45" t="s">
        <v>173</v>
      </c>
      <c r="D977" s="251">
        <f>ROUND(1000/($D$564+$D$568),-3)</f>
        <v>13000</v>
      </c>
      <c r="E977" s="76"/>
      <c r="F977" s="76"/>
      <c r="H977" s="11" t="s">
        <v>2153</v>
      </c>
      <c r="I977" s="2" t="s">
        <v>355</v>
      </c>
    </row>
    <row r="978" spans="1:9" s="11" customFormat="1" x14ac:dyDescent="0.3">
      <c r="A978" s="6">
        <v>978</v>
      </c>
      <c r="B978" s="1285"/>
      <c r="C978" s="36" t="s">
        <v>175</v>
      </c>
      <c r="D978" s="251">
        <f>ROUND(1000/$D$728,-1)</f>
        <v>780</v>
      </c>
      <c r="E978" s="76"/>
      <c r="F978" s="76"/>
      <c r="H978" s="11" t="s">
        <v>2153</v>
      </c>
      <c r="I978" s="11" t="s">
        <v>356</v>
      </c>
    </row>
    <row r="979" spans="1:9" s="11" customFormat="1" x14ac:dyDescent="0.3">
      <c r="A979" s="6">
        <v>979</v>
      </c>
      <c r="B979" s="1285"/>
      <c r="C979" s="36" t="s">
        <v>176</v>
      </c>
      <c r="D979" s="251">
        <f>ROUND(1000/($D$719+$D$723),-1)</f>
        <v>870</v>
      </c>
      <c r="E979" s="76"/>
      <c r="F979" s="76"/>
      <c r="H979" s="11" t="s">
        <v>2153</v>
      </c>
      <c r="I979" s="11" t="s">
        <v>357</v>
      </c>
    </row>
    <row r="980" spans="1:9" s="11" customFormat="1" x14ac:dyDescent="0.3">
      <c r="A980" s="6">
        <v>980</v>
      </c>
      <c r="B980" s="1285"/>
      <c r="C980" s="27" t="s">
        <v>177</v>
      </c>
      <c r="D980" s="251">
        <f>ROUND(1000/$D$711,-1)</f>
        <v>90</v>
      </c>
      <c r="E980" s="76"/>
      <c r="F980" s="76"/>
      <c r="H980" s="11" t="s">
        <v>2153</v>
      </c>
      <c r="I980" s="11" t="s">
        <v>358</v>
      </c>
    </row>
    <row r="981" spans="1:9" s="11" customFormat="1" x14ac:dyDescent="0.3">
      <c r="A981" s="6">
        <v>981</v>
      </c>
      <c r="B981" s="1285"/>
      <c r="C981" s="27" t="s">
        <v>178</v>
      </c>
      <c r="D981" s="251">
        <f>ROUND(1000/($D$702+$D$706),-1)</f>
        <v>100</v>
      </c>
      <c r="E981" s="76"/>
      <c r="F981" s="76"/>
      <c r="H981" s="11" t="s">
        <v>2153</v>
      </c>
      <c r="I981" s="11" t="s">
        <v>359</v>
      </c>
    </row>
    <row r="982" spans="1:9" x14ac:dyDescent="0.3">
      <c r="A982" s="6">
        <v>982</v>
      </c>
      <c r="B982" s="1285"/>
      <c r="C982" s="29" t="s">
        <v>179</v>
      </c>
      <c r="D982" s="207">
        <f>1000/($D$340+ $D$711)</f>
        <v>14.044340332302571</v>
      </c>
      <c r="E982" s="75"/>
      <c r="F982" s="75"/>
      <c r="H982" s="11" t="s">
        <v>2153</v>
      </c>
      <c r="I982" s="11" t="s">
        <v>360</v>
      </c>
    </row>
    <row r="983" spans="1:9" x14ac:dyDescent="0.3">
      <c r="A983" s="6">
        <v>983</v>
      </c>
      <c r="B983" s="1285"/>
      <c r="C983" s="29" t="s">
        <v>180</v>
      </c>
      <c r="D983" s="284">
        <f>1000/($D$340+ $D$702+$D$706)</f>
        <v>14.281174856636772</v>
      </c>
      <c r="E983" s="75"/>
      <c r="F983" s="75"/>
      <c r="H983" s="11" t="s">
        <v>2153</v>
      </c>
      <c r="I983" s="11" t="s">
        <v>360</v>
      </c>
    </row>
    <row r="984" spans="1:9" x14ac:dyDescent="0.3">
      <c r="A984" s="6">
        <v>984</v>
      </c>
      <c r="B984" s="1285"/>
      <c r="C984" s="70" t="s">
        <v>181</v>
      </c>
      <c r="D984" s="207">
        <f>ROUND(1000/$D$788,-1)</f>
        <v>430</v>
      </c>
      <c r="E984" s="75"/>
      <c r="F984" s="75"/>
      <c r="H984" s="11" t="s">
        <v>2153</v>
      </c>
      <c r="I984" s="11" t="s">
        <v>363</v>
      </c>
    </row>
    <row r="985" spans="1:9" x14ac:dyDescent="0.3">
      <c r="A985" s="6">
        <v>985</v>
      </c>
      <c r="B985" s="1285"/>
      <c r="C985" s="70" t="s">
        <v>182</v>
      </c>
      <c r="D985" s="207">
        <f>ROUND(1000/($D$779+$D$783),-1)</f>
        <v>700</v>
      </c>
      <c r="E985" s="75"/>
      <c r="F985" s="75"/>
      <c r="H985" s="11" t="s">
        <v>2153</v>
      </c>
      <c r="I985" s="11" t="s">
        <v>364</v>
      </c>
    </row>
    <row r="986" spans="1:9" s="11" customFormat="1" x14ac:dyDescent="0.3">
      <c r="A986" s="6">
        <v>986</v>
      </c>
      <c r="B986" s="1285"/>
      <c r="C986" s="37" t="s">
        <v>183</v>
      </c>
      <c r="D986" s="251">
        <f>ROUND(1000/$D$860,-1)</f>
        <v>1080</v>
      </c>
      <c r="E986" s="76"/>
      <c r="F986" s="76"/>
      <c r="H986" s="11" t="s">
        <v>2153</v>
      </c>
      <c r="I986" s="11" t="s">
        <v>365</v>
      </c>
    </row>
    <row r="987" spans="1:9" s="11" customFormat="1" x14ac:dyDescent="0.3">
      <c r="A987" s="6">
        <v>987</v>
      </c>
      <c r="B987" s="1285"/>
      <c r="C987" s="37" t="s">
        <v>184</v>
      </c>
      <c r="D987" s="251">
        <f>ROUND(1000/(+$D$851+$D$855),-1)</f>
        <v>1130</v>
      </c>
      <c r="E987" s="76"/>
      <c r="F987" s="76"/>
      <c r="H987" s="11" t="s">
        <v>2153</v>
      </c>
      <c r="I987" s="11" t="s">
        <v>366</v>
      </c>
    </row>
    <row r="988" spans="1:9" s="11" customFormat="1" x14ac:dyDescent="0.3">
      <c r="A988" s="6">
        <v>988</v>
      </c>
      <c r="B988" s="1285"/>
      <c r="C988" s="29" t="s">
        <v>141</v>
      </c>
      <c r="D988" s="139">
        <f>1000/$D$159</f>
        <v>1.0526315789473684</v>
      </c>
      <c r="E988" s="76"/>
      <c r="F988" s="76"/>
      <c r="H988" s="11" t="s">
        <v>2153</v>
      </c>
      <c r="I988" s="11" t="s">
        <v>367</v>
      </c>
    </row>
    <row r="989" spans="1:9" s="11" customFormat="1" x14ac:dyDescent="0.3">
      <c r="A989" s="6">
        <v>989</v>
      </c>
      <c r="B989" s="1285"/>
      <c r="C989" s="22" t="s">
        <v>185</v>
      </c>
      <c r="D989" s="322">
        <f>1000/$D$340</f>
        <v>16.609450808010749</v>
      </c>
      <c r="E989" s="76"/>
      <c r="F989" s="76"/>
      <c r="H989" s="11" t="s">
        <v>2153</v>
      </c>
      <c r="I989" s="2" t="s">
        <v>368</v>
      </c>
    </row>
    <row r="990" spans="1:9" s="11" customFormat="1" x14ac:dyDescent="0.3">
      <c r="A990" s="6">
        <v>990</v>
      </c>
      <c r="B990" s="1285"/>
      <c r="C990" s="43" t="s">
        <v>186</v>
      </c>
      <c r="D990" s="251">
        <f>1000/$D$353</f>
        <v>132.50381761205867</v>
      </c>
      <c r="E990" s="76"/>
      <c r="F990" s="76"/>
      <c r="H990" s="11" t="s">
        <v>2153</v>
      </c>
      <c r="I990" s="2" t="s">
        <v>369</v>
      </c>
    </row>
    <row r="991" spans="1:9" s="11" customFormat="1" x14ac:dyDescent="0.3">
      <c r="A991" s="6">
        <v>991</v>
      </c>
      <c r="B991" s="1285"/>
      <c r="C991" s="42" t="s">
        <v>187</v>
      </c>
      <c r="D991" s="251">
        <f>1000/$D$348</f>
        <v>68.259542406212034</v>
      </c>
      <c r="E991" s="76"/>
      <c r="F991" s="76"/>
      <c r="H991" s="11" t="s">
        <v>2153</v>
      </c>
      <c r="I991" s="2" t="s">
        <v>370</v>
      </c>
    </row>
    <row r="992" spans="1:9" s="11" customFormat="1" x14ac:dyDescent="0.3">
      <c r="A992" s="6">
        <v>992</v>
      </c>
      <c r="B992" s="1285"/>
      <c r="C992" s="42" t="s">
        <v>188</v>
      </c>
      <c r="D992" s="251">
        <f>1000/($D$348+$D$353)</f>
        <v>45.051297988099947</v>
      </c>
      <c r="E992" s="76"/>
      <c r="F992" s="76"/>
      <c r="H992" s="11" t="s">
        <v>2153</v>
      </c>
      <c r="I992" s="2" t="s">
        <v>371</v>
      </c>
    </row>
    <row r="993" spans="1:11" s="11" customFormat="1" x14ac:dyDescent="0.3">
      <c r="A993" s="6">
        <v>993</v>
      </c>
      <c r="B993" s="1285"/>
      <c r="C993" s="70" t="s">
        <v>189</v>
      </c>
      <c r="D993" s="322">
        <f>1000/$D$922</f>
        <v>1.1111111111111112</v>
      </c>
      <c r="E993" s="76"/>
      <c r="F993" s="76"/>
      <c r="H993" s="11" t="s">
        <v>2153</v>
      </c>
      <c r="I993" s="11" t="s">
        <v>2400</v>
      </c>
      <c r="J993" s="11" t="s">
        <v>1897</v>
      </c>
    </row>
    <row r="994" spans="1:11" s="11" customFormat="1" x14ac:dyDescent="0.3">
      <c r="A994" s="6">
        <v>994</v>
      </c>
      <c r="B994" s="1286"/>
      <c r="C994" s="70" t="s">
        <v>190</v>
      </c>
      <c r="D994" s="322">
        <f>1000/($D$913+$D$917)</f>
        <v>1.3157894736842106</v>
      </c>
      <c r="E994" s="76"/>
      <c r="F994" s="76"/>
      <c r="I994" s="11" t="s">
        <v>372</v>
      </c>
      <c r="J994" s="11" t="s">
        <v>1897</v>
      </c>
    </row>
    <row r="995" spans="1:11" x14ac:dyDescent="0.3">
      <c r="A995" s="6">
        <v>995</v>
      </c>
    </row>
    <row r="996" spans="1:11" x14ac:dyDescent="0.3">
      <c r="A996" s="6">
        <v>996</v>
      </c>
      <c r="C996" s="443" t="s">
        <v>1776</v>
      </c>
    </row>
    <row r="997" spans="1:11" x14ac:dyDescent="0.3">
      <c r="A997" s="6">
        <v>997</v>
      </c>
    </row>
    <row r="998" spans="1:11" x14ac:dyDescent="0.3">
      <c r="A998" s="6">
        <v>998</v>
      </c>
      <c r="C998" s="23" t="s">
        <v>1780</v>
      </c>
      <c r="D998" s="284">
        <f>1000000000000/($D$938*$D$205)</f>
        <v>10.541851149061776</v>
      </c>
      <c r="E998" s="75"/>
      <c r="F998" s="75"/>
      <c r="H998" s="11" t="s">
        <v>2153</v>
      </c>
      <c r="I998" s="11" t="s">
        <v>373</v>
      </c>
      <c r="J998" s="11" t="s">
        <v>1897</v>
      </c>
      <c r="K998" s="11"/>
    </row>
    <row r="999" spans="1:11" x14ac:dyDescent="0.3">
      <c r="A999" s="6">
        <v>999</v>
      </c>
      <c r="C999" s="22" t="s">
        <v>1779</v>
      </c>
      <c r="D999" s="284">
        <f>$D$998/($D$338/100)</f>
        <v>17.197147062090988</v>
      </c>
      <c r="E999" s="75"/>
      <c r="F999" s="75"/>
      <c r="H999" s="11" t="s">
        <v>2153</v>
      </c>
      <c r="I999" s="2" t="s">
        <v>374</v>
      </c>
      <c r="J999" s="2" t="s">
        <v>1897</v>
      </c>
    </row>
    <row r="1000" spans="1:11" x14ac:dyDescent="0.3">
      <c r="A1000" s="6">
        <v>1000</v>
      </c>
      <c r="C1000" s="42" t="s">
        <v>1781</v>
      </c>
      <c r="D1000" s="207">
        <f>$D$998/(($D$343)/100)</f>
        <v>46.645359066645021</v>
      </c>
      <c r="E1000" s="75"/>
      <c r="F1000" s="75"/>
      <c r="H1000" s="11" t="s">
        <v>2153</v>
      </c>
      <c r="I1000" s="11" t="s">
        <v>375</v>
      </c>
      <c r="J1000" s="2" t="s">
        <v>1897</v>
      </c>
    </row>
    <row r="1001" spans="1:11" x14ac:dyDescent="0.3">
      <c r="A1001" s="6">
        <v>1001</v>
      </c>
      <c r="C1001" s="42" t="s">
        <v>1782</v>
      </c>
      <c r="D1001" s="207">
        <f>$D$998/($D346/100)</f>
        <v>70.674786464613661</v>
      </c>
      <c r="E1001" s="75"/>
      <c r="F1001" s="75"/>
      <c r="H1001" s="11" t="s">
        <v>2153</v>
      </c>
      <c r="I1001" s="2" t="s">
        <v>377</v>
      </c>
      <c r="J1001" s="2" t="s">
        <v>1897</v>
      </c>
    </row>
    <row r="1002" spans="1:11" s="11" customFormat="1" x14ac:dyDescent="0.3">
      <c r="A1002" s="6">
        <v>1002</v>
      </c>
      <c r="C1002" s="43" t="s">
        <v>191</v>
      </c>
      <c r="D1002" s="251">
        <f>ROUND($D$998/($D$351/100),-1)</f>
        <v>140</v>
      </c>
      <c r="E1002" s="76"/>
      <c r="F1002" s="76"/>
      <c r="H1002" s="11" t="s">
        <v>2153</v>
      </c>
      <c r="I1002" s="11" t="s">
        <v>378</v>
      </c>
      <c r="J1002" s="11" t="s">
        <v>1897</v>
      </c>
    </row>
    <row r="1003" spans="1:11" s="11" customFormat="1" x14ac:dyDescent="0.3">
      <c r="A1003" s="6">
        <v>1003</v>
      </c>
      <c r="C1003" s="27" t="s">
        <v>1778</v>
      </c>
      <c r="D1003" s="251">
        <v>1000</v>
      </c>
      <c r="E1003" s="76"/>
      <c r="F1003" s="76"/>
      <c r="H1003" s="11" t="s">
        <v>2153</v>
      </c>
      <c r="I1003" s="11" t="s">
        <v>379</v>
      </c>
      <c r="J1003" s="11" t="s">
        <v>1897</v>
      </c>
    </row>
    <row r="1004" spans="1:11" s="11" customFormat="1" x14ac:dyDescent="0.3">
      <c r="A1004" s="6">
        <v>1004</v>
      </c>
      <c r="B1004" s="327"/>
      <c r="C1004" s="503" t="s">
        <v>174</v>
      </c>
      <c r="D1004" s="251">
        <f>1000000/($D$892*1000)</f>
        <v>15.17355128622401</v>
      </c>
      <c r="E1004" s="76"/>
      <c r="F1004" s="76"/>
      <c r="H1004" s="11" t="s">
        <v>2153</v>
      </c>
      <c r="I1004" s="11" t="s">
        <v>380</v>
      </c>
      <c r="J1004" s="11" t="s">
        <v>1897</v>
      </c>
    </row>
    <row r="1005" spans="1:11" s="11" customFormat="1" x14ac:dyDescent="0.3">
      <c r="A1005" s="5"/>
      <c r="C1005" s="2"/>
      <c r="D1005" s="104"/>
      <c r="E1005" s="104"/>
      <c r="F1005" s="104"/>
    </row>
    <row r="1006" spans="1:11" s="11" customFormat="1" x14ac:dyDescent="0.3">
      <c r="A1006" s="5"/>
      <c r="C1006" s="2"/>
      <c r="D1006" s="104"/>
      <c r="E1006" s="104"/>
      <c r="F1006" s="104"/>
    </row>
    <row r="1007" spans="1:11" s="11" customFormat="1" x14ac:dyDescent="0.3">
      <c r="A1007" s="5"/>
      <c r="C1007" s="5"/>
      <c r="D1007" s="104"/>
      <c r="E1007" s="104"/>
      <c r="F1007" s="104"/>
    </row>
  </sheetData>
  <mergeCells count="67">
    <mergeCell ref="B5:B17"/>
    <mergeCell ref="B21:B37"/>
    <mergeCell ref="B39:B62"/>
    <mergeCell ref="B64:B80"/>
    <mergeCell ref="B350:B353"/>
    <mergeCell ref="B83:B99"/>
    <mergeCell ref="B120:B134"/>
    <mergeCell ref="B166:B167"/>
    <mergeCell ref="B172:B190"/>
    <mergeCell ref="B103:B104"/>
    <mergeCell ref="B106:B108"/>
    <mergeCell ref="B112:B114"/>
    <mergeCell ref="B138:B160"/>
    <mergeCell ref="B355:B358"/>
    <mergeCell ref="B360:B363"/>
    <mergeCell ref="B365:B368"/>
    <mergeCell ref="B192:B194"/>
    <mergeCell ref="B276:B288"/>
    <mergeCell ref="B290:B308"/>
    <mergeCell ref="B316:B333"/>
    <mergeCell ref="B337:B340"/>
    <mergeCell ref="B342:B348"/>
    <mergeCell ref="B244:B258"/>
    <mergeCell ref="B261:B273"/>
    <mergeCell ref="B214:B226"/>
    <mergeCell ref="B199:B212"/>
    <mergeCell ref="B228:B242"/>
    <mergeCell ref="B493:B506"/>
    <mergeCell ref="B560:B573"/>
    <mergeCell ref="B509:B513"/>
    <mergeCell ref="B517:B528"/>
    <mergeCell ref="B370:B373"/>
    <mergeCell ref="B379:B390"/>
    <mergeCell ref="B393:B404"/>
    <mergeCell ref="B407:B422"/>
    <mergeCell ref="B449:B460"/>
    <mergeCell ref="B463:B474"/>
    <mergeCell ref="B425:B438"/>
    <mergeCell ref="B441:B445"/>
    <mergeCell ref="B477:B490"/>
    <mergeCell ref="B909:B922"/>
    <mergeCell ref="B943:B994"/>
    <mergeCell ref="B806:B816"/>
    <mergeCell ref="B819:B830"/>
    <mergeCell ref="B832:B845"/>
    <mergeCell ref="B847:B860"/>
    <mergeCell ref="B865:B877"/>
    <mergeCell ref="B879:B890"/>
    <mergeCell ref="B894:B907"/>
    <mergeCell ref="B634:B645"/>
    <mergeCell ref="B647:B658"/>
    <mergeCell ref="B794:B804"/>
    <mergeCell ref="B698:B711"/>
    <mergeCell ref="B675:B688"/>
    <mergeCell ref="B690:B694"/>
    <mergeCell ref="B715:B728"/>
    <mergeCell ref="B775:B788"/>
    <mergeCell ref="B759:B773"/>
    <mergeCell ref="B733:B744"/>
    <mergeCell ref="B746:B757"/>
    <mergeCell ref="B660:B673"/>
    <mergeCell ref="B591:B602"/>
    <mergeCell ref="B604:B617"/>
    <mergeCell ref="B619:B632"/>
    <mergeCell ref="B531:B542"/>
    <mergeCell ref="B578:B589"/>
    <mergeCell ref="B544:B557"/>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7" workbookViewId="0">
      <selection activeCell="B29" sqref="B29"/>
    </sheetView>
  </sheetViews>
  <sheetFormatPr baseColWidth="10" defaultRowHeight="15.05" x14ac:dyDescent="0.3"/>
  <cols>
    <col min="2" max="2" width="65.5546875" bestFit="1" customWidth="1"/>
    <col min="3" max="3" width="14.5546875" customWidth="1"/>
  </cols>
  <sheetData>
    <row r="1" spans="1:3" x14ac:dyDescent="0.3">
      <c r="A1">
        <v>1</v>
      </c>
      <c r="B1" s="1" t="s">
        <v>77</v>
      </c>
    </row>
    <row r="2" spans="1:3" x14ac:dyDescent="0.3">
      <c r="A2">
        <v>2</v>
      </c>
      <c r="B2" s="374" t="s">
        <v>78</v>
      </c>
    </row>
    <row r="3" spans="1:3" ht="15.65" thickBot="1" x14ac:dyDescent="0.35">
      <c r="A3">
        <v>3</v>
      </c>
      <c r="B3" s="871"/>
    </row>
    <row r="4" spans="1:3" ht="15.65" thickBot="1" x14ac:dyDescent="0.35">
      <c r="A4">
        <v>4</v>
      </c>
      <c r="B4" s="867" t="s">
        <v>1899</v>
      </c>
      <c r="C4" s="1453" t="s">
        <v>1901</v>
      </c>
    </row>
    <row r="5" spans="1:3" ht="15.65" thickBot="1" x14ac:dyDescent="0.35">
      <c r="A5">
        <v>5</v>
      </c>
      <c r="B5" s="865"/>
      <c r="C5" s="1380"/>
    </row>
    <row r="6" spans="1:3" ht="15.65" thickBot="1" x14ac:dyDescent="0.35">
      <c r="A6">
        <v>6</v>
      </c>
      <c r="B6" s="868" t="s">
        <v>1902</v>
      </c>
      <c r="C6" s="1380"/>
    </row>
    <row r="7" spans="1:3" ht="15.65" thickBot="1" x14ac:dyDescent="0.35">
      <c r="A7">
        <v>7</v>
      </c>
      <c r="B7" s="866"/>
      <c r="C7" s="1380"/>
    </row>
    <row r="8" spans="1:3" ht="15.65" thickBot="1" x14ac:dyDescent="0.35">
      <c r="A8">
        <v>8</v>
      </c>
      <c r="B8" s="869" t="s">
        <v>1900</v>
      </c>
      <c r="C8" s="1381"/>
    </row>
    <row r="9" spans="1:3" x14ac:dyDescent="0.3">
      <c r="A9">
        <v>9</v>
      </c>
      <c r="B9" s="864"/>
      <c r="C9" s="870"/>
    </row>
    <row r="10" spans="1:3" x14ac:dyDescent="0.3">
      <c r="A10">
        <v>10</v>
      </c>
      <c r="B10" s="155" t="s">
        <v>909</v>
      </c>
    </row>
    <row r="11" spans="1:3" x14ac:dyDescent="0.3">
      <c r="A11">
        <v>11</v>
      </c>
      <c r="B11" s="156" t="s">
        <v>79</v>
      </c>
    </row>
    <row r="12" spans="1:3" x14ac:dyDescent="0.3">
      <c r="A12">
        <v>12</v>
      </c>
      <c r="B12" s="110" t="s">
        <v>1412</v>
      </c>
    </row>
    <row r="13" spans="1:3" x14ac:dyDescent="0.3">
      <c r="A13">
        <v>13</v>
      </c>
      <c r="B13" s="55" t="s">
        <v>907</v>
      </c>
    </row>
    <row r="14" spans="1:3" x14ac:dyDescent="0.3">
      <c r="A14">
        <v>14</v>
      </c>
      <c r="B14" s="49" t="s">
        <v>908</v>
      </c>
    </row>
    <row r="15" spans="1:3" x14ac:dyDescent="0.3">
      <c r="A15">
        <v>15</v>
      </c>
      <c r="B15" s="34" t="s">
        <v>780</v>
      </c>
    </row>
    <row r="16" spans="1:3" x14ac:dyDescent="0.3">
      <c r="A16">
        <v>16</v>
      </c>
      <c r="B16" s="53" t="s">
        <v>1303</v>
      </c>
    </row>
    <row r="17" spans="1:2" x14ac:dyDescent="0.3">
      <c r="A17">
        <v>17</v>
      </c>
      <c r="B17" s="166" t="s">
        <v>497</v>
      </c>
    </row>
    <row r="18" spans="1:2" x14ac:dyDescent="0.3">
      <c r="A18">
        <v>18</v>
      </c>
      <c r="B18" s="375" t="s">
        <v>1304</v>
      </c>
    </row>
    <row r="19" spans="1:2" x14ac:dyDescent="0.3">
      <c r="A19">
        <v>19</v>
      </c>
      <c r="B19" s="3" t="s">
        <v>1306</v>
      </c>
    </row>
    <row r="20" spans="1:2" x14ac:dyDescent="0.3">
      <c r="A20">
        <v>20</v>
      </c>
      <c r="B20" s="376" t="s">
        <v>1305</v>
      </c>
    </row>
    <row r="21" spans="1:2" x14ac:dyDescent="0.3">
      <c r="A21">
        <v>21</v>
      </c>
    </row>
    <row r="22" spans="1:2" x14ac:dyDescent="0.3">
      <c r="A22">
        <v>22</v>
      </c>
      <c r="B22" s="228" t="s">
        <v>910</v>
      </c>
    </row>
    <row r="23" spans="1:2" x14ac:dyDescent="0.3">
      <c r="A23">
        <v>23</v>
      </c>
      <c r="B23" s="23" t="s">
        <v>2456</v>
      </c>
    </row>
    <row r="24" spans="1:2" x14ac:dyDescent="0.3">
      <c r="A24">
        <v>24</v>
      </c>
      <c r="B24" s="44" t="s">
        <v>920</v>
      </c>
    </row>
    <row r="25" spans="1:2" x14ac:dyDescent="0.3">
      <c r="A25">
        <v>25</v>
      </c>
      <c r="B25" s="157" t="s">
        <v>1316</v>
      </c>
    </row>
    <row r="26" spans="1:2" x14ac:dyDescent="0.3">
      <c r="A26">
        <v>26</v>
      </c>
      <c r="B26" s="22" t="s">
        <v>915</v>
      </c>
    </row>
    <row r="27" spans="1:2" x14ac:dyDescent="0.3">
      <c r="A27">
        <v>27</v>
      </c>
      <c r="B27" s="42" t="s">
        <v>2457</v>
      </c>
    </row>
    <row r="28" spans="1:2" x14ac:dyDescent="0.3">
      <c r="A28">
        <v>28</v>
      </c>
      <c r="B28" s="43" t="s">
        <v>919</v>
      </c>
    </row>
    <row r="29" spans="1:2" x14ac:dyDescent="0.3">
      <c r="A29">
        <v>29</v>
      </c>
      <c r="B29" s="26" t="s">
        <v>2458</v>
      </c>
    </row>
    <row r="30" spans="1:2" x14ac:dyDescent="0.3">
      <c r="A30">
        <v>30</v>
      </c>
      <c r="B30" s="65" t="s">
        <v>324</v>
      </c>
    </row>
    <row r="31" spans="1:2" x14ac:dyDescent="0.3">
      <c r="A31">
        <v>31</v>
      </c>
      <c r="B31" s="45" t="s">
        <v>325</v>
      </c>
    </row>
    <row r="32" spans="1:2" x14ac:dyDescent="0.3">
      <c r="A32">
        <v>32</v>
      </c>
      <c r="B32" s="45" t="s">
        <v>326</v>
      </c>
    </row>
    <row r="33" spans="1:2" x14ac:dyDescent="0.3">
      <c r="A33">
        <v>33</v>
      </c>
      <c r="B33" s="45" t="s">
        <v>914</v>
      </c>
    </row>
    <row r="34" spans="1:2" x14ac:dyDescent="0.3">
      <c r="A34">
        <v>34</v>
      </c>
      <c r="B34" s="27" t="s">
        <v>327</v>
      </c>
    </row>
    <row r="35" spans="1:2" x14ac:dyDescent="0.3">
      <c r="A35">
        <v>35</v>
      </c>
      <c r="B35" s="27" t="s">
        <v>917</v>
      </c>
    </row>
    <row r="36" spans="1:2" x14ac:dyDescent="0.3">
      <c r="A36">
        <v>36</v>
      </c>
      <c r="B36" s="36" t="s">
        <v>918</v>
      </c>
    </row>
    <row r="37" spans="1:2" x14ac:dyDescent="0.3">
      <c r="A37">
        <v>37</v>
      </c>
      <c r="B37" s="70" t="s">
        <v>47</v>
      </c>
    </row>
    <row r="38" spans="1:2" x14ac:dyDescent="0.3">
      <c r="A38">
        <v>38</v>
      </c>
      <c r="B38" s="37" t="s">
        <v>921</v>
      </c>
    </row>
    <row r="39" spans="1:2" x14ac:dyDescent="0.3">
      <c r="A39">
        <v>39</v>
      </c>
      <c r="B39" s="47" t="s">
        <v>922</v>
      </c>
    </row>
    <row r="40" spans="1:2" x14ac:dyDescent="0.3">
      <c r="A40">
        <v>40</v>
      </c>
      <c r="B40" s="70" t="s">
        <v>911</v>
      </c>
    </row>
  </sheetData>
  <mergeCells count="1">
    <mergeCell ref="C4:C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G24" sqref="G24"/>
    </sheetView>
  </sheetViews>
  <sheetFormatPr baseColWidth="10" defaultRowHeight="15.05" x14ac:dyDescent="0.3"/>
  <cols>
    <col min="2" max="2" width="27" bestFit="1" customWidth="1"/>
  </cols>
  <sheetData>
    <row r="1" spans="1:3" s="294" customFormat="1" x14ac:dyDescent="0.3">
      <c r="A1" s="6" t="s">
        <v>1089</v>
      </c>
      <c r="B1" s="6" t="s">
        <v>1092</v>
      </c>
      <c r="C1" s="261"/>
    </row>
    <row r="2" spans="1:3" x14ac:dyDescent="0.3">
      <c r="A2" s="2" t="s">
        <v>1055</v>
      </c>
      <c r="B2" s="2" t="s">
        <v>1056</v>
      </c>
      <c r="C2" s="2"/>
    </row>
    <row r="3" spans="1:3" x14ac:dyDescent="0.3">
      <c r="A3" s="2" t="s">
        <v>1046</v>
      </c>
      <c r="B3" s="2" t="s">
        <v>1057</v>
      </c>
      <c r="C3" s="2"/>
    </row>
    <row r="4" spans="1:3" x14ac:dyDescent="0.3">
      <c r="A4" s="2" t="s">
        <v>1833</v>
      </c>
      <c r="B4" s="2" t="s">
        <v>1836</v>
      </c>
      <c r="C4" s="2"/>
    </row>
    <row r="5" spans="1:3" x14ac:dyDescent="0.3">
      <c r="A5" s="998" t="s">
        <v>1093</v>
      </c>
      <c r="B5" s="998" t="s">
        <v>1094</v>
      </c>
      <c r="C5" s="131"/>
    </row>
    <row r="6" spans="1:3" x14ac:dyDescent="0.3">
      <c r="A6" s="2" t="s">
        <v>1953</v>
      </c>
      <c r="B6" s="2" t="s">
        <v>1954</v>
      </c>
      <c r="C6" s="2"/>
    </row>
    <row r="7" spans="1:3" x14ac:dyDescent="0.3">
      <c r="A7" s="2" t="s">
        <v>1951</v>
      </c>
      <c r="B7" s="2" t="s">
        <v>1952</v>
      </c>
      <c r="C7"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1"/>
  <sheetViews>
    <sheetView zoomScale="89" zoomScaleNormal="89" workbookViewId="0">
      <pane ySplit="1" topLeftCell="A8" activePane="bottomLeft" state="frozen"/>
      <selection pane="bottomLeft" activeCell="I104" sqref="I104"/>
    </sheetView>
  </sheetViews>
  <sheetFormatPr baseColWidth="10" defaultRowHeight="15.05" x14ac:dyDescent="0.3"/>
  <cols>
    <col min="2" max="2" width="56.88671875" customWidth="1"/>
    <col min="3" max="3" width="111.109375" bestFit="1" customWidth="1"/>
    <col min="4" max="4" width="12" bestFit="1" customWidth="1"/>
    <col min="5" max="5" width="17.109375" bestFit="1" customWidth="1"/>
    <col min="6" max="6" width="17.109375" customWidth="1"/>
    <col min="7" max="7" width="21.77734375" bestFit="1" customWidth="1"/>
    <col min="8" max="8" width="44.44140625" customWidth="1"/>
  </cols>
  <sheetData>
    <row r="1" spans="1:12" x14ac:dyDescent="0.3">
      <c r="A1">
        <v>1</v>
      </c>
      <c r="B1" s="1" t="s">
        <v>1129</v>
      </c>
      <c r="D1" s="1" t="s">
        <v>308</v>
      </c>
      <c r="E1" s="1" t="s">
        <v>1832</v>
      </c>
      <c r="F1" s="1" t="s">
        <v>2518</v>
      </c>
      <c r="G1" s="1" t="s">
        <v>658</v>
      </c>
      <c r="H1" s="1" t="s">
        <v>310</v>
      </c>
      <c r="I1" s="1" t="s">
        <v>311</v>
      </c>
      <c r="J1" s="1" t="s">
        <v>659</v>
      </c>
      <c r="K1" s="1" t="s">
        <v>660</v>
      </c>
      <c r="L1" s="1" t="s">
        <v>643</v>
      </c>
    </row>
    <row r="2" spans="1:12" x14ac:dyDescent="0.3">
      <c r="A2">
        <v>2</v>
      </c>
      <c r="D2" s="30"/>
      <c r="E2" s="2"/>
      <c r="F2" s="2"/>
      <c r="G2" s="2"/>
      <c r="H2" s="2"/>
      <c r="I2" s="2"/>
      <c r="J2" s="2"/>
      <c r="K2" s="2"/>
      <c r="L2" s="2"/>
    </row>
    <row r="3" spans="1:12" x14ac:dyDescent="0.3">
      <c r="A3">
        <v>3</v>
      </c>
      <c r="B3" s="162" t="s">
        <v>661</v>
      </c>
      <c r="C3" s="162" t="s">
        <v>1134</v>
      </c>
      <c r="D3" s="163"/>
      <c r="E3" s="163"/>
      <c r="F3" s="163"/>
      <c r="G3" s="163"/>
      <c r="H3" s="163"/>
      <c r="I3" s="163"/>
      <c r="J3" s="163"/>
      <c r="K3" s="163"/>
      <c r="L3" s="163"/>
    </row>
    <row r="4" spans="1:12" x14ac:dyDescent="0.3">
      <c r="A4">
        <v>4</v>
      </c>
      <c r="C4" s="1"/>
      <c r="D4" s="2"/>
      <c r="E4" s="2"/>
      <c r="F4" s="2"/>
      <c r="G4" s="2"/>
      <c r="H4" s="2"/>
      <c r="I4" s="2"/>
      <c r="J4" s="2"/>
      <c r="K4" s="2"/>
      <c r="L4" s="2"/>
    </row>
    <row r="5" spans="1:12" x14ac:dyDescent="0.3">
      <c r="A5">
        <v>5</v>
      </c>
      <c r="C5" s="6" t="s">
        <v>662</v>
      </c>
      <c r="D5" s="158">
        <f>'Table S1.1 (complete_data)'!$D$6</f>
        <v>121</v>
      </c>
      <c r="E5" s="158">
        <f>'Table S1.1 (complete_data)'!$E$6</f>
        <v>17.8</v>
      </c>
      <c r="F5" s="158"/>
      <c r="G5" s="2" t="s">
        <v>21</v>
      </c>
      <c r="H5" s="2" t="s">
        <v>663</v>
      </c>
      <c r="I5" s="2" t="s">
        <v>664</v>
      </c>
      <c r="J5" s="2"/>
      <c r="K5" s="2" t="s">
        <v>1966</v>
      </c>
      <c r="L5" s="2" t="s">
        <v>644</v>
      </c>
    </row>
    <row r="6" spans="1:12" x14ac:dyDescent="0.3">
      <c r="A6">
        <v>6</v>
      </c>
      <c r="C6" s="6" t="s">
        <v>1810</v>
      </c>
      <c r="D6" s="197">
        <f>'Table S1.1 (complete_data)'!$D$17</f>
        <v>45.454545454545453</v>
      </c>
      <c r="E6" s="164"/>
      <c r="F6" s="164"/>
      <c r="G6" s="2" t="s">
        <v>1820</v>
      </c>
      <c r="H6" s="2" t="s">
        <v>663</v>
      </c>
      <c r="I6" s="2" t="s">
        <v>1821</v>
      </c>
      <c r="J6" s="2"/>
      <c r="K6" s="2"/>
      <c r="L6" s="2"/>
    </row>
    <row r="7" spans="1:12" x14ac:dyDescent="0.3">
      <c r="A7">
        <v>7</v>
      </c>
      <c r="C7" s="6"/>
      <c r="D7" s="2"/>
      <c r="E7" s="2"/>
      <c r="F7" s="2"/>
      <c r="G7" s="2"/>
      <c r="H7" s="2"/>
      <c r="I7" s="2"/>
      <c r="J7" s="2"/>
      <c r="K7" s="2"/>
      <c r="L7" s="2"/>
    </row>
    <row r="8" spans="1:12" ht="15.65" thickBot="1" x14ac:dyDescent="0.35">
      <c r="A8">
        <v>8</v>
      </c>
      <c r="C8" s="2"/>
      <c r="D8" s="1"/>
      <c r="E8" s="1"/>
      <c r="F8" s="1"/>
      <c r="G8" s="2"/>
      <c r="H8" s="46"/>
      <c r="I8" s="2"/>
      <c r="J8" s="2"/>
      <c r="K8" s="2"/>
      <c r="L8" s="2"/>
    </row>
    <row r="9" spans="1:12" ht="15.65" thickBot="1" x14ac:dyDescent="0.35">
      <c r="A9">
        <v>9</v>
      </c>
      <c r="B9" s="1379" t="s">
        <v>1816</v>
      </c>
      <c r="C9" s="531" t="s">
        <v>665</v>
      </c>
      <c r="D9" s="911"/>
      <c r="E9" s="166"/>
      <c r="F9" s="166"/>
      <c r="G9" s="166"/>
      <c r="H9" s="166"/>
      <c r="I9" s="166"/>
      <c r="J9" s="166"/>
      <c r="K9" s="911"/>
      <c r="L9" s="166"/>
    </row>
    <row r="10" spans="1:12" ht="15.65" thickBot="1" x14ac:dyDescent="0.35">
      <c r="A10">
        <v>10</v>
      </c>
      <c r="B10" s="1380"/>
      <c r="C10" s="728" t="s">
        <v>1811</v>
      </c>
      <c r="D10" s="914">
        <v>9.8299999999999998E-2</v>
      </c>
      <c r="E10" s="913">
        <v>1.2E-2</v>
      </c>
      <c r="F10" s="913"/>
      <c r="G10" s="2" t="s">
        <v>666</v>
      </c>
      <c r="H10" s="2" t="s">
        <v>667</v>
      </c>
      <c r="I10" s="2" t="s">
        <v>668</v>
      </c>
      <c r="J10" s="602" t="s">
        <v>669</v>
      </c>
      <c r="K10" s="912" t="s">
        <v>1402</v>
      </c>
      <c r="L10" s="29" t="s">
        <v>670</v>
      </c>
    </row>
    <row r="11" spans="1:12" ht="15.65" thickBot="1" x14ac:dyDescent="0.35">
      <c r="A11">
        <v>11</v>
      </c>
      <c r="B11" s="1380"/>
      <c r="C11" s="728" t="s">
        <v>1206</v>
      </c>
      <c r="D11" s="914">
        <v>0.71150000000000002</v>
      </c>
      <c r="E11" s="913">
        <v>3.9399999999999998E-2</v>
      </c>
      <c r="F11" s="913"/>
      <c r="G11" s="2" t="s">
        <v>666</v>
      </c>
      <c r="H11" s="2" t="s">
        <v>667</v>
      </c>
      <c r="I11" s="2" t="s">
        <v>671</v>
      </c>
      <c r="J11" s="602" t="s">
        <v>669</v>
      </c>
      <c r="K11" s="912" t="s">
        <v>1402</v>
      </c>
      <c r="L11" s="29" t="s">
        <v>670</v>
      </c>
    </row>
    <row r="12" spans="1:12" ht="15.65" thickBot="1" x14ac:dyDescent="0.35">
      <c r="A12">
        <v>12</v>
      </c>
      <c r="B12" s="1380"/>
      <c r="C12" s="728" t="s">
        <v>1207</v>
      </c>
      <c r="D12" s="914">
        <v>0.46189999999999998</v>
      </c>
      <c r="E12" s="913">
        <v>2.5399999999999999E-2</v>
      </c>
      <c r="F12" s="913"/>
      <c r="G12" s="2" t="s">
        <v>666</v>
      </c>
      <c r="H12" s="2" t="s">
        <v>667</v>
      </c>
      <c r="I12" s="2" t="s">
        <v>672</v>
      </c>
      <c r="J12" s="602" t="s">
        <v>669</v>
      </c>
      <c r="K12" s="912" t="s">
        <v>1402</v>
      </c>
      <c r="L12" s="29" t="s">
        <v>670</v>
      </c>
    </row>
    <row r="13" spans="1:12" ht="15.65" thickBot="1" x14ac:dyDescent="0.35">
      <c r="A13">
        <v>13</v>
      </c>
      <c r="B13" s="1380"/>
      <c r="C13" s="728" t="s">
        <v>1812</v>
      </c>
      <c r="D13" s="914">
        <v>1.7877000000000001</v>
      </c>
      <c r="E13" s="372">
        <v>7.9840464099790051E-2</v>
      </c>
      <c r="F13" s="372"/>
      <c r="G13" s="2" t="s">
        <v>666</v>
      </c>
      <c r="H13" s="2" t="s">
        <v>667</v>
      </c>
      <c r="I13" s="2" t="s">
        <v>672</v>
      </c>
      <c r="J13" s="602" t="s">
        <v>669</v>
      </c>
      <c r="K13" s="912" t="s">
        <v>1402</v>
      </c>
      <c r="L13" s="29" t="s">
        <v>670</v>
      </c>
    </row>
    <row r="14" spans="1:12" x14ac:dyDescent="0.3">
      <c r="A14">
        <v>14</v>
      </c>
      <c r="B14" s="1380"/>
      <c r="C14" s="29" t="s">
        <v>1813</v>
      </c>
      <c r="D14" s="893">
        <f>$D$10+$D$11+$D$12+$D$13</f>
        <v>3.0594000000000001</v>
      </c>
      <c r="E14" s="134"/>
      <c r="F14" s="134"/>
      <c r="G14" s="2" t="s">
        <v>673</v>
      </c>
      <c r="H14" s="1" t="s">
        <v>629</v>
      </c>
      <c r="I14" s="2" t="s">
        <v>1205</v>
      </c>
      <c r="J14" s="1" t="s">
        <v>1897</v>
      </c>
      <c r="K14" s="30"/>
      <c r="L14" s="2"/>
    </row>
    <row r="15" spans="1:12" x14ac:dyDescent="0.3">
      <c r="A15">
        <v>15</v>
      </c>
      <c r="B15" s="1380"/>
      <c r="C15" s="531" t="s">
        <v>1253</v>
      </c>
      <c r="D15" s="166"/>
      <c r="E15" s="166"/>
      <c r="F15" s="166"/>
      <c r="G15" s="166"/>
      <c r="H15" s="166"/>
      <c r="I15" s="166"/>
      <c r="J15" s="166"/>
      <c r="K15" s="166"/>
      <c r="L15" s="166"/>
    </row>
    <row r="16" spans="1:12" x14ac:dyDescent="0.3">
      <c r="A16">
        <v>16</v>
      </c>
      <c r="B16" s="1380"/>
      <c r="C16" s="29" t="s">
        <v>674</v>
      </c>
      <c r="D16" s="377">
        <f>$D$10*$D$5</f>
        <v>11.894299999999999</v>
      </c>
      <c r="E16" s="134"/>
      <c r="F16" s="134"/>
      <c r="G16" s="2" t="s">
        <v>675</v>
      </c>
      <c r="H16" s="1" t="s">
        <v>629</v>
      </c>
      <c r="I16" s="2" t="s">
        <v>676</v>
      </c>
      <c r="J16" s="1" t="s">
        <v>1897</v>
      </c>
      <c r="K16" s="2"/>
      <c r="L16" s="2"/>
    </row>
    <row r="17" spans="1:12" x14ac:dyDescent="0.3">
      <c r="A17">
        <v>17</v>
      </c>
      <c r="B17" s="1380"/>
      <c r="C17" s="29" t="s">
        <v>677</v>
      </c>
      <c r="D17" s="377">
        <f>$D$11*$D$5</f>
        <v>86.091499999999996</v>
      </c>
      <c r="E17" s="134"/>
      <c r="F17" s="134"/>
      <c r="G17" s="2" t="s">
        <v>675</v>
      </c>
      <c r="H17" s="1" t="s">
        <v>629</v>
      </c>
      <c r="I17" s="2" t="s">
        <v>676</v>
      </c>
      <c r="J17" s="1" t="s">
        <v>1897</v>
      </c>
      <c r="K17" s="2"/>
      <c r="L17" s="2"/>
    </row>
    <row r="18" spans="1:12" x14ac:dyDescent="0.3">
      <c r="A18">
        <v>18</v>
      </c>
      <c r="B18" s="1380"/>
      <c r="C18" s="29" t="s">
        <v>678</v>
      </c>
      <c r="D18" s="377">
        <f>$D5*($D$12+$D$13)</f>
        <v>272.20159999999998</v>
      </c>
      <c r="E18" s="134"/>
      <c r="F18" s="134"/>
      <c r="G18" s="2" t="s">
        <v>675</v>
      </c>
      <c r="H18" s="1" t="s">
        <v>629</v>
      </c>
      <c r="I18" s="2" t="s">
        <v>676</v>
      </c>
      <c r="J18" s="2" t="s">
        <v>1897</v>
      </c>
      <c r="K18" s="2"/>
      <c r="L18" s="2"/>
    </row>
    <row r="19" spans="1:12" ht="15.65" thickBot="1" x14ac:dyDescent="0.35">
      <c r="A19">
        <v>19</v>
      </c>
      <c r="B19" s="1381"/>
      <c r="C19" s="29" t="s">
        <v>679</v>
      </c>
      <c r="D19" s="377">
        <f>SUM(D16:D18)</f>
        <v>370.18739999999997</v>
      </c>
      <c r="E19" s="134"/>
      <c r="F19" s="134"/>
      <c r="G19" s="2" t="s">
        <v>675</v>
      </c>
      <c r="H19" s="1" t="s">
        <v>629</v>
      </c>
      <c r="I19" s="2" t="s">
        <v>680</v>
      </c>
      <c r="J19" s="2" t="s">
        <v>1897</v>
      </c>
      <c r="K19" s="2"/>
      <c r="L19" s="2"/>
    </row>
    <row r="20" spans="1:12" x14ac:dyDescent="0.3">
      <c r="A20">
        <v>20</v>
      </c>
      <c r="C20" s="2"/>
      <c r="D20" s="1"/>
      <c r="E20" s="1"/>
      <c r="F20" s="1"/>
      <c r="G20" s="2"/>
      <c r="H20" s="2"/>
      <c r="I20" s="2"/>
      <c r="J20" s="2"/>
      <c r="K20" s="2"/>
      <c r="L20" s="2"/>
    </row>
    <row r="21" spans="1:12" x14ac:dyDescent="0.3">
      <c r="A21">
        <v>21</v>
      </c>
      <c r="B21" s="167" t="s">
        <v>1133</v>
      </c>
      <c r="C21" s="167" t="s">
        <v>1135</v>
      </c>
      <c r="D21" s="167"/>
      <c r="E21" s="167"/>
      <c r="F21" s="167"/>
      <c r="G21" s="168"/>
      <c r="H21" s="168"/>
      <c r="I21" s="168"/>
      <c r="J21" s="168"/>
      <c r="K21" s="168"/>
      <c r="L21" s="168"/>
    </row>
    <row r="22" spans="1:12" x14ac:dyDescent="0.3">
      <c r="A22">
        <v>22</v>
      </c>
      <c r="C22" s="2"/>
      <c r="D22" s="2"/>
      <c r="E22" s="2"/>
      <c r="F22" s="2"/>
      <c r="G22" s="2"/>
      <c r="H22" s="2"/>
      <c r="I22" s="2"/>
      <c r="J22" s="2"/>
      <c r="K22" s="2"/>
      <c r="L22" s="2"/>
    </row>
    <row r="23" spans="1:12" x14ac:dyDescent="0.3">
      <c r="A23">
        <v>23</v>
      </c>
      <c r="B23" s="24" t="s">
        <v>1249</v>
      </c>
      <c r="C23" s="24" t="s">
        <v>1283</v>
      </c>
      <c r="D23" s="21"/>
      <c r="E23" s="21"/>
      <c r="F23" s="21"/>
      <c r="G23" s="21"/>
      <c r="H23" s="21"/>
      <c r="I23" s="21"/>
      <c r="J23" s="21"/>
      <c r="K23" s="21"/>
      <c r="L23" s="21"/>
    </row>
    <row r="24" spans="1:12" ht="15.65" thickBot="1" x14ac:dyDescent="0.35">
      <c r="A24">
        <v>24</v>
      </c>
      <c r="B24" s="131"/>
      <c r="C24" s="2"/>
      <c r="D24" s="2"/>
      <c r="E24" s="2"/>
      <c r="F24" s="2"/>
      <c r="G24" s="2"/>
      <c r="H24" s="2"/>
      <c r="I24" s="2"/>
      <c r="J24" s="2"/>
      <c r="K24" s="2"/>
      <c r="L24" s="2"/>
    </row>
    <row r="25" spans="1:12" x14ac:dyDescent="0.3">
      <c r="A25">
        <v>25</v>
      </c>
      <c r="B25" s="1382" t="s">
        <v>1817</v>
      </c>
      <c r="C25" s="542" t="s">
        <v>681</v>
      </c>
      <c r="D25" s="1250">
        <v>48.7</v>
      </c>
      <c r="E25" s="57">
        <v>14</v>
      </c>
      <c r="F25" s="57"/>
      <c r="G25" s="57" t="s">
        <v>84</v>
      </c>
      <c r="H25" s="57" t="s">
        <v>688</v>
      </c>
      <c r="I25" s="57" t="s">
        <v>1200</v>
      </c>
      <c r="J25" s="57" t="s">
        <v>685</v>
      </c>
      <c r="K25" s="57" t="s">
        <v>1403</v>
      </c>
      <c r="L25" s="57" t="s">
        <v>691</v>
      </c>
    </row>
    <row r="26" spans="1:12" x14ac:dyDescent="0.3">
      <c r="A26">
        <v>26</v>
      </c>
      <c r="B26" s="1383"/>
      <c r="C26" s="477" t="s">
        <v>682</v>
      </c>
      <c r="D26" s="68" t="s">
        <v>1833</v>
      </c>
      <c r="E26" s="68"/>
      <c r="F26" s="68"/>
      <c r="G26" s="68"/>
      <c r="H26" s="68"/>
      <c r="I26" s="68"/>
      <c r="J26" s="68"/>
      <c r="K26" s="68"/>
      <c r="L26" s="68"/>
    </row>
    <row r="27" spans="1:12" x14ac:dyDescent="0.3">
      <c r="A27">
        <v>27</v>
      </c>
      <c r="B27" s="1383"/>
      <c r="C27" s="488" t="s">
        <v>683</v>
      </c>
      <c r="D27" s="53">
        <v>85</v>
      </c>
      <c r="E27" s="488"/>
      <c r="F27" s="488" t="s">
        <v>1198</v>
      </c>
      <c r="G27" s="53" t="s">
        <v>84</v>
      </c>
      <c r="H27" s="53" t="s">
        <v>684</v>
      </c>
      <c r="I27" s="53"/>
      <c r="J27" s="53" t="s">
        <v>685</v>
      </c>
      <c r="K27" s="53" t="s">
        <v>1396</v>
      </c>
      <c r="L27" s="53" t="s">
        <v>686</v>
      </c>
    </row>
    <row r="28" spans="1:12" x14ac:dyDescent="0.3">
      <c r="A28">
        <v>28</v>
      </c>
      <c r="B28" s="1383"/>
      <c r="C28" s="519" t="s">
        <v>687</v>
      </c>
      <c r="D28" s="166">
        <v>43</v>
      </c>
      <c r="E28" s="166">
        <v>18</v>
      </c>
      <c r="F28" s="166"/>
      <c r="G28" s="166" t="s">
        <v>84</v>
      </c>
      <c r="H28" s="166" t="s">
        <v>688</v>
      </c>
      <c r="I28" s="166" t="s">
        <v>689</v>
      </c>
      <c r="J28" s="166" t="s">
        <v>685</v>
      </c>
      <c r="K28" s="166" t="s">
        <v>690</v>
      </c>
      <c r="L28" s="166" t="s">
        <v>691</v>
      </c>
    </row>
    <row r="29" spans="1:12" ht="15.65" thickBot="1" x14ac:dyDescent="0.35">
      <c r="A29">
        <v>29</v>
      </c>
      <c r="B29" s="1383"/>
      <c r="C29" s="488" t="s">
        <v>692</v>
      </c>
      <c r="D29" s="701">
        <v>120</v>
      </c>
      <c r="E29" s="53"/>
      <c r="F29" s="53"/>
      <c r="G29" s="53" t="s">
        <v>84</v>
      </c>
      <c r="H29" s="53" t="s">
        <v>684</v>
      </c>
      <c r="I29" s="53" t="s">
        <v>813</v>
      </c>
      <c r="J29" s="53" t="s">
        <v>693</v>
      </c>
      <c r="K29" s="701" t="s">
        <v>1396</v>
      </c>
      <c r="L29" s="53" t="s">
        <v>686</v>
      </c>
    </row>
    <row r="30" spans="1:12" ht="15.65" thickBot="1" x14ac:dyDescent="0.35">
      <c r="A30">
        <v>30</v>
      </c>
      <c r="B30" s="1383"/>
      <c r="C30" s="895" t="s">
        <v>694</v>
      </c>
      <c r="D30" s="890">
        <v>25</v>
      </c>
      <c r="E30" s="473">
        <v>5</v>
      </c>
      <c r="F30" s="473"/>
      <c r="G30" s="52" t="s">
        <v>84</v>
      </c>
      <c r="H30" s="52" t="s">
        <v>695</v>
      </c>
      <c r="I30" s="52" t="s">
        <v>1834</v>
      </c>
      <c r="J30" s="704" t="s">
        <v>696</v>
      </c>
      <c r="K30" s="886" t="s">
        <v>1404</v>
      </c>
      <c r="L30" s="487" t="s">
        <v>697</v>
      </c>
    </row>
    <row r="31" spans="1:12" ht="15.65" thickBot="1" x14ac:dyDescent="0.35">
      <c r="A31">
        <v>31</v>
      </c>
      <c r="B31" s="1384"/>
      <c r="C31" s="702" t="s">
        <v>698</v>
      </c>
      <c r="D31" s="814">
        <v>50</v>
      </c>
      <c r="E31" s="483">
        <v>15</v>
      </c>
      <c r="F31" s="483"/>
      <c r="G31" s="381" t="s">
        <v>84</v>
      </c>
      <c r="H31" s="381" t="s">
        <v>695</v>
      </c>
      <c r="I31" s="381" t="s">
        <v>1121</v>
      </c>
      <c r="J31" s="712" t="s">
        <v>696</v>
      </c>
      <c r="K31" s="814" t="s">
        <v>1404</v>
      </c>
      <c r="L31" s="587" t="s">
        <v>697</v>
      </c>
    </row>
    <row r="32" spans="1:12" s="282" customFormat="1" x14ac:dyDescent="0.3">
      <c r="A32">
        <v>32</v>
      </c>
      <c r="B32" s="125"/>
      <c r="C32" s="11"/>
      <c r="D32" s="703"/>
      <c r="E32" s="9"/>
      <c r="F32" s="9"/>
      <c r="G32" s="5"/>
      <c r="H32" s="5"/>
      <c r="I32" s="5"/>
      <c r="J32" s="5"/>
      <c r="K32" s="268"/>
      <c r="L32" s="5"/>
    </row>
    <row r="33" spans="1:12" x14ac:dyDescent="0.3">
      <c r="A33">
        <v>33</v>
      </c>
      <c r="B33" s="24" t="s">
        <v>1122</v>
      </c>
      <c r="C33" s="24"/>
      <c r="D33" s="21"/>
      <c r="E33" s="21"/>
      <c r="F33" s="21"/>
      <c r="G33" s="21"/>
      <c r="H33" s="21"/>
      <c r="I33" s="21"/>
      <c r="J33" s="21"/>
      <c r="K33" s="21"/>
      <c r="L33" s="21"/>
    </row>
    <row r="34" spans="1:12" ht="15.65" thickBot="1" x14ac:dyDescent="0.35">
      <c r="A34">
        <v>34</v>
      </c>
      <c r="C34" s="2"/>
      <c r="D34" s="2"/>
      <c r="E34" s="2"/>
      <c r="F34" s="2"/>
      <c r="G34" s="2"/>
      <c r="H34" s="2"/>
      <c r="I34" s="2"/>
      <c r="J34" s="2"/>
      <c r="K34" s="2"/>
      <c r="L34" s="2"/>
    </row>
    <row r="35" spans="1:12" x14ac:dyDescent="0.3">
      <c r="A35">
        <v>35</v>
      </c>
      <c r="B35" s="1376" t="s">
        <v>2009</v>
      </c>
      <c r="C35" s="474" t="s">
        <v>1260</v>
      </c>
      <c r="D35" s="21"/>
      <c r="E35" s="21"/>
      <c r="F35" s="21"/>
      <c r="G35" s="21"/>
      <c r="H35" s="21"/>
      <c r="I35" s="21"/>
      <c r="J35" s="21"/>
      <c r="K35" s="21"/>
      <c r="L35" s="21"/>
    </row>
    <row r="36" spans="1:12" x14ac:dyDescent="0.3">
      <c r="A36">
        <v>36</v>
      </c>
      <c r="B36" s="1385"/>
      <c r="C36" s="112"/>
      <c r="D36" s="1"/>
      <c r="E36" s="1"/>
      <c r="F36" s="1"/>
      <c r="G36" s="1"/>
      <c r="H36" s="1"/>
      <c r="I36" s="1"/>
      <c r="J36" s="1"/>
      <c r="K36" s="1"/>
      <c r="L36" s="1"/>
    </row>
    <row r="37" spans="1:12" ht="15.65" thickBot="1" x14ac:dyDescent="0.35">
      <c r="A37">
        <v>37</v>
      </c>
      <c r="B37" s="1385"/>
      <c r="C37" s="586" t="s">
        <v>713</v>
      </c>
      <c r="D37" s="722">
        <v>0</v>
      </c>
      <c r="E37" s="48"/>
      <c r="F37" s="48"/>
      <c r="G37" s="48"/>
      <c r="H37" s="57"/>
      <c r="I37" s="57" t="s">
        <v>714</v>
      </c>
      <c r="J37" s="57" t="s">
        <v>1897</v>
      </c>
      <c r="K37" s="697" t="s">
        <v>1897</v>
      </c>
      <c r="L37" s="57"/>
    </row>
    <row r="38" spans="1:12" ht="16.3" thickTop="1" thickBot="1" x14ac:dyDescent="0.35">
      <c r="A38">
        <v>38</v>
      </c>
      <c r="B38" s="1385"/>
      <c r="C38" s="721" t="s">
        <v>715</v>
      </c>
      <c r="D38" s="724">
        <v>64</v>
      </c>
      <c r="E38" s="723"/>
      <c r="F38" s="477"/>
      <c r="G38" s="68" t="s">
        <v>1814</v>
      </c>
      <c r="H38" s="68" t="s">
        <v>701</v>
      </c>
      <c r="I38" s="68" t="s">
        <v>716</v>
      </c>
      <c r="J38" s="705" t="s">
        <v>717</v>
      </c>
      <c r="K38" s="804" t="s">
        <v>1405</v>
      </c>
      <c r="L38" s="477" t="s">
        <v>718</v>
      </c>
    </row>
    <row r="39" spans="1:12" ht="16.3" thickTop="1" thickBot="1" x14ac:dyDescent="0.35">
      <c r="A39">
        <v>39</v>
      </c>
      <c r="B39" s="1385"/>
      <c r="C39" s="715" t="s">
        <v>719</v>
      </c>
      <c r="D39" s="1251">
        <f>$D$41*2.3</f>
        <v>85.854616895874258</v>
      </c>
      <c r="E39" s="718"/>
      <c r="F39" s="716"/>
      <c r="G39" s="53" t="s">
        <v>1814</v>
      </c>
      <c r="H39" s="53" t="s">
        <v>701</v>
      </c>
      <c r="I39" s="701" t="s">
        <v>720</v>
      </c>
      <c r="J39" s="692" t="s">
        <v>717</v>
      </c>
      <c r="K39" s="888" t="s">
        <v>1407</v>
      </c>
      <c r="L39" s="488" t="s">
        <v>718</v>
      </c>
    </row>
    <row r="40" spans="1:12" ht="16.3" thickTop="1" thickBot="1" x14ac:dyDescent="0.35">
      <c r="A40">
        <v>40</v>
      </c>
      <c r="B40" s="1385"/>
      <c r="C40" s="519" t="s">
        <v>721</v>
      </c>
      <c r="D40" s="1252">
        <f>214-$D$39-$D$41</f>
        <v>90.817288801571721</v>
      </c>
      <c r="E40" s="412"/>
      <c r="F40" s="412"/>
      <c r="G40" s="166" t="s">
        <v>1814</v>
      </c>
      <c r="H40" s="696" t="s">
        <v>701</v>
      </c>
      <c r="I40" s="696" t="s">
        <v>1896</v>
      </c>
      <c r="J40" s="725" t="s">
        <v>717</v>
      </c>
      <c r="K40" s="887" t="s">
        <v>1407</v>
      </c>
      <c r="L40" s="519" t="s">
        <v>718</v>
      </c>
    </row>
    <row r="41" spans="1:12" ht="16.3" thickTop="1" thickBot="1" x14ac:dyDescent="0.35">
      <c r="A41">
        <v>41</v>
      </c>
      <c r="B41" s="1385"/>
      <c r="C41" s="719" t="s">
        <v>722</v>
      </c>
      <c r="D41" s="1253">
        <f>$D$43/0.509</f>
        <v>37.328094302554028</v>
      </c>
      <c r="E41" s="720"/>
      <c r="F41" s="720"/>
      <c r="G41" s="419" t="s">
        <v>1814</v>
      </c>
      <c r="H41" s="419" t="s">
        <v>701</v>
      </c>
      <c r="I41" s="726" t="s">
        <v>723</v>
      </c>
      <c r="J41" s="710" t="s">
        <v>717</v>
      </c>
      <c r="K41" s="889" t="s">
        <v>1407</v>
      </c>
      <c r="L41" s="481" t="s">
        <v>718</v>
      </c>
    </row>
    <row r="42" spans="1:12" ht="15.65" thickBot="1" x14ac:dyDescent="0.35">
      <c r="A42">
        <v>42</v>
      </c>
      <c r="B42" s="1385"/>
      <c r="C42" s="700" t="s">
        <v>724</v>
      </c>
      <c r="D42" s="891">
        <v>116</v>
      </c>
      <c r="E42" s="487"/>
      <c r="F42" s="487"/>
      <c r="G42" s="3" t="s">
        <v>1814</v>
      </c>
      <c r="H42" s="3" t="s">
        <v>701</v>
      </c>
      <c r="I42" s="52" t="s">
        <v>725</v>
      </c>
      <c r="J42" s="704" t="s">
        <v>685</v>
      </c>
      <c r="K42" s="890" t="s">
        <v>1407</v>
      </c>
      <c r="L42" s="487" t="s">
        <v>718</v>
      </c>
    </row>
    <row r="43" spans="1:12" ht="15.65" thickBot="1" x14ac:dyDescent="0.35">
      <c r="A43">
        <v>43</v>
      </c>
      <c r="B43" s="1385"/>
      <c r="C43" s="702" t="s">
        <v>726</v>
      </c>
      <c r="D43" s="892">
        <v>19</v>
      </c>
      <c r="E43" s="587"/>
      <c r="F43" s="587"/>
      <c r="G43" s="376" t="s">
        <v>1814</v>
      </c>
      <c r="H43" s="376" t="s">
        <v>701</v>
      </c>
      <c r="I43" s="376" t="s">
        <v>727</v>
      </c>
      <c r="J43" s="712" t="s">
        <v>685</v>
      </c>
      <c r="K43" s="814" t="s">
        <v>1407</v>
      </c>
      <c r="L43" s="587" t="s">
        <v>718</v>
      </c>
    </row>
    <row r="44" spans="1:12" ht="15.65" thickBot="1" x14ac:dyDescent="0.35">
      <c r="A44">
        <v>44</v>
      </c>
      <c r="B44" s="1385"/>
      <c r="C44" s="29"/>
      <c r="D44" s="485"/>
      <c r="E44" s="2"/>
      <c r="F44" s="2"/>
      <c r="G44" s="2"/>
      <c r="H44" s="2"/>
      <c r="I44" s="2"/>
      <c r="J44" s="2"/>
      <c r="K44" s="681"/>
      <c r="L44" s="2"/>
    </row>
    <row r="45" spans="1:12" ht="15.65" thickBot="1" x14ac:dyDescent="0.35">
      <c r="A45">
        <v>45</v>
      </c>
      <c r="B45" s="1385"/>
      <c r="C45" s="728" t="s">
        <v>728</v>
      </c>
      <c r="D45" s="894">
        <f>SUM(D38:D43)</f>
        <v>413</v>
      </c>
      <c r="E45" s="112"/>
      <c r="F45" s="112"/>
      <c r="G45" s="2" t="s">
        <v>1814</v>
      </c>
      <c r="H45" s="2" t="s">
        <v>701</v>
      </c>
      <c r="I45" s="2" t="s">
        <v>729</v>
      </c>
      <c r="J45" s="2"/>
      <c r="K45" s="411" t="s">
        <v>1405</v>
      </c>
      <c r="L45" s="2" t="s">
        <v>718</v>
      </c>
    </row>
    <row r="46" spans="1:12" ht="15.65" thickBot="1" x14ac:dyDescent="0.35">
      <c r="A46">
        <v>46</v>
      </c>
      <c r="B46" s="1386"/>
      <c r="C46" s="29" t="s">
        <v>1285</v>
      </c>
      <c r="D46" s="893">
        <f>($D$39+$D$40+$D$41)/($D$42+$D$43)</f>
        <v>1.5851851851851855</v>
      </c>
      <c r="E46" s="1"/>
      <c r="F46" s="1"/>
      <c r="G46" s="2"/>
      <c r="H46" s="2"/>
      <c r="I46" s="2"/>
      <c r="J46" s="2"/>
      <c r="K46" s="2"/>
      <c r="L46" s="2"/>
    </row>
    <row r="47" spans="1:12" ht="15.65" thickBot="1" x14ac:dyDescent="0.35">
      <c r="A47">
        <v>47</v>
      </c>
      <c r="C47" s="2"/>
      <c r="D47" s="1"/>
      <c r="E47" s="1"/>
      <c r="F47" s="1"/>
      <c r="G47" s="2"/>
      <c r="H47" s="2"/>
      <c r="I47" s="2"/>
      <c r="J47" s="2"/>
      <c r="K47" s="2"/>
      <c r="L47" s="2"/>
    </row>
    <row r="48" spans="1:12" x14ac:dyDescent="0.3">
      <c r="A48">
        <v>48</v>
      </c>
      <c r="B48" s="1376" t="s">
        <v>2008</v>
      </c>
      <c r="C48" s="474" t="s">
        <v>1259</v>
      </c>
      <c r="D48" s="21"/>
      <c r="E48" s="21"/>
      <c r="F48" s="21"/>
      <c r="G48" s="21"/>
      <c r="H48" s="21"/>
      <c r="I48" s="21"/>
      <c r="J48" s="2"/>
      <c r="K48" s="2"/>
      <c r="L48" s="2"/>
    </row>
    <row r="49" spans="1:12" ht="15.65" thickBot="1" x14ac:dyDescent="0.35">
      <c r="A49">
        <v>49</v>
      </c>
      <c r="B49" s="1385"/>
      <c r="C49" s="29"/>
      <c r="D49" s="131"/>
      <c r="E49" s="2"/>
      <c r="F49" s="2"/>
      <c r="G49" s="2"/>
      <c r="H49" s="2"/>
      <c r="I49" s="2"/>
      <c r="J49" s="2"/>
      <c r="K49" s="802"/>
      <c r="L49" s="2"/>
    </row>
    <row r="50" spans="1:12" ht="15.65" thickBot="1" x14ac:dyDescent="0.35">
      <c r="A50">
        <v>50</v>
      </c>
      <c r="B50" s="1385"/>
      <c r="C50" s="896" t="s">
        <v>730</v>
      </c>
      <c r="D50" s="897">
        <v>11.7</v>
      </c>
      <c r="E50" s="586">
        <v>1.5</v>
      </c>
      <c r="F50" s="586"/>
      <c r="G50" s="57" t="s">
        <v>1814</v>
      </c>
      <c r="H50" s="57" t="s">
        <v>731</v>
      </c>
      <c r="I50" s="60" t="s">
        <v>1287</v>
      </c>
      <c r="J50" s="690" t="s">
        <v>717</v>
      </c>
      <c r="K50" s="734" t="s">
        <v>1406</v>
      </c>
      <c r="L50" s="803" t="s">
        <v>732</v>
      </c>
    </row>
    <row r="51" spans="1:12" ht="15.65" thickBot="1" x14ac:dyDescent="0.35">
      <c r="A51">
        <v>51</v>
      </c>
      <c r="B51" s="1385"/>
      <c r="C51" s="721" t="s">
        <v>733</v>
      </c>
      <c r="D51" s="898">
        <f>$D$65/$D$72*$D$58</f>
        <v>2.436314383592654</v>
      </c>
      <c r="E51" s="477"/>
      <c r="F51" s="477"/>
      <c r="G51" s="68" t="s">
        <v>1814</v>
      </c>
      <c r="H51" s="68" t="s">
        <v>734</v>
      </c>
      <c r="I51" s="68" t="s">
        <v>1289</v>
      </c>
      <c r="J51" s="705" t="s">
        <v>717</v>
      </c>
      <c r="K51" s="804" t="s">
        <v>1406</v>
      </c>
      <c r="L51" s="800" t="s">
        <v>732</v>
      </c>
    </row>
    <row r="52" spans="1:12" ht="15.65" thickBot="1" x14ac:dyDescent="0.35">
      <c r="A52">
        <v>52</v>
      </c>
      <c r="B52" s="1385"/>
      <c r="C52" s="715" t="s">
        <v>735</v>
      </c>
      <c r="D52" s="899">
        <f>$D$66/$D$72*$D$58</f>
        <v>14.081897137165537</v>
      </c>
      <c r="E52" s="716"/>
      <c r="F52" s="716"/>
      <c r="G52" s="53" t="s">
        <v>1814</v>
      </c>
      <c r="H52" s="53" t="s">
        <v>734</v>
      </c>
      <c r="I52" s="53" t="s">
        <v>1308</v>
      </c>
      <c r="J52" s="692" t="s">
        <v>717</v>
      </c>
      <c r="K52" s="805" t="s">
        <v>1406</v>
      </c>
      <c r="L52" s="53" t="s">
        <v>732</v>
      </c>
    </row>
    <row r="53" spans="1:12" ht="15.65" thickBot="1" x14ac:dyDescent="0.35">
      <c r="A53">
        <v>53</v>
      </c>
      <c r="B53" s="1385"/>
      <c r="C53" s="725" t="s">
        <v>736</v>
      </c>
      <c r="D53" s="900">
        <f>$D$67/$D$72*$D$58</f>
        <v>11.026062810316466</v>
      </c>
      <c r="E53" s="837"/>
      <c r="F53" s="837"/>
      <c r="G53" s="166" t="s">
        <v>1814</v>
      </c>
      <c r="H53" s="166" t="s">
        <v>734</v>
      </c>
      <c r="I53" s="166" t="s">
        <v>1309</v>
      </c>
      <c r="J53" s="696" t="s">
        <v>717</v>
      </c>
      <c r="K53" s="806" t="s">
        <v>1406</v>
      </c>
      <c r="L53" s="166" t="s">
        <v>732</v>
      </c>
    </row>
    <row r="54" spans="1:12" ht="15.65" thickBot="1" x14ac:dyDescent="0.35">
      <c r="A54">
        <v>54</v>
      </c>
      <c r="B54" s="1385"/>
      <c r="C54" s="901" t="s">
        <v>737</v>
      </c>
      <c r="D54" s="903">
        <f>$D$68/$D$72*$D$58</f>
        <v>9.5016260960113481</v>
      </c>
      <c r="E54" s="902"/>
      <c r="F54" s="902"/>
      <c r="G54" s="375" t="s">
        <v>1814</v>
      </c>
      <c r="H54" s="375" t="s">
        <v>734</v>
      </c>
      <c r="I54" s="375" t="s">
        <v>1310</v>
      </c>
      <c r="J54" s="693" t="s">
        <v>717</v>
      </c>
      <c r="K54" s="807" t="s">
        <v>1406</v>
      </c>
      <c r="L54" s="808" t="s">
        <v>732</v>
      </c>
    </row>
    <row r="55" spans="1:12" ht="15.65" thickBot="1" x14ac:dyDescent="0.35">
      <c r="A55">
        <v>55</v>
      </c>
      <c r="B55" s="1385"/>
      <c r="C55" s="700" t="s">
        <v>738</v>
      </c>
      <c r="D55" s="905">
        <f>$D$69/$D$72*$D$58</f>
        <v>7.8936586028401976</v>
      </c>
      <c r="E55" s="904"/>
      <c r="F55" s="904"/>
      <c r="G55" s="3" t="s">
        <v>1814</v>
      </c>
      <c r="H55" s="3" t="s">
        <v>734</v>
      </c>
      <c r="I55" s="3" t="s">
        <v>1311</v>
      </c>
      <c r="J55" s="809" t="s">
        <v>717</v>
      </c>
      <c r="K55" s="810" t="s">
        <v>1406</v>
      </c>
      <c r="L55" s="811" t="s">
        <v>732</v>
      </c>
    </row>
    <row r="56" spans="1:12" ht="15.65" thickBot="1" x14ac:dyDescent="0.35">
      <c r="A56">
        <v>56</v>
      </c>
      <c r="B56" s="1385"/>
      <c r="C56" s="906" t="s">
        <v>739</v>
      </c>
      <c r="D56" s="908">
        <f>$D$70/$D$72*$D$58</f>
        <v>5.5970262439068561</v>
      </c>
      <c r="E56" s="907"/>
      <c r="F56" s="907"/>
      <c r="G56" s="376" t="s">
        <v>1814</v>
      </c>
      <c r="H56" s="376" t="s">
        <v>734</v>
      </c>
      <c r="I56" s="376" t="s">
        <v>1312</v>
      </c>
      <c r="J56" s="813" t="s">
        <v>717</v>
      </c>
      <c r="K56" s="814" t="s">
        <v>1406</v>
      </c>
      <c r="L56" s="812" t="s">
        <v>732</v>
      </c>
    </row>
    <row r="57" spans="1:12" ht="15.65" thickBot="1" x14ac:dyDescent="0.35">
      <c r="A57">
        <v>57</v>
      </c>
      <c r="B57" s="1385"/>
      <c r="C57" s="29"/>
      <c r="D57" s="738"/>
      <c r="E57" s="28"/>
      <c r="F57" s="28"/>
      <c r="G57" s="2"/>
      <c r="H57" s="2"/>
      <c r="I57" s="2"/>
      <c r="J57" s="2"/>
      <c r="K57" s="738"/>
      <c r="L57" s="2"/>
    </row>
    <row r="58" spans="1:12" ht="15.65" thickBot="1" x14ac:dyDescent="0.35">
      <c r="A58">
        <v>58</v>
      </c>
      <c r="B58" s="1385"/>
      <c r="C58" s="909" t="s">
        <v>740</v>
      </c>
      <c r="D58" s="1180">
        <v>61.5</v>
      </c>
      <c r="E58" s="910">
        <v>19</v>
      </c>
      <c r="F58" s="910"/>
      <c r="G58" s="2" t="s">
        <v>1814</v>
      </c>
      <c r="H58" s="2" t="s">
        <v>734</v>
      </c>
      <c r="I58" s="6" t="s">
        <v>1934</v>
      </c>
      <c r="J58" s="737"/>
      <c r="K58" s="816" t="s">
        <v>1406</v>
      </c>
      <c r="L58" s="815" t="s">
        <v>732</v>
      </c>
    </row>
    <row r="59" spans="1:12" x14ac:dyDescent="0.3">
      <c r="A59">
        <v>59</v>
      </c>
      <c r="B59" s="1385"/>
      <c r="C59" s="29"/>
      <c r="D59" s="681"/>
      <c r="E59" s="411"/>
      <c r="F59" s="411"/>
      <c r="G59" s="2"/>
      <c r="H59" s="2"/>
      <c r="I59" s="6"/>
      <c r="J59" s="46"/>
      <c r="K59" s="125"/>
      <c r="L59" s="46"/>
    </row>
    <row r="60" spans="1:12" ht="15.65" thickBot="1" x14ac:dyDescent="0.35">
      <c r="A60">
        <v>60</v>
      </c>
      <c r="B60" s="1386"/>
      <c r="C60" s="29" t="s">
        <v>1288</v>
      </c>
      <c r="D60" s="197">
        <f>($D$52+$D$53+$D$54)/($D$55+$D$56)</f>
        <v>2.5654432252072508</v>
      </c>
      <c r="E60" s="1"/>
      <c r="F60" s="1"/>
      <c r="G60" s="2"/>
      <c r="H60" s="2"/>
      <c r="I60" s="2"/>
      <c r="J60" s="2"/>
      <c r="K60" s="2"/>
      <c r="L60" s="2"/>
    </row>
    <row r="61" spans="1:12" ht="15.65" thickBot="1" x14ac:dyDescent="0.35">
      <c r="A61">
        <v>61</v>
      </c>
      <c r="C61" s="2"/>
      <c r="D61" s="1"/>
      <c r="E61" s="1"/>
      <c r="F61" s="1"/>
      <c r="G61" s="2"/>
      <c r="H61" s="2"/>
      <c r="I61" s="2"/>
      <c r="J61" s="2"/>
      <c r="K61" s="2"/>
      <c r="L61" s="2"/>
    </row>
    <row r="62" spans="1:12" ht="15.05" customHeight="1" x14ac:dyDescent="0.3">
      <c r="A62">
        <v>62</v>
      </c>
      <c r="B62" s="1376" t="s">
        <v>2007</v>
      </c>
      <c r="C62" s="474" t="s">
        <v>1258</v>
      </c>
      <c r="D62" s="21"/>
      <c r="E62" s="21"/>
      <c r="F62" s="21"/>
      <c r="G62" s="21"/>
      <c r="H62" s="21"/>
      <c r="I62" s="21"/>
      <c r="J62" s="21"/>
      <c r="K62" s="21"/>
      <c r="L62" s="21"/>
    </row>
    <row r="63" spans="1:12" x14ac:dyDescent="0.3">
      <c r="A63">
        <v>63</v>
      </c>
      <c r="B63" s="1385"/>
      <c r="C63" s="29"/>
      <c r="D63" s="2"/>
      <c r="E63" s="2"/>
      <c r="F63" s="2"/>
      <c r="G63" s="2"/>
      <c r="H63" s="2"/>
      <c r="I63" s="2"/>
      <c r="J63" s="2"/>
      <c r="K63" s="2"/>
      <c r="L63" s="2"/>
    </row>
    <row r="64" spans="1:12" x14ac:dyDescent="0.3">
      <c r="A64">
        <v>64</v>
      </c>
      <c r="B64" s="1385"/>
      <c r="C64" s="542" t="s">
        <v>741</v>
      </c>
      <c r="D64" s="200">
        <f>'Table S1.3(minor veins cells n)'!$B$18</f>
        <v>7.5</v>
      </c>
      <c r="E64" s="378">
        <v>1.1200000000000001</v>
      </c>
      <c r="F64" s="378"/>
      <c r="G64" s="57" t="s">
        <v>1814</v>
      </c>
      <c r="H64" s="57" t="s">
        <v>1246</v>
      </c>
      <c r="I64" s="60"/>
      <c r="J64" s="60"/>
      <c r="K64" s="60"/>
      <c r="L64" s="60"/>
    </row>
    <row r="65" spans="1:12" x14ac:dyDescent="0.3">
      <c r="A65">
        <v>65</v>
      </c>
      <c r="B65" s="1385"/>
      <c r="C65" s="477" t="s">
        <v>742</v>
      </c>
      <c r="D65" s="379">
        <f>'Table S1.3(minor veins cells n)'!$B$19</f>
        <v>1.6666666666666667</v>
      </c>
      <c r="E65" s="380">
        <v>2.9</v>
      </c>
      <c r="F65" s="380"/>
      <c r="G65" s="68" t="s">
        <v>1814</v>
      </c>
      <c r="H65" s="68" t="s">
        <v>1246</v>
      </c>
      <c r="I65" s="68"/>
      <c r="J65" s="68"/>
      <c r="K65" s="68"/>
      <c r="L65" s="68"/>
    </row>
    <row r="66" spans="1:12" x14ac:dyDescent="0.3">
      <c r="A66">
        <v>66</v>
      </c>
      <c r="B66" s="1385"/>
      <c r="C66" s="488" t="s">
        <v>743</v>
      </c>
      <c r="D66" s="198">
        <f>'Table S1.3(minor veins cells n)'!$B$20</f>
        <v>9.6333333333333329</v>
      </c>
      <c r="E66" s="337">
        <v>4.4000000000000004</v>
      </c>
      <c r="F66" s="337"/>
      <c r="G66" s="25" t="s">
        <v>1814</v>
      </c>
      <c r="H66" s="25" t="s">
        <v>1246</v>
      </c>
      <c r="I66" s="53"/>
      <c r="J66" s="53"/>
      <c r="K66" s="53"/>
      <c r="L66" s="53"/>
    </row>
    <row r="67" spans="1:12" x14ac:dyDescent="0.3">
      <c r="A67">
        <v>67</v>
      </c>
      <c r="B67" s="1385"/>
      <c r="C67" s="519" t="s">
        <v>744</v>
      </c>
      <c r="D67" s="407">
        <f>'Table S1.3(minor veins cells n)'!$B$21</f>
        <v>7.5428571428571427</v>
      </c>
      <c r="E67" s="414">
        <v>3.3</v>
      </c>
      <c r="F67" s="414"/>
      <c r="G67" s="70" t="s">
        <v>1814</v>
      </c>
      <c r="H67" s="70" t="s">
        <v>1246</v>
      </c>
      <c r="I67" s="166"/>
      <c r="J67" s="166"/>
      <c r="K67" s="166"/>
      <c r="L67" s="166"/>
    </row>
    <row r="68" spans="1:12" x14ac:dyDescent="0.3">
      <c r="A68">
        <v>68</v>
      </c>
      <c r="B68" s="1385"/>
      <c r="C68" s="472" t="s">
        <v>745</v>
      </c>
      <c r="D68" s="406">
        <f>'Table S1.3(minor veins cells n)'!$B$22</f>
        <v>6.5</v>
      </c>
      <c r="E68" s="405">
        <v>2.2999999999999998</v>
      </c>
      <c r="F68" s="405"/>
      <c r="G68" s="391" t="s">
        <v>1814</v>
      </c>
      <c r="H68" s="375" t="s">
        <v>1246</v>
      </c>
      <c r="I68" s="375"/>
      <c r="J68" s="375"/>
      <c r="K68" s="375"/>
      <c r="L68" s="375"/>
    </row>
    <row r="69" spans="1:12" x14ac:dyDescent="0.3">
      <c r="A69">
        <v>69</v>
      </c>
      <c r="B69" s="1385"/>
      <c r="C69" s="522" t="s">
        <v>747</v>
      </c>
      <c r="D69" s="199">
        <f>'Table S1.3(minor veins cells n)'!$B$23</f>
        <v>5.3999999999999995</v>
      </c>
      <c r="E69" s="336">
        <v>2.6</v>
      </c>
      <c r="F69" s="336"/>
      <c r="G69" s="52" t="s">
        <v>1814</v>
      </c>
      <c r="H69" s="3" t="s">
        <v>1246</v>
      </c>
      <c r="I69" s="3"/>
      <c r="J69" s="3"/>
      <c r="K69" s="3"/>
      <c r="L69" s="3"/>
    </row>
    <row r="70" spans="1:12" x14ac:dyDescent="0.3">
      <c r="A70">
        <v>70</v>
      </c>
      <c r="B70" s="1385"/>
      <c r="C70" s="585" t="s">
        <v>748</v>
      </c>
      <c r="D70" s="382">
        <f>'Table S1.3(minor veins cells n)'!$B$24</f>
        <v>3.8288888888888888</v>
      </c>
      <c r="E70" s="384">
        <v>1.3</v>
      </c>
      <c r="F70" s="384"/>
      <c r="G70" s="381" t="s">
        <v>1814</v>
      </c>
      <c r="H70" s="376" t="s">
        <v>1246</v>
      </c>
      <c r="I70" s="376"/>
      <c r="J70" s="376"/>
      <c r="K70" s="376"/>
      <c r="L70" s="376"/>
    </row>
    <row r="71" spans="1:12" s="282" customFormat="1" x14ac:dyDescent="0.3">
      <c r="A71">
        <v>71</v>
      </c>
      <c r="B71" s="1385"/>
      <c r="C71" s="327"/>
      <c r="D71" s="409"/>
      <c r="E71" s="5"/>
      <c r="F71" s="5"/>
      <c r="G71" s="5"/>
      <c r="H71" s="11"/>
      <c r="I71" s="11"/>
      <c r="J71" s="11"/>
      <c r="K71" s="11"/>
      <c r="L71" s="11"/>
    </row>
    <row r="72" spans="1:12" x14ac:dyDescent="0.3">
      <c r="A72">
        <v>72</v>
      </c>
      <c r="B72" s="1385"/>
      <c r="C72" s="29" t="s">
        <v>1245</v>
      </c>
      <c r="D72" s="377">
        <f>'Table S1.3(minor veins cells n)'!$B$25</f>
        <v>42.071746031746031</v>
      </c>
      <c r="E72" s="1"/>
      <c r="F72" s="1"/>
      <c r="G72" s="6" t="s">
        <v>1814</v>
      </c>
      <c r="H72" s="6" t="s">
        <v>1246</v>
      </c>
      <c r="I72" s="2"/>
      <c r="J72" s="2"/>
      <c r="K72" s="2"/>
      <c r="L72" s="2"/>
    </row>
    <row r="73" spans="1:12" x14ac:dyDescent="0.3">
      <c r="A73">
        <v>73</v>
      </c>
      <c r="B73" s="1385"/>
      <c r="C73" s="29" t="s">
        <v>1302</v>
      </c>
      <c r="D73" s="197">
        <f>($D$66+$D$67)/$D$68</f>
        <v>2.6424908424908429</v>
      </c>
      <c r="E73" s="1"/>
      <c r="F73" s="1"/>
      <c r="G73" s="6" t="s">
        <v>44</v>
      </c>
      <c r="H73" s="6"/>
      <c r="I73" s="2"/>
      <c r="J73" s="2"/>
      <c r="K73" s="2"/>
      <c r="L73" s="2"/>
    </row>
    <row r="74" spans="1:12" ht="15.65" thickBot="1" x14ac:dyDescent="0.35">
      <c r="A74">
        <v>74</v>
      </c>
      <c r="B74" s="1386"/>
      <c r="C74" s="29"/>
      <c r="D74" s="197"/>
      <c r="E74" s="1"/>
      <c r="F74" s="1"/>
      <c r="G74" s="6"/>
      <c r="H74" s="6"/>
      <c r="I74" s="2"/>
      <c r="J74" s="2"/>
      <c r="K74" s="2"/>
      <c r="L74" s="2"/>
    </row>
    <row r="75" spans="1:12" x14ac:dyDescent="0.3">
      <c r="A75">
        <v>75</v>
      </c>
      <c r="B75" s="30"/>
      <c r="C75" s="29"/>
      <c r="D75" s="2"/>
      <c r="E75" s="2"/>
      <c r="F75" s="2"/>
      <c r="G75" s="2"/>
      <c r="H75" s="2"/>
      <c r="I75" s="2"/>
      <c r="J75" s="2"/>
      <c r="K75" s="2"/>
      <c r="L75" s="2"/>
    </row>
    <row r="76" spans="1:12" x14ac:dyDescent="0.3">
      <c r="A76">
        <v>76</v>
      </c>
      <c r="B76" s="24" t="s">
        <v>1248</v>
      </c>
      <c r="C76" s="301"/>
      <c r="D76" s="21"/>
      <c r="E76" s="21"/>
      <c r="F76" s="21"/>
      <c r="G76" s="21"/>
      <c r="H76" s="21"/>
      <c r="I76" s="21"/>
      <c r="J76" s="21"/>
      <c r="K76" s="21"/>
      <c r="L76" s="21"/>
    </row>
    <row r="77" spans="1:12" s="282" customFormat="1" ht="15.65" thickBot="1" x14ac:dyDescent="0.35">
      <c r="A77">
        <v>77</v>
      </c>
      <c r="B77" s="286"/>
      <c r="C77" s="4"/>
      <c r="D77" s="11"/>
      <c r="E77" s="11"/>
      <c r="F77" s="11"/>
      <c r="G77" s="11"/>
      <c r="H77" s="11"/>
      <c r="I77" s="11"/>
      <c r="J77" s="11"/>
      <c r="K77" s="11"/>
      <c r="L77" s="11"/>
    </row>
    <row r="78" spans="1:12" s="282" customFormat="1" ht="15.05" customHeight="1" x14ac:dyDescent="0.3">
      <c r="A78">
        <v>78</v>
      </c>
      <c r="B78" s="1372" t="s">
        <v>1999</v>
      </c>
      <c r="C78" s="474" t="s">
        <v>1262</v>
      </c>
      <c r="D78" s="21"/>
      <c r="E78" s="21"/>
      <c r="F78" s="21"/>
      <c r="G78" s="21"/>
      <c r="H78" s="21"/>
      <c r="I78" s="21"/>
      <c r="J78" s="21"/>
      <c r="K78" s="21"/>
      <c r="L78" s="21"/>
    </row>
    <row r="79" spans="1:12" x14ac:dyDescent="0.3">
      <c r="A79">
        <v>79</v>
      </c>
      <c r="B79" s="1373"/>
      <c r="C79" s="29"/>
      <c r="D79" s="2"/>
      <c r="E79" s="2"/>
      <c r="F79" s="2"/>
      <c r="G79" s="2"/>
      <c r="H79" s="2"/>
      <c r="I79" s="2"/>
      <c r="J79" s="2"/>
      <c r="K79" s="2"/>
      <c r="L79" s="2"/>
    </row>
    <row r="80" spans="1:12" ht="15.65" thickBot="1" x14ac:dyDescent="0.35">
      <c r="A80">
        <v>80</v>
      </c>
      <c r="B80" s="1373"/>
      <c r="C80" s="542" t="s">
        <v>2010</v>
      </c>
      <c r="D80" s="57">
        <v>0</v>
      </c>
      <c r="E80" s="57"/>
      <c r="F80" s="57"/>
      <c r="G80" s="57" t="s">
        <v>1815</v>
      </c>
      <c r="H80" s="57"/>
      <c r="I80" s="57" t="s">
        <v>700</v>
      </c>
      <c r="J80" s="57"/>
      <c r="K80" s="697"/>
      <c r="L80" s="57"/>
    </row>
    <row r="81" spans="1:13" ht="15.65" thickBot="1" x14ac:dyDescent="0.35">
      <c r="A81">
        <v>81</v>
      </c>
      <c r="B81" s="1373"/>
      <c r="C81" s="477" t="s">
        <v>2011</v>
      </c>
      <c r="D81" s="68">
        <v>6.5</v>
      </c>
      <c r="E81" s="68"/>
      <c r="F81" s="68"/>
      <c r="G81" s="68" t="s">
        <v>1815</v>
      </c>
      <c r="H81" s="68" t="s">
        <v>701</v>
      </c>
      <c r="I81" s="68" t="s">
        <v>1265</v>
      </c>
      <c r="J81" s="705" t="s">
        <v>702</v>
      </c>
      <c r="K81" s="801" t="s">
        <v>1405</v>
      </c>
      <c r="L81" s="800" t="s">
        <v>703</v>
      </c>
    </row>
    <row r="82" spans="1:13" ht="15.65" thickBot="1" x14ac:dyDescent="0.35">
      <c r="A82">
        <v>82</v>
      </c>
      <c r="B82" s="1373"/>
      <c r="C82" s="488" t="s">
        <v>2012</v>
      </c>
      <c r="D82" s="1181">
        <f>$D$102</f>
        <v>10</v>
      </c>
      <c r="E82" s="53" t="s">
        <v>1261</v>
      </c>
      <c r="F82" s="53"/>
      <c r="G82" s="53" t="s">
        <v>1815</v>
      </c>
      <c r="H82" s="53" t="s">
        <v>701</v>
      </c>
      <c r="I82" s="53" t="s">
        <v>2110</v>
      </c>
      <c r="J82" s="692" t="s">
        <v>702</v>
      </c>
      <c r="K82" s="822" t="s">
        <v>1405</v>
      </c>
      <c r="L82" s="821" t="s">
        <v>703</v>
      </c>
    </row>
    <row r="83" spans="1:13" ht="15.65" thickBot="1" x14ac:dyDescent="0.35">
      <c r="A83">
        <v>83</v>
      </c>
      <c r="B83" s="1373"/>
      <c r="C83" s="519" t="s">
        <v>2013</v>
      </c>
      <c r="D83" s="1182">
        <f>$D$103</f>
        <v>14.7</v>
      </c>
      <c r="E83" s="166" t="s">
        <v>1261</v>
      </c>
      <c r="F83" s="166"/>
      <c r="G83" s="166" t="s">
        <v>1815</v>
      </c>
      <c r="H83" s="166" t="s">
        <v>701</v>
      </c>
      <c r="I83" s="166" t="s">
        <v>1995</v>
      </c>
      <c r="J83" s="817" t="s">
        <v>702</v>
      </c>
      <c r="K83" s="823" t="s">
        <v>1405</v>
      </c>
      <c r="L83" s="820" t="s">
        <v>703</v>
      </c>
    </row>
    <row r="84" spans="1:13" ht="15.65" thickBot="1" x14ac:dyDescent="0.35">
      <c r="A84">
        <v>84</v>
      </c>
      <c r="B84" s="1373"/>
      <c r="C84" s="504" t="s">
        <v>1294</v>
      </c>
      <c r="D84" s="1126">
        <f>$D$104</f>
        <v>1.17</v>
      </c>
      <c r="E84" s="375" t="s">
        <v>1261</v>
      </c>
      <c r="F84" s="375"/>
      <c r="G84" s="375" t="s">
        <v>1815</v>
      </c>
      <c r="H84" s="375" t="s">
        <v>701</v>
      </c>
      <c r="I84" s="375" t="s">
        <v>1996</v>
      </c>
      <c r="J84" s="819" t="s">
        <v>702</v>
      </c>
      <c r="K84" s="824" t="s">
        <v>1405</v>
      </c>
      <c r="L84" s="808" t="s">
        <v>703</v>
      </c>
    </row>
    <row r="85" spans="1:13" ht="15.65" thickBot="1" x14ac:dyDescent="0.35">
      <c r="A85">
        <v>85</v>
      </c>
      <c r="B85" s="1373"/>
      <c r="C85" s="522" t="s">
        <v>2014</v>
      </c>
      <c r="D85" s="1183">
        <f>$D$105</f>
        <v>21.28</v>
      </c>
      <c r="E85" s="3"/>
      <c r="F85" s="3" t="s">
        <v>1199</v>
      </c>
      <c r="G85" s="3" t="s">
        <v>1815</v>
      </c>
      <c r="H85" s="3" t="s">
        <v>701</v>
      </c>
      <c r="I85" s="3" t="s">
        <v>1997</v>
      </c>
      <c r="J85" s="694" t="s">
        <v>702</v>
      </c>
      <c r="K85" s="825" t="s">
        <v>1405</v>
      </c>
      <c r="L85" s="811" t="s">
        <v>703</v>
      </c>
    </row>
    <row r="86" spans="1:13" ht="15.65" thickBot="1" x14ac:dyDescent="0.35">
      <c r="A86">
        <v>86</v>
      </c>
      <c r="B86" s="1374"/>
      <c r="C86" s="587" t="s">
        <v>1295</v>
      </c>
      <c r="D86" s="1127">
        <f>$D$106</f>
        <v>7.46</v>
      </c>
      <c r="E86" s="381" t="s">
        <v>1261</v>
      </c>
      <c r="F86" s="381"/>
      <c r="G86" s="376" t="s">
        <v>1815</v>
      </c>
      <c r="H86" s="376" t="s">
        <v>701</v>
      </c>
      <c r="I86" s="376" t="s">
        <v>1998</v>
      </c>
      <c r="J86" s="813" t="s">
        <v>702</v>
      </c>
      <c r="K86" s="826" t="s">
        <v>1405</v>
      </c>
      <c r="L86" s="812" t="s">
        <v>703</v>
      </c>
    </row>
    <row r="87" spans="1:13" s="282" customFormat="1" ht="15.65" thickBot="1" x14ac:dyDescent="0.35">
      <c r="A87">
        <v>87</v>
      </c>
      <c r="B87" s="485"/>
      <c r="C87" s="11"/>
      <c r="D87" s="5"/>
      <c r="E87" s="5"/>
      <c r="F87" s="5"/>
      <c r="G87" s="11"/>
      <c r="H87" s="11"/>
      <c r="I87" s="11"/>
      <c r="J87" s="11"/>
      <c r="K87" s="827"/>
      <c r="L87" s="11"/>
    </row>
    <row r="88" spans="1:13" s="282" customFormat="1" ht="15.05" customHeight="1" x14ac:dyDescent="0.3">
      <c r="A88">
        <v>88</v>
      </c>
      <c r="B88" s="1372" t="s">
        <v>2115</v>
      </c>
      <c r="C88" s="474" t="s">
        <v>1277</v>
      </c>
      <c r="D88" s="170"/>
      <c r="E88" s="170"/>
      <c r="F88" s="170"/>
      <c r="G88" s="170"/>
      <c r="H88" s="170"/>
      <c r="I88" s="170"/>
      <c r="J88" s="170"/>
      <c r="K88" s="170"/>
      <c r="L88" s="170"/>
    </row>
    <row r="89" spans="1:13" s="282" customFormat="1" ht="15.65" thickBot="1" x14ac:dyDescent="0.35">
      <c r="A89">
        <v>89</v>
      </c>
      <c r="B89" s="1373"/>
      <c r="C89" s="327"/>
      <c r="D89" s="124"/>
      <c r="E89" s="5"/>
      <c r="F89" s="5"/>
      <c r="G89" s="11"/>
      <c r="H89" s="11"/>
      <c r="I89" s="115"/>
      <c r="J89" s="11"/>
      <c r="K89" s="115"/>
      <c r="L89" s="11"/>
    </row>
    <row r="90" spans="1:13" s="282" customFormat="1" ht="15.65" thickBot="1" x14ac:dyDescent="0.35">
      <c r="A90">
        <v>90</v>
      </c>
      <c r="B90" s="1373"/>
      <c r="C90" s="1008" t="s">
        <v>2015</v>
      </c>
      <c r="D90" s="1184">
        <v>210</v>
      </c>
      <c r="E90" s="1006" t="s">
        <v>1261</v>
      </c>
      <c r="F90" s="542"/>
      <c r="G90" s="57" t="s">
        <v>1815</v>
      </c>
      <c r="H90" s="690" t="s">
        <v>734</v>
      </c>
      <c r="I90" s="690" t="s">
        <v>2134</v>
      </c>
      <c r="J90" s="829" t="s">
        <v>717</v>
      </c>
      <c r="K90" s="57" t="s">
        <v>1897</v>
      </c>
      <c r="L90" s="829"/>
      <c r="M90" s="151"/>
    </row>
    <row r="91" spans="1:13" s="282" customFormat="1" ht="15.65" thickBot="1" x14ac:dyDescent="0.35">
      <c r="A91">
        <v>91</v>
      </c>
      <c r="B91" s="1373"/>
      <c r="C91" s="477" t="s">
        <v>2016</v>
      </c>
      <c r="D91" s="1007" t="s">
        <v>1833</v>
      </c>
      <c r="E91" s="68"/>
      <c r="F91" s="68"/>
      <c r="G91" s="68" t="s">
        <v>1815</v>
      </c>
      <c r="H91" s="68" t="s">
        <v>1278</v>
      </c>
      <c r="I91" s="828"/>
      <c r="J91" s="705" t="s">
        <v>717</v>
      </c>
      <c r="K91" s="68" t="s">
        <v>1897</v>
      </c>
      <c r="L91" s="68"/>
      <c r="M91" s="830"/>
    </row>
    <row r="92" spans="1:13" s="282" customFormat="1" ht="15.65" thickBot="1" x14ac:dyDescent="0.35">
      <c r="A92">
        <v>92</v>
      </c>
      <c r="B92" s="1373"/>
      <c r="C92" s="715" t="s">
        <v>2017</v>
      </c>
      <c r="D92" s="1181">
        <f>$D$102</f>
        <v>10</v>
      </c>
      <c r="E92" s="488" t="s">
        <v>1261</v>
      </c>
      <c r="F92" s="488"/>
      <c r="G92" s="53" t="s">
        <v>1815</v>
      </c>
      <c r="H92" s="53" t="s">
        <v>1279</v>
      </c>
      <c r="I92" s="53" t="s">
        <v>1898</v>
      </c>
      <c r="J92" s="53" t="s">
        <v>717</v>
      </c>
      <c r="K92" s="488" t="s">
        <v>1897</v>
      </c>
      <c r="L92" s="488"/>
    </row>
    <row r="93" spans="1:13" s="282" customFormat="1" ht="15.65" thickBot="1" x14ac:dyDescent="0.35">
      <c r="A93">
        <v>93</v>
      </c>
      <c r="B93" s="1373"/>
      <c r="C93" s="725" t="s">
        <v>2018</v>
      </c>
      <c r="D93" s="1182">
        <f>$D$103</f>
        <v>14.7</v>
      </c>
      <c r="E93" s="831" t="s">
        <v>1261</v>
      </c>
      <c r="F93" s="519"/>
      <c r="G93" s="166" t="s">
        <v>1815</v>
      </c>
      <c r="H93" s="166" t="s">
        <v>1280</v>
      </c>
      <c r="I93" s="166" t="s">
        <v>1898</v>
      </c>
      <c r="J93" s="166" t="s">
        <v>717</v>
      </c>
      <c r="K93" s="519" t="s">
        <v>1897</v>
      </c>
      <c r="L93" s="696"/>
      <c r="M93" s="151"/>
    </row>
    <row r="94" spans="1:13" s="282" customFormat="1" ht="15.65" thickBot="1" x14ac:dyDescent="0.35">
      <c r="A94">
        <v>94</v>
      </c>
      <c r="B94" s="1373"/>
      <c r="C94" s="835" t="s">
        <v>1282</v>
      </c>
      <c r="D94" s="1126">
        <f>$D$104</f>
        <v>1.17</v>
      </c>
      <c r="E94" s="832" t="s">
        <v>1261</v>
      </c>
      <c r="F94" s="472"/>
      <c r="G94" s="375" t="s">
        <v>1815</v>
      </c>
      <c r="H94" s="375" t="s">
        <v>1281</v>
      </c>
      <c r="I94" s="375" t="s">
        <v>1898</v>
      </c>
      <c r="J94" s="693" t="s">
        <v>717</v>
      </c>
      <c r="K94" s="375" t="s">
        <v>1897</v>
      </c>
      <c r="L94" s="375"/>
    </row>
    <row r="95" spans="1:13" s="282" customFormat="1" ht="15.65" thickBot="1" x14ac:dyDescent="0.35">
      <c r="A95">
        <v>95</v>
      </c>
      <c r="B95" s="1373"/>
      <c r="C95" s="700" t="s">
        <v>2019</v>
      </c>
      <c r="D95" s="1183">
        <f>$D$105</f>
        <v>21.28</v>
      </c>
      <c r="E95" s="833" t="s">
        <v>1261</v>
      </c>
      <c r="F95" s="522"/>
      <c r="G95" s="3" t="s">
        <v>1815</v>
      </c>
      <c r="H95" s="3" t="s">
        <v>1281</v>
      </c>
      <c r="I95" s="3" t="s">
        <v>1898</v>
      </c>
      <c r="J95" s="694" t="s">
        <v>717</v>
      </c>
      <c r="K95" s="3" t="s">
        <v>1897</v>
      </c>
      <c r="L95" s="3"/>
    </row>
    <row r="96" spans="1:13" s="282" customFormat="1" ht="15.65" thickBot="1" x14ac:dyDescent="0.35">
      <c r="A96">
        <v>96</v>
      </c>
      <c r="B96" s="1374"/>
      <c r="C96" s="702" t="s">
        <v>1276</v>
      </c>
      <c r="D96" s="1127">
        <f>$D$106</f>
        <v>7.46</v>
      </c>
      <c r="E96" s="834" t="s">
        <v>1261</v>
      </c>
      <c r="F96" s="587"/>
      <c r="G96" s="376" t="s">
        <v>1815</v>
      </c>
      <c r="H96" s="376" t="s">
        <v>1281</v>
      </c>
      <c r="I96" s="376" t="s">
        <v>1898</v>
      </c>
      <c r="J96" s="813" t="s">
        <v>717</v>
      </c>
      <c r="K96" s="376" t="s">
        <v>1897</v>
      </c>
      <c r="L96" s="376"/>
    </row>
    <row r="97" spans="1:12" ht="15.65" thickBot="1" x14ac:dyDescent="0.35">
      <c r="A97">
        <v>97</v>
      </c>
      <c r="B97" s="541"/>
      <c r="C97" s="29"/>
      <c r="D97" s="2"/>
      <c r="E97" s="2"/>
      <c r="F97" s="2"/>
      <c r="G97" s="2"/>
      <c r="H97" s="2"/>
      <c r="I97" s="2"/>
      <c r="J97" s="2"/>
      <c r="K97" s="2"/>
      <c r="L97" s="2"/>
    </row>
    <row r="98" spans="1:12" ht="15.05" customHeight="1" x14ac:dyDescent="0.3">
      <c r="A98">
        <v>98</v>
      </c>
      <c r="B98" s="1372" t="s">
        <v>2114</v>
      </c>
      <c r="C98" s="24" t="s">
        <v>1284</v>
      </c>
      <c r="D98" s="170"/>
      <c r="E98" s="170"/>
      <c r="F98" s="170"/>
      <c r="G98" s="21"/>
      <c r="H98" s="21"/>
      <c r="I98" s="21"/>
      <c r="J98" s="21"/>
      <c r="K98" s="21"/>
      <c r="L98" s="21"/>
    </row>
    <row r="99" spans="1:12" x14ac:dyDescent="0.3">
      <c r="A99">
        <v>99</v>
      </c>
      <c r="B99" s="1373"/>
      <c r="C99" s="2"/>
      <c r="D99" s="2"/>
      <c r="E99" s="2"/>
      <c r="F99" s="2"/>
      <c r="G99" s="2"/>
      <c r="H99" s="2"/>
      <c r="I99" s="2"/>
      <c r="J99" s="2"/>
      <c r="K99" s="2"/>
      <c r="L99" s="2"/>
    </row>
    <row r="100" spans="1:12" x14ac:dyDescent="0.3">
      <c r="A100">
        <v>100</v>
      </c>
      <c r="B100" s="1373"/>
      <c r="C100" s="57" t="s">
        <v>2020</v>
      </c>
      <c r="D100" s="57">
        <v>210</v>
      </c>
      <c r="E100" s="57"/>
      <c r="F100" s="57" t="s">
        <v>1202</v>
      </c>
      <c r="G100" s="57" t="s">
        <v>699</v>
      </c>
      <c r="H100" s="57" t="s">
        <v>1201</v>
      </c>
      <c r="I100" s="57" t="s">
        <v>1203</v>
      </c>
      <c r="J100" s="57" t="s">
        <v>685</v>
      </c>
      <c r="K100" s="57" t="s">
        <v>1403</v>
      </c>
      <c r="L100" s="57" t="s">
        <v>704</v>
      </c>
    </row>
    <row r="101" spans="1:12" x14ac:dyDescent="0.3">
      <c r="A101">
        <v>101</v>
      </c>
      <c r="B101" s="1373"/>
      <c r="C101" s="68" t="s">
        <v>2021</v>
      </c>
      <c r="D101" s="68" t="s">
        <v>1833</v>
      </c>
      <c r="E101" s="68"/>
      <c r="F101" s="68"/>
      <c r="G101" s="68"/>
      <c r="H101" s="68" t="s">
        <v>705</v>
      </c>
      <c r="I101" s="68" t="s">
        <v>1204</v>
      </c>
      <c r="J101" s="68"/>
      <c r="K101" s="68"/>
      <c r="L101" s="68"/>
    </row>
    <row r="102" spans="1:12" x14ac:dyDescent="0.3">
      <c r="A102">
        <v>102</v>
      </c>
      <c r="B102" s="1373"/>
      <c r="C102" s="53" t="s">
        <v>1988</v>
      </c>
      <c r="D102" s="53">
        <v>10</v>
      </c>
      <c r="E102" s="1185">
        <v>3.9</v>
      </c>
      <c r="F102" s="1185"/>
      <c r="G102" s="53" t="s">
        <v>699</v>
      </c>
      <c r="H102" s="53" t="s">
        <v>2402</v>
      </c>
      <c r="I102" s="53" t="s">
        <v>2528</v>
      </c>
      <c r="J102" s="53" t="s">
        <v>685</v>
      </c>
      <c r="K102" s="53" t="s">
        <v>1408</v>
      </c>
      <c r="L102" s="53" t="s">
        <v>1270</v>
      </c>
    </row>
    <row r="103" spans="1:12" x14ac:dyDescent="0.3">
      <c r="A103">
        <v>103</v>
      </c>
      <c r="B103" s="1373"/>
      <c r="C103" s="166" t="s">
        <v>1989</v>
      </c>
      <c r="D103" s="1186">
        <v>14.7</v>
      </c>
      <c r="E103" s="1186">
        <v>5.6</v>
      </c>
      <c r="F103" s="1186"/>
      <c r="G103" s="166" t="s">
        <v>699</v>
      </c>
      <c r="H103" s="166" t="s">
        <v>2402</v>
      </c>
      <c r="I103" s="166" t="s">
        <v>2527</v>
      </c>
      <c r="J103" s="166" t="s">
        <v>685</v>
      </c>
      <c r="K103" s="166" t="s">
        <v>1408</v>
      </c>
      <c r="L103" s="166" t="s">
        <v>1270</v>
      </c>
    </row>
    <row r="104" spans="1:12" x14ac:dyDescent="0.3">
      <c r="A104">
        <v>104</v>
      </c>
      <c r="B104" s="1373"/>
      <c r="C104" s="391" t="s">
        <v>1272</v>
      </c>
      <c r="D104" s="405">
        <v>1.17</v>
      </c>
      <c r="E104" s="405">
        <v>0.32</v>
      </c>
      <c r="F104" s="405"/>
      <c r="G104" s="375" t="s">
        <v>699</v>
      </c>
      <c r="H104" s="375" t="s">
        <v>2402</v>
      </c>
      <c r="I104" s="375" t="s">
        <v>2529</v>
      </c>
      <c r="J104" s="375" t="s">
        <v>685</v>
      </c>
      <c r="K104" s="375" t="s">
        <v>1408</v>
      </c>
      <c r="L104" s="375" t="s">
        <v>1270</v>
      </c>
    </row>
    <row r="105" spans="1:12" x14ac:dyDescent="0.3">
      <c r="A105">
        <v>105</v>
      </c>
      <c r="B105" s="1373"/>
      <c r="C105" s="3" t="s">
        <v>2116</v>
      </c>
      <c r="D105" s="1188">
        <v>21.28</v>
      </c>
      <c r="E105" s="1187">
        <v>11.4</v>
      </c>
      <c r="F105" s="1187"/>
      <c r="G105" s="3" t="s">
        <v>699</v>
      </c>
      <c r="H105" s="3" t="s">
        <v>2402</v>
      </c>
      <c r="I105" s="3" t="s">
        <v>2403</v>
      </c>
      <c r="J105" s="3" t="s">
        <v>685</v>
      </c>
      <c r="K105" s="3" t="s">
        <v>1408</v>
      </c>
      <c r="L105" s="3" t="s">
        <v>1270</v>
      </c>
    </row>
    <row r="106" spans="1:12" x14ac:dyDescent="0.3">
      <c r="A106">
        <v>106</v>
      </c>
      <c r="B106" s="1375"/>
      <c r="C106" s="381" t="s">
        <v>1296</v>
      </c>
      <c r="D106" s="384">
        <v>7.46</v>
      </c>
      <c r="E106" s="376">
        <v>4</v>
      </c>
      <c r="F106" s="376"/>
      <c r="G106" s="376" t="s">
        <v>699</v>
      </c>
      <c r="H106" s="376" t="s">
        <v>2402</v>
      </c>
      <c r="I106" s="376" t="s">
        <v>708</v>
      </c>
      <c r="J106" s="376" t="s">
        <v>696</v>
      </c>
      <c r="K106" s="376" t="s">
        <v>1408</v>
      </c>
      <c r="L106" s="376" t="s">
        <v>1270</v>
      </c>
    </row>
    <row r="107" spans="1:12" x14ac:dyDescent="0.3">
      <c r="A107">
        <v>107</v>
      </c>
      <c r="B107" s="2"/>
      <c r="C107" s="2"/>
      <c r="D107" s="2"/>
      <c r="E107" s="2"/>
      <c r="F107" s="2"/>
      <c r="G107" s="2"/>
      <c r="H107" s="2"/>
      <c r="I107" s="2"/>
      <c r="J107" s="2"/>
      <c r="K107" s="2"/>
      <c r="L107" s="2"/>
    </row>
    <row r="108" spans="1:12" x14ac:dyDescent="0.3">
      <c r="A108">
        <v>108</v>
      </c>
      <c r="B108" s="24" t="s">
        <v>1263</v>
      </c>
      <c r="C108" s="24" t="s">
        <v>1264</v>
      </c>
      <c r="D108" s="21"/>
      <c r="E108" s="21"/>
      <c r="F108" s="21"/>
      <c r="G108" s="21"/>
      <c r="H108" s="21"/>
      <c r="I108" s="21"/>
      <c r="J108" s="21"/>
      <c r="K108" s="21"/>
      <c r="L108" s="21"/>
    </row>
    <row r="109" spans="1:12" ht="15.65" thickBot="1" x14ac:dyDescent="0.35">
      <c r="A109">
        <v>109</v>
      </c>
    </row>
    <row r="110" spans="1:12" ht="15.05" customHeight="1" x14ac:dyDescent="0.3">
      <c r="A110">
        <v>110</v>
      </c>
      <c r="B110" s="1376" t="s">
        <v>2135</v>
      </c>
      <c r="C110" s="488" t="s">
        <v>2117</v>
      </c>
      <c r="D110" s="187">
        <f>$D$102*$D$66+$D$103*$D$67</f>
        <v>207.21333333333331</v>
      </c>
      <c r="E110" s="198"/>
      <c r="F110" s="198"/>
      <c r="G110" s="53" t="s">
        <v>699</v>
      </c>
      <c r="H110" s="121" t="s">
        <v>629</v>
      </c>
      <c r="I110" s="53"/>
      <c r="J110" s="53"/>
      <c r="K110" s="53"/>
      <c r="L110" s="53"/>
    </row>
    <row r="111" spans="1:12" x14ac:dyDescent="0.3">
      <c r="A111">
        <v>111</v>
      </c>
      <c r="B111" s="1377"/>
      <c r="C111" s="472" t="s">
        <v>1292</v>
      </c>
      <c r="D111" s="423">
        <f>$D$104*$D$68</f>
        <v>7.6049999999999995</v>
      </c>
      <c r="E111" s="406"/>
      <c r="F111" s="406"/>
      <c r="G111" s="375" t="s">
        <v>699</v>
      </c>
      <c r="H111" s="422" t="s">
        <v>629</v>
      </c>
      <c r="I111" s="375"/>
      <c r="J111" s="375"/>
      <c r="K111" s="375"/>
      <c r="L111" s="375"/>
    </row>
    <row r="112" spans="1:12" x14ac:dyDescent="0.3">
      <c r="A112">
        <v>112</v>
      </c>
      <c r="B112" s="1377"/>
      <c r="C112" s="522" t="s">
        <v>2118</v>
      </c>
      <c r="D112" s="188">
        <f>$D$105*$D$69</f>
        <v>114.91199999999999</v>
      </c>
      <c r="E112" s="3"/>
      <c r="F112" s="3"/>
      <c r="G112" s="3" t="s">
        <v>699</v>
      </c>
      <c r="H112" s="58" t="s">
        <v>629</v>
      </c>
      <c r="I112" s="3"/>
      <c r="J112" s="3"/>
      <c r="K112" s="3"/>
      <c r="L112" s="3"/>
    </row>
    <row r="113" spans="1:12" ht="15.65" thickBot="1" x14ac:dyDescent="0.35">
      <c r="A113">
        <v>113</v>
      </c>
      <c r="B113" s="1378"/>
      <c r="C113" s="587" t="s">
        <v>1297</v>
      </c>
      <c r="D113" s="387">
        <f>$D$106*$D$70</f>
        <v>28.563511111111112</v>
      </c>
      <c r="E113" s="382"/>
      <c r="F113" s="382"/>
      <c r="G113" s="376" t="s">
        <v>699</v>
      </c>
      <c r="H113" s="383" t="s">
        <v>629</v>
      </c>
      <c r="I113" s="376"/>
      <c r="J113" s="376"/>
      <c r="K113" s="376"/>
      <c r="L113" s="376"/>
    </row>
    <row r="114" spans="1:12" s="2" customFormat="1" x14ac:dyDescent="0.3">
      <c r="A114">
        <v>114</v>
      </c>
      <c r="B114" s="1034"/>
      <c r="C114" s="29"/>
    </row>
    <row r="115" spans="1:12" x14ac:dyDescent="0.3">
      <c r="A115">
        <v>115</v>
      </c>
      <c r="B115" s="24" t="s">
        <v>1250</v>
      </c>
      <c r="C115" s="24" t="s">
        <v>2023</v>
      </c>
      <c r="D115" s="21"/>
      <c r="E115" s="21"/>
      <c r="F115" s="21"/>
      <c r="G115" s="21"/>
      <c r="H115" s="21"/>
      <c r="I115" s="21"/>
      <c r="J115" s="21"/>
      <c r="K115" s="21"/>
      <c r="L115" s="21"/>
    </row>
    <row r="116" spans="1:12" s="282" customFormat="1" ht="15.65" thickBot="1" x14ac:dyDescent="0.35">
      <c r="A116">
        <v>116</v>
      </c>
      <c r="B116"/>
      <c r="C116" s="11"/>
      <c r="D116" s="11"/>
      <c r="E116" s="11"/>
      <c r="F116" s="11"/>
      <c r="G116" s="11"/>
      <c r="H116" s="11"/>
      <c r="I116" s="11"/>
      <c r="J116" s="11"/>
      <c r="K116" s="11"/>
      <c r="L116" s="11"/>
    </row>
    <row r="117" spans="1:12" ht="15.05" customHeight="1" x14ac:dyDescent="0.3">
      <c r="A117">
        <v>117</v>
      </c>
      <c r="B117" s="1372" t="s">
        <v>2119</v>
      </c>
      <c r="C117" s="474" t="s">
        <v>2022</v>
      </c>
      <c r="D117" s="21"/>
      <c r="E117" s="21"/>
      <c r="F117" s="21"/>
      <c r="G117" s="21"/>
      <c r="H117" s="21"/>
      <c r="I117" s="21"/>
      <c r="J117" s="21"/>
      <c r="K117" s="21"/>
      <c r="L117" s="21"/>
    </row>
    <row r="118" spans="1:12" x14ac:dyDescent="0.3">
      <c r="A118">
        <v>118</v>
      </c>
      <c r="B118" s="1373"/>
      <c r="C118" s="280"/>
      <c r="D118" s="2"/>
      <c r="E118" s="2"/>
      <c r="F118" s="2"/>
      <c r="G118" s="2"/>
      <c r="H118" s="2"/>
      <c r="I118" s="2"/>
      <c r="J118" s="2"/>
      <c r="K118" s="2"/>
      <c r="L118" s="2"/>
    </row>
    <row r="119" spans="1:12" x14ac:dyDescent="0.3">
      <c r="A119">
        <v>119</v>
      </c>
      <c r="B119" s="1373"/>
      <c r="C119" s="542" t="s">
        <v>2024</v>
      </c>
      <c r="D119" s="57">
        <v>0</v>
      </c>
      <c r="E119" s="57"/>
      <c r="F119" s="57"/>
      <c r="G119" s="57" t="s">
        <v>0</v>
      </c>
      <c r="H119" s="57"/>
      <c r="I119" s="57" t="s">
        <v>709</v>
      </c>
      <c r="J119" s="57"/>
      <c r="K119" s="57"/>
      <c r="L119" s="57"/>
    </row>
    <row r="120" spans="1:12" ht="15.65" thickBot="1" x14ac:dyDescent="0.35">
      <c r="A120">
        <v>120</v>
      </c>
      <c r="B120" s="1373"/>
      <c r="C120" s="477" t="s">
        <v>2002</v>
      </c>
      <c r="D120" s="842" t="s">
        <v>1833</v>
      </c>
      <c r="E120" s="68"/>
      <c r="F120" s="68"/>
      <c r="G120" s="68"/>
      <c r="H120" s="68"/>
      <c r="I120" s="68"/>
      <c r="J120" s="68"/>
      <c r="K120" s="68"/>
      <c r="L120" s="2"/>
    </row>
    <row r="121" spans="1:12" ht="15.65" thickBot="1" x14ac:dyDescent="0.35">
      <c r="A121">
        <v>121</v>
      </c>
      <c r="B121" s="1373"/>
      <c r="C121" s="841" t="s">
        <v>2001</v>
      </c>
      <c r="D121" s="1189">
        <f>$D$131</f>
        <v>0.85</v>
      </c>
      <c r="E121" s="716"/>
      <c r="F121" s="716"/>
      <c r="G121" s="53" t="s">
        <v>0</v>
      </c>
      <c r="H121" s="53"/>
      <c r="I121" s="53" t="s">
        <v>1293</v>
      </c>
      <c r="J121" s="53"/>
      <c r="K121" s="53"/>
      <c r="L121" s="53"/>
    </row>
    <row r="122" spans="1:12" ht="15.65" thickBot="1" x14ac:dyDescent="0.35">
      <c r="A122">
        <v>122</v>
      </c>
      <c r="B122" s="1373"/>
      <c r="C122" s="840" t="s">
        <v>2000</v>
      </c>
      <c r="D122" s="1190">
        <f>$D$132</f>
        <v>0.6321</v>
      </c>
      <c r="E122" s="837"/>
      <c r="F122" s="837"/>
      <c r="G122" s="166" t="s">
        <v>0</v>
      </c>
      <c r="H122" s="70"/>
      <c r="I122" s="166" t="s">
        <v>1293</v>
      </c>
      <c r="J122" s="166"/>
      <c r="K122" s="166"/>
      <c r="L122" s="166"/>
    </row>
    <row r="123" spans="1:12" ht="15.65" thickBot="1" x14ac:dyDescent="0.35">
      <c r="A123">
        <v>123</v>
      </c>
      <c r="B123" s="1373"/>
      <c r="C123" s="836" t="s">
        <v>1274</v>
      </c>
      <c r="D123" s="843">
        <f>$D$133</f>
        <v>0.14039999999999997</v>
      </c>
      <c r="E123" s="838"/>
      <c r="F123" s="838"/>
      <c r="G123" s="375" t="s">
        <v>0</v>
      </c>
      <c r="H123" s="375"/>
      <c r="I123" s="375" t="s">
        <v>1293</v>
      </c>
      <c r="J123" s="375"/>
      <c r="K123" s="375"/>
      <c r="L123" s="375"/>
    </row>
    <row r="124" spans="1:12" x14ac:dyDescent="0.3">
      <c r="A124">
        <v>124</v>
      </c>
      <c r="B124" s="1373"/>
      <c r="C124" s="522" t="s">
        <v>2003</v>
      </c>
      <c r="D124" s="1191">
        <f>$D$30*$D$85/1000</f>
        <v>0.53200000000000003</v>
      </c>
      <c r="E124" s="58"/>
      <c r="F124" s="58"/>
      <c r="G124" s="3" t="s">
        <v>0</v>
      </c>
      <c r="H124" s="58" t="s">
        <v>629</v>
      </c>
      <c r="I124" s="3" t="s">
        <v>2373</v>
      </c>
      <c r="J124" s="3"/>
      <c r="K124" s="3"/>
      <c r="L124" s="3"/>
    </row>
    <row r="125" spans="1:12" ht="15.65" thickBot="1" x14ac:dyDescent="0.35">
      <c r="A125">
        <v>125</v>
      </c>
      <c r="B125" s="1374"/>
      <c r="C125" s="585" t="s">
        <v>1298</v>
      </c>
      <c r="D125" s="382">
        <f>$D$31*$D$86/1000</f>
        <v>0.373</v>
      </c>
      <c r="E125" s="383"/>
      <c r="F125" s="383"/>
      <c r="G125" s="376" t="s">
        <v>0</v>
      </c>
      <c r="H125" s="383" t="s">
        <v>629</v>
      </c>
      <c r="I125" s="376" t="s">
        <v>2373</v>
      </c>
      <c r="J125" s="376"/>
      <c r="K125" s="376"/>
      <c r="L125" s="376"/>
    </row>
    <row r="126" spans="1:12" ht="15.65" thickBot="1" x14ac:dyDescent="0.35">
      <c r="A126">
        <v>126</v>
      </c>
      <c r="C126" s="2"/>
      <c r="D126" s="839"/>
      <c r="E126" s="29"/>
      <c r="F126" s="29"/>
      <c r="G126" s="2"/>
      <c r="H126" s="2"/>
      <c r="I126" s="2"/>
      <c r="J126" s="2"/>
      <c r="K126" s="2"/>
      <c r="L126" s="2"/>
    </row>
    <row r="127" spans="1:12" ht="15.05" customHeight="1" x14ac:dyDescent="0.3">
      <c r="A127">
        <v>127</v>
      </c>
      <c r="B127" s="1372" t="s">
        <v>2120</v>
      </c>
      <c r="C127" s="474" t="s">
        <v>2025</v>
      </c>
      <c r="D127" s="24"/>
      <c r="E127" s="24"/>
      <c r="F127" s="24"/>
      <c r="G127" s="24"/>
      <c r="H127" s="24"/>
      <c r="I127" s="24"/>
      <c r="J127" s="24"/>
      <c r="K127" s="24"/>
      <c r="L127" s="24"/>
    </row>
    <row r="128" spans="1:12" x14ac:dyDescent="0.3">
      <c r="A128">
        <v>128</v>
      </c>
      <c r="B128" s="1373"/>
      <c r="C128" s="29"/>
      <c r="D128" s="2"/>
      <c r="E128" s="2"/>
      <c r="F128" s="2"/>
      <c r="G128" s="2"/>
      <c r="H128" s="2"/>
      <c r="I128" s="2"/>
      <c r="J128" s="2"/>
      <c r="K128" s="2"/>
      <c r="L128" s="2"/>
    </row>
    <row r="129" spans="1:12" x14ac:dyDescent="0.3">
      <c r="A129">
        <v>129</v>
      </c>
      <c r="B129" s="1373"/>
      <c r="C129" s="542" t="s">
        <v>2026</v>
      </c>
      <c r="D129" s="185">
        <f>$D$25*$D$100/1000</f>
        <v>10.227</v>
      </c>
      <c r="E129" s="48"/>
      <c r="F129" s="48"/>
      <c r="G129" s="57" t="s">
        <v>0</v>
      </c>
      <c r="H129" s="48" t="s">
        <v>629</v>
      </c>
      <c r="I129" s="57"/>
      <c r="J129" s="57"/>
      <c r="K129" s="57"/>
      <c r="L129" s="57"/>
    </row>
    <row r="130" spans="1:12" x14ac:dyDescent="0.3">
      <c r="A130">
        <v>130</v>
      </c>
      <c r="B130" s="1373"/>
      <c r="C130" s="477" t="s">
        <v>2027</v>
      </c>
      <c r="D130" s="68" t="s">
        <v>1833</v>
      </c>
      <c r="E130" s="68"/>
      <c r="F130" s="68"/>
      <c r="G130" s="68"/>
      <c r="H130" s="68"/>
      <c r="I130" s="68"/>
      <c r="J130" s="68"/>
      <c r="K130" s="68"/>
      <c r="L130" s="68"/>
    </row>
    <row r="131" spans="1:12" x14ac:dyDescent="0.3">
      <c r="A131">
        <v>131</v>
      </c>
      <c r="B131" s="1373"/>
      <c r="C131" s="488" t="s">
        <v>2028</v>
      </c>
      <c r="D131" s="198">
        <f>$D$27*$D$102/1000</f>
        <v>0.85</v>
      </c>
      <c r="E131" s="121"/>
      <c r="F131" s="121"/>
      <c r="G131" s="53" t="s">
        <v>0</v>
      </c>
      <c r="H131" s="121" t="s">
        <v>629</v>
      </c>
      <c r="I131" s="53" t="s">
        <v>710</v>
      </c>
      <c r="J131" s="53" t="s">
        <v>685</v>
      </c>
      <c r="K131" s="53"/>
      <c r="L131" s="53"/>
    </row>
    <row r="132" spans="1:12" x14ac:dyDescent="0.3">
      <c r="A132">
        <v>132</v>
      </c>
      <c r="B132" s="1373"/>
      <c r="C132" s="519" t="s">
        <v>2029</v>
      </c>
      <c r="D132" s="407">
        <f>$D$28*$D$103/1000</f>
        <v>0.6321</v>
      </c>
      <c r="E132" s="165"/>
      <c r="F132" s="165"/>
      <c r="G132" s="166" t="s">
        <v>0</v>
      </c>
      <c r="H132" s="165" t="s">
        <v>629</v>
      </c>
      <c r="I132" s="70" t="s">
        <v>711</v>
      </c>
      <c r="J132" s="70" t="s">
        <v>693</v>
      </c>
      <c r="K132" s="166"/>
      <c r="L132" s="166"/>
    </row>
    <row r="133" spans="1:12" x14ac:dyDescent="0.3">
      <c r="A133">
        <v>133</v>
      </c>
      <c r="B133" s="1373"/>
      <c r="C133" s="472" t="s">
        <v>2030</v>
      </c>
      <c r="D133" s="844">
        <f>$D$29*$D$104/1000</f>
        <v>0.14039999999999997</v>
      </c>
      <c r="E133" s="422"/>
      <c r="F133" s="422"/>
      <c r="G133" s="375" t="s">
        <v>0</v>
      </c>
      <c r="H133" s="422" t="s">
        <v>629</v>
      </c>
      <c r="I133" s="375"/>
      <c r="J133" s="375"/>
      <c r="K133" s="375"/>
      <c r="L133" s="375"/>
    </row>
    <row r="134" spans="1:12" x14ac:dyDescent="0.3">
      <c r="A134">
        <v>134</v>
      </c>
      <c r="B134" s="1373"/>
      <c r="C134" s="522" t="s">
        <v>2031</v>
      </c>
      <c r="D134" s="199">
        <f>$D$30*$D$105/1000</f>
        <v>0.53200000000000003</v>
      </c>
      <c r="E134" s="58"/>
      <c r="F134" s="58"/>
      <c r="G134" s="3" t="s">
        <v>0</v>
      </c>
      <c r="H134" s="58" t="s">
        <v>629</v>
      </c>
      <c r="I134" s="3" t="s">
        <v>712</v>
      </c>
      <c r="J134" s="3" t="s">
        <v>696</v>
      </c>
      <c r="K134" s="3"/>
      <c r="L134" s="3"/>
    </row>
    <row r="135" spans="1:12" ht="15.65" thickBot="1" x14ac:dyDescent="0.35">
      <c r="A135">
        <v>135</v>
      </c>
      <c r="B135" s="1374"/>
      <c r="C135" s="585" t="s">
        <v>2032</v>
      </c>
      <c r="D135" s="382">
        <f>$D$31*$D$106/1000</f>
        <v>0.373</v>
      </c>
      <c r="E135" s="383"/>
      <c r="F135" s="383"/>
      <c r="G135" s="376" t="s">
        <v>0</v>
      </c>
      <c r="H135" s="376"/>
      <c r="I135" s="376"/>
      <c r="J135" s="376"/>
      <c r="K135" s="376"/>
      <c r="L135" s="376"/>
    </row>
    <row r="136" spans="1:12" ht="15.65" thickBot="1" x14ac:dyDescent="0.35">
      <c r="A136">
        <v>136</v>
      </c>
      <c r="B136" s="404"/>
      <c r="C136" s="172"/>
      <c r="D136" s="403"/>
      <c r="E136" s="1"/>
      <c r="F136" s="1"/>
      <c r="G136" s="6"/>
      <c r="H136" s="6"/>
      <c r="I136" s="2"/>
      <c r="J136" s="2"/>
      <c r="K136" s="2"/>
      <c r="L136" s="2"/>
    </row>
    <row r="137" spans="1:12" ht="15.05" customHeight="1" x14ac:dyDescent="0.3">
      <c r="A137">
        <v>137</v>
      </c>
      <c r="B137" s="1372" t="s">
        <v>2121</v>
      </c>
      <c r="C137" s="474" t="s">
        <v>2033</v>
      </c>
      <c r="D137" s="24"/>
      <c r="E137" s="24"/>
      <c r="F137" s="24"/>
      <c r="G137" s="24"/>
      <c r="H137" s="24"/>
      <c r="I137" s="24"/>
      <c r="J137" s="24"/>
      <c r="K137" s="24"/>
      <c r="L137" s="24"/>
    </row>
    <row r="138" spans="1:12" x14ac:dyDescent="0.3">
      <c r="A138">
        <v>138</v>
      </c>
      <c r="B138" s="1373"/>
      <c r="C138" s="29"/>
      <c r="D138" s="2"/>
      <c r="E138" s="2"/>
      <c r="F138" s="2"/>
      <c r="G138" s="2"/>
      <c r="H138" s="2"/>
      <c r="I138" s="2"/>
      <c r="J138" s="2"/>
      <c r="K138" s="2"/>
      <c r="L138" s="2"/>
    </row>
    <row r="139" spans="1:12" x14ac:dyDescent="0.3">
      <c r="A139">
        <v>139</v>
      </c>
      <c r="B139" s="1373"/>
      <c r="C139" s="542" t="s">
        <v>2034</v>
      </c>
      <c r="D139" s="185">
        <f>$D$25*$D$100/1000</f>
        <v>10.227</v>
      </c>
      <c r="E139" s="48"/>
      <c r="F139" s="48"/>
      <c r="G139" s="57" t="s">
        <v>0</v>
      </c>
      <c r="H139" s="48" t="s">
        <v>629</v>
      </c>
      <c r="I139" s="57"/>
      <c r="J139" s="57"/>
      <c r="K139" s="57"/>
      <c r="L139" s="57"/>
    </row>
    <row r="140" spans="1:12" x14ac:dyDescent="0.3">
      <c r="A140">
        <v>140</v>
      </c>
      <c r="B140" s="1373"/>
      <c r="C140" s="477" t="s">
        <v>2035</v>
      </c>
      <c r="D140" s="68" t="s">
        <v>1833</v>
      </c>
      <c r="E140" s="68"/>
      <c r="F140" s="68"/>
      <c r="G140" s="68"/>
      <c r="H140" s="68"/>
      <c r="I140" s="68"/>
      <c r="J140" s="68"/>
      <c r="K140" s="68"/>
      <c r="L140" s="68"/>
    </row>
    <row r="141" spans="1:12" x14ac:dyDescent="0.3">
      <c r="A141">
        <v>141</v>
      </c>
      <c r="B141" s="1373"/>
      <c r="C141" s="488" t="s">
        <v>2036</v>
      </c>
      <c r="D141" s="198">
        <f>$D$27*$D$102/1000</f>
        <v>0.85</v>
      </c>
      <c r="E141" s="121"/>
      <c r="F141" s="121"/>
      <c r="G141" s="53" t="s">
        <v>0</v>
      </c>
      <c r="H141" s="121" t="s">
        <v>629</v>
      </c>
      <c r="I141" s="53" t="s">
        <v>710</v>
      </c>
      <c r="J141" s="53" t="s">
        <v>685</v>
      </c>
      <c r="K141" s="53"/>
      <c r="L141" s="53"/>
    </row>
    <row r="142" spans="1:12" x14ac:dyDescent="0.3">
      <c r="A142">
        <v>142</v>
      </c>
      <c r="B142" s="1373"/>
      <c r="C142" s="519" t="s">
        <v>2037</v>
      </c>
      <c r="D142" s="407">
        <f>$D$28*$D$103/1000</f>
        <v>0.6321</v>
      </c>
      <c r="E142" s="165"/>
      <c r="F142" s="165"/>
      <c r="G142" s="166" t="s">
        <v>0</v>
      </c>
      <c r="H142" s="165" t="s">
        <v>629</v>
      </c>
      <c r="I142" s="70" t="s">
        <v>711</v>
      </c>
      <c r="J142" s="70" t="s">
        <v>693</v>
      </c>
      <c r="K142" s="166"/>
      <c r="L142" s="166"/>
    </row>
    <row r="143" spans="1:12" x14ac:dyDescent="0.3">
      <c r="A143">
        <v>143</v>
      </c>
      <c r="B143" s="1373"/>
      <c r="C143" s="472" t="s">
        <v>2038</v>
      </c>
      <c r="D143" s="844">
        <f>$D$29*$D$104/1000</f>
        <v>0.14039999999999997</v>
      </c>
      <c r="E143" s="422"/>
      <c r="F143" s="422"/>
      <c r="G143" s="375" t="s">
        <v>0</v>
      </c>
      <c r="H143" s="422" t="s">
        <v>2320</v>
      </c>
      <c r="I143" s="375"/>
      <c r="J143" s="375"/>
      <c r="K143" s="375"/>
      <c r="L143" s="375"/>
    </row>
    <row r="144" spans="1:12" x14ac:dyDescent="0.3">
      <c r="A144">
        <v>144</v>
      </c>
      <c r="B144" s="1373"/>
      <c r="C144" s="522" t="s">
        <v>2039</v>
      </c>
      <c r="D144" s="199">
        <f>$D$30*$D$105/1000</f>
        <v>0.53200000000000003</v>
      </c>
      <c r="E144" s="58"/>
      <c r="F144" s="58"/>
      <c r="G144" s="3" t="s">
        <v>0</v>
      </c>
      <c r="H144" s="58" t="s">
        <v>629</v>
      </c>
      <c r="I144" s="3" t="s">
        <v>712</v>
      </c>
      <c r="J144" s="3" t="s">
        <v>696</v>
      </c>
      <c r="K144" s="3"/>
      <c r="L144" s="3"/>
    </row>
    <row r="145" spans="1:12" ht="15.65" thickBot="1" x14ac:dyDescent="0.35">
      <c r="A145">
        <v>145</v>
      </c>
      <c r="B145" s="1374"/>
      <c r="C145" s="585" t="s">
        <v>2040</v>
      </c>
      <c r="D145" s="382">
        <f>$D$31*$D$106/1000</f>
        <v>0.373</v>
      </c>
      <c r="E145" s="383"/>
      <c r="F145" s="383"/>
      <c r="G145" s="376" t="s">
        <v>0</v>
      </c>
      <c r="H145" s="376"/>
      <c r="I145" s="376"/>
      <c r="J145" s="376"/>
      <c r="K145" s="376"/>
      <c r="L145" s="376"/>
    </row>
    <row r="146" spans="1:12" x14ac:dyDescent="0.3">
      <c r="A146">
        <v>146</v>
      </c>
      <c r="B146" s="404"/>
      <c r="C146" s="172"/>
      <c r="D146" s="403"/>
      <c r="E146" s="1"/>
      <c r="F146" s="1"/>
      <c r="G146" s="6"/>
      <c r="H146" s="6"/>
      <c r="I146" s="2"/>
      <c r="J146" s="2"/>
      <c r="K146" s="2"/>
      <c r="L146" s="2"/>
    </row>
    <row r="147" spans="1:12" x14ac:dyDescent="0.3">
      <c r="A147">
        <v>147</v>
      </c>
      <c r="B147" s="24" t="s">
        <v>1123</v>
      </c>
      <c r="C147" s="24"/>
      <c r="D147" s="24"/>
      <c r="E147" s="24"/>
      <c r="F147" s="24"/>
      <c r="G147" s="24"/>
      <c r="H147" s="24"/>
      <c r="I147" s="24"/>
      <c r="J147" s="24"/>
      <c r="K147" s="24"/>
      <c r="L147" s="24"/>
    </row>
    <row r="148" spans="1:12" ht="15.65" thickBot="1" x14ac:dyDescent="0.35">
      <c r="A148">
        <v>148</v>
      </c>
      <c r="C148" s="2"/>
      <c r="D148" s="2"/>
      <c r="E148" s="2"/>
      <c r="F148" s="2"/>
      <c r="G148" s="2"/>
      <c r="H148" s="2"/>
      <c r="I148" s="2"/>
      <c r="J148" s="2"/>
      <c r="K148" s="2"/>
      <c r="L148" s="2"/>
    </row>
    <row r="149" spans="1:12" ht="15.05" customHeight="1" x14ac:dyDescent="0.3">
      <c r="A149">
        <v>149</v>
      </c>
      <c r="B149" s="1372" t="s">
        <v>2004</v>
      </c>
      <c r="C149" s="474" t="s">
        <v>749</v>
      </c>
      <c r="D149" s="24"/>
      <c r="E149" s="24"/>
      <c r="F149" s="24"/>
      <c r="G149" s="21"/>
      <c r="H149" s="21"/>
      <c r="I149" s="21"/>
      <c r="J149" s="21"/>
      <c r="K149" s="21"/>
      <c r="L149" s="21"/>
    </row>
    <row r="150" spans="1:12" x14ac:dyDescent="0.3">
      <c r="A150">
        <v>150</v>
      </c>
      <c r="B150" s="1308"/>
      <c r="C150" s="29"/>
      <c r="D150" s="2"/>
      <c r="E150" s="2"/>
      <c r="F150" s="2"/>
      <c r="G150" s="2"/>
      <c r="H150" s="2"/>
      <c r="I150" s="2"/>
      <c r="J150" s="2"/>
      <c r="K150" s="2"/>
      <c r="L150" s="2"/>
    </row>
    <row r="151" spans="1:12" x14ac:dyDescent="0.3">
      <c r="A151">
        <v>151</v>
      </c>
      <c r="B151" s="1308"/>
      <c r="C151" s="542" t="s">
        <v>750</v>
      </c>
      <c r="D151" s="57">
        <v>0</v>
      </c>
      <c r="E151" s="57"/>
      <c r="F151" s="57"/>
      <c r="G151" s="57" t="s">
        <v>1806</v>
      </c>
      <c r="H151" s="57"/>
      <c r="I151" s="57" t="s">
        <v>751</v>
      </c>
      <c r="J151" s="57"/>
      <c r="K151" s="57"/>
      <c r="L151" s="57"/>
    </row>
    <row r="152" spans="1:12" ht="15.65" thickBot="1" x14ac:dyDescent="0.35">
      <c r="A152">
        <v>152</v>
      </c>
      <c r="B152" s="1308"/>
      <c r="C152" s="477" t="s">
        <v>752</v>
      </c>
      <c r="D152" s="717" t="s">
        <v>1833</v>
      </c>
      <c r="E152" s="68"/>
      <c r="F152" s="68"/>
      <c r="G152" s="68" t="s">
        <v>1806</v>
      </c>
      <c r="H152" s="68"/>
      <c r="I152" s="68" t="s">
        <v>1835</v>
      </c>
      <c r="J152" s="68"/>
      <c r="K152" s="68"/>
      <c r="L152" s="68"/>
    </row>
    <row r="153" spans="1:12" ht="15.65" thickBot="1" x14ac:dyDescent="0.35">
      <c r="A153">
        <v>153</v>
      </c>
      <c r="B153" s="1308"/>
      <c r="C153" s="715" t="s">
        <v>753</v>
      </c>
      <c r="D153" s="845">
        <f>ROUND((1/3*$D$39*$D$16/$D$27)*1000, -1)</f>
        <v>4000</v>
      </c>
      <c r="E153" s="716"/>
      <c r="F153" s="716"/>
      <c r="G153" s="53" t="s">
        <v>1806</v>
      </c>
      <c r="H153" s="121" t="s">
        <v>629</v>
      </c>
      <c r="I153" s="53" t="s">
        <v>1252</v>
      </c>
      <c r="J153" s="53"/>
      <c r="K153" s="53"/>
      <c r="L153" s="53"/>
    </row>
    <row r="154" spans="1:12" ht="15.65" thickBot="1" x14ac:dyDescent="0.35">
      <c r="A154">
        <v>154</v>
      </c>
      <c r="B154" s="1308"/>
      <c r="C154" s="846" t="s">
        <v>754</v>
      </c>
      <c r="D154" s="847">
        <f>ROUND((1/3*$D$40*$D$16/$D$28)*1000, -2)</f>
        <v>8400</v>
      </c>
      <c r="E154" s="848"/>
      <c r="F154" s="837"/>
      <c r="G154" s="166" t="s">
        <v>1806</v>
      </c>
      <c r="H154" s="165" t="s">
        <v>629</v>
      </c>
      <c r="I154" s="166" t="s">
        <v>1252</v>
      </c>
      <c r="J154" s="166"/>
      <c r="K154" s="166"/>
      <c r="L154" s="166"/>
    </row>
    <row r="155" spans="1:12" ht="15.65" thickBot="1" x14ac:dyDescent="0.35">
      <c r="A155">
        <v>155</v>
      </c>
      <c r="B155" s="1308"/>
      <c r="C155" s="836" t="s">
        <v>755</v>
      </c>
      <c r="D155" s="850">
        <f>ROUND((1/3*$D$41*$D$16/$D$29)*1000,-2)</f>
        <v>1200</v>
      </c>
      <c r="E155" s="849"/>
      <c r="F155" s="838"/>
      <c r="G155" s="375" t="s">
        <v>1806</v>
      </c>
      <c r="H155" s="422" t="s">
        <v>629</v>
      </c>
      <c r="I155" s="375" t="s">
        <v>1252</v>
      </c>
      <c r="J155" s="375"/>
      <c r="K155" s="375"/>
      <c r="L155" s="375"/>
    </row>
    <row r="156" spans="1:12" ht="15.65" thickBot="1" x14ac:dyDescent="0.35">
      <c r="A156">
        <v>156</v>
      </c>
      <c r="B156" s="1308"/>
      <c r="C156" s="700" t="s">
        <v>756</v>
      </c>
      <c r="D156" s="851">
        <f>ROUND((1/3*$D$42*$D$16/$D$30)*1000,-2)</f>
        <v>18400</v>
      </c>
      <c r="E156" s="852"/>
      <c r="F156" s="1216"/>
      <c r="G156" s="3" t="s">
        <v>1806</v>
      </c>
      <c r="H156" s="58" t="s">
        <v>629</v>
      </c>
      <c r="I156" s="3" t="s">
        <v>1252</v>
      </c>
      <c r="J156" s="3"/>
      <c r="K156" s="3"/>
      <c r="L156" s="3"/>
    </row>
    <row r="157" spans="1:12" ht="15.65" thickBot="1" x14ac:dyDescent="0.35">
      <c r="A157">
        <v>157</v>
      </c>
      <c r="B157" s="1308"/>
      <c r="C157" s="702" t="s">
        <v>757</v>
      </c>
      <c r="D157" s="855">
        <f>ROUND((1/3*$D$43*$D$16/$D$31)*1000, -2)</f>
        <v>1500</v>
      </c>
      <c r="E157" s="853"/>
      <c r="F157" s="1217"/>
      <c r="G157" s="376" t="s">
        <v>1806</v>
      </c>
      <c r="H157" s="383" t="s">
        <v>629</v>
      </c>
      <c r="I157" s="376" t="s">
        <v>1252</v>
      </c>
      <c r="J157" s="376"/>
      <c r="K157" s="376"/>
      <c r="L157" s="376"/>
    </row>
    <row r="158" spans="1:12" x14ac:dyDescent="0.3">
      <c r="A158">
        <v>158</v>
      </c>
      <c r="B158" s="1308"/>
      <c r="C158" s="585"/>
      <c r="D158" s="854"/>
      <c r="E158" s="385"/>
      <c r="F158" s="385"/>
      <c r="G158" s="376"/>
      <c r="H158" s="383"/>
      <c r="I158" s="376"/>
      <c r="J158" s="376"/>
      <c r="K158" s="376"/>
      <c r="L158" s="376"/>
    </row>
    <row r="159" spans="1:12" ht="15.65" thickBot="1" x14ac:dyDescent="0.35">
      <c r="A159">
        <v>159</v>
      </c>
      <c r="B159" s="1309"/>
      <c r="C159" s="509"/>
      <c r="D159" s="591"/>
      <c r="E159" s="588"/>
      <c r="F159" s="588"/>
      <c r="G159" s="131"/>
      <c r="H159" s="6"/>
      <c r="I159" s="2"/>
      <c r="J159" s="2"/>
      <c r="K159" s="2"/>
      <c r="L159" s="2"/>
    </row>
    <row r="160" spans="1:12" ht="15.65" thickBot="1" x14ac:dyDescent="0.35">
      <c r="A160">
        <v>160</v>
      </c>
      <c r="C160" s="289" t="s">
        <v>758</v>
      </c>
      <c r="D160" s="856">
        <f>SUM(D153:D156)</f>
        <v>32000</v>
      </c>
      <c r="E160" s="590"/>
      <c r="F160" s="1218"/>
      <c r="G160" s="120" t="s">
        <v>1806</v>
      </c>
      <c r="H160" s="29"/>
      <c r="I160" s="2" t="s">
        <v>759</v>
      </c>
      <c r="J160" s="2"/>
      <c r="K160" s="2"/>
      <c r="L160" s="2"/>
    </row>
    <row r="161" spans="1:12" ht="15.65" thickBot="1" x14ac:dyDescent="0.35">
      <c r="A161">
        <v>161</v>
      </c>
      <c r="C161" s="30"/>
      <c r="D161" s="589"/>
      <c r="E161" s="589"/>
      <c r="F161" s="589"/>
      <c r="G161" s="30"/>
      <c r="H161" s="2"/>
      <c r="I161" s="2"/>
      <c r="J161" s="2"/>
      <c r="K161" s="2"/>
      <c r="L161" s="2"/>
    </row>
    <row r="162" spans="1:12" x14ac:dyDescent="0.3">
      <c r="A162">
        <v>162</v>
      </c>
      <c r="B162" s="1372" t="s">
        <v>2005</v>
      </c>
      <c r="C162" s="474" t="s">
        <v>760</v>
      </c>
      <c r="D162" s="21"/>
      <c r="E162" s="21"/>
      <c r="F162" s="21"/>
      <c r="G162" s="21"/>
      <c r="H162" s="21"/>
      <c r="I162" s="21"/>
      <c r="J162" s="21"/>
      <c r="K162" s="21"/>
      <c r="L162" s="21"/>
    </row>
    <row r="163" spans="1:12" x14ac:dyDescent="0.3">
      <c r="A163">
        <v>163</v>
      </c>
      <c r="B163" s="1308"/>
      <c r="C163" s="29"/>
      <c r="D163" s="2"/>
      <c r="E163" s="2"/>
      <c r="F163" s="2"/>
      <c r="G163" s="2"/>
      <c r="H163" s="2"/>
      <c r="I163" s="2"/>
      <c r="J163" s="2"/>
      <c r="K163" s="2"/>
      <c r="L163" s="2"/>
    </row>
    <row r="164" spans="1:12" x14ac:dyDescent="0.3">
      <c r="A164">
        <v>164</v>
      </c>
      <c r="B164" s="1308"/>
      <c r="C164" s="542" t="s">
        <v>761</v>
      </c>
      <c r="D164" s="185">
        <f>ROUND(($D$17*$D$50/$D$25)*1000,-3)</f>
        <v>21000</v>
      </c>
      <c r="E164" s="48"/>
      <c r="F164" s="48"/>
      <c r="G164" s="60" t="s">
        <v>1806</v>
      </c>
      <c r="H164" s="48" t="s">
        <v>629</v>
      </c>
      <c r="I164" s="57"/>
      <c r="J164" s="57"/>
      <c r="K164" s="57"/>
      <c r="L164" s="57"/>
    </row>
    <row r="165" spans="1:12" x14ac:dyDescent="0.3">
      <c r="A165">
        <v>165</v>
      </c>
      <c r="B165" s="1308"/>
      <c r="C165" s="477" t="s">
        <v>762</v>
      </c>
      <c r="D165" s="34" t="s">
        <v>1833</v>
      </c>
      <c r="E165" s="34"/>
      <c r="F165" s="34"/>
      <c r="G165" s="34" t="s">
        <v>1806</v>
      </c>
      <c r="H165" s="173"/>
      <c r="I165" s="34"/>
      <c r="J165" s="34"/>
      <c r="K165" s="34"/>
      <c r="L165" s="34"/>
    </row>
    <row r="166" spans="1:12" x14ac:dyDescent="0.3">
      <c r="A166">
        <v>166</v>
      </c>
      <c r="B166" s="1308"/>
      <c r="C166" s="488" t="s">
        <v>763</v>
      </c>
      <c r="D166" s="729">
        <f>ROUND(($D$52*$D$17/$D$27)*1000,-3)</f>
        <v>14000</v>
      </c>
      <c r="E166" s="183"/>
      <c r="F166" s="183"/>
      <c r="G166" s="53" t="s">
        <v>1806</v>
      </c>
      <c r="H166" s="121" t="s">
        <v>629</v>
      </c>
      <c r="I166" s="53" t="s">
        <v>764</v>
      </c>
      <c r="J166" s="53"/>
      <c r="K166" s="53"/>
      <c r="L166" s="53"/>
    </row>
    <row r="167" spans="1:12" x14ac:dyDescent="0.3">
      <c r="A167">
        <v>167</v>
      </c>
      <c r="B167" s="1308"/>
      <c r="C167" s="519" t="s">
        <v>765</v>
      </c>
      <c r="D167" s="730">
        <f>ROUND(($D$53*$D$17/$D$28)*1000, -3)</f>
        <v>22000</v>
      </c>
      <c r="E167" s="413"/>
      <c r="F167" s="413"/>
      <c r="G167" s="166" t="s">
        <v>1806</v>
      </c>
      <c r="H167" s="165" t="s">
        <v>629</v>
      </c>
      <c r="I167" s="166" t="s">
        <v>764</v>
      </c>
      <c r="J167" s="166"/>
      <c r="K167" s="166"/>
      <c r="L167" s="53"/>
    </row>
    <row r="168" spans="1:12" x14ac:dyDescent="0.3">
      <c r="A168">
        <v>168</v>
      </c>
      <c r="B168" s="1308"/>
      <c r="C168" s="472" t="s">
        <v>766</v>
      </c>
      <c r="D168" s="731">
        <f>ROUND(($D$54*$D$17/$D$29)*1000,-3)</f>
        <v>7000</v>
      </c>
      <c r="E168" s="420"/>
      <c r="F168" s="420"/>
      <c r="G168" s="375" t="s">
        <v>1806</v>
      </c>
      <c r="H168" s="422" t="s">
        <v>629</v>
      </c>
      <c r="I168" s="375" t="s">
        <v>764</v>
      </c>
      <c r="J168" s="375"/>
      <c r="K168" s="375"/>
      <c r="L168" s="375"/>
    </row>
    <row r="169" spans="1:12" x14ac:dyDescent="0.3">
      <c r="A169">
        <v>169</v>
      </c>
      <c r="B169" s="1308"/>
      <c r="C169" s="522" t="s">
        <v>767</v>
      </c>
      <c r="D169" s="732">
        <f>ROUND(($D$55*$D$17/$D$30)*1000,-3)</f>
        <v>27000</v>
      </c>
      <c r="E169" s="184"/>
      <c r="F169" s="184"/>
      <c r="G169" s="3" t="s">
        <v>1806</v>
      </c>
      <c r="H169" s="58" t="s">
        <v>629</v>
      </c>
      <c r="I169" s="3" t="s">
        <v>764</v>
      </c>
      <c r="J169" s="3"/>
      <c r="K169" s="3"/>
      <c r="L169" s="3"/>
    </row>
    <row r="170" spans="1:12" x14ac:dyDescent="0.3">
      <c r="A170">
        <v>170</v>
      </c>
      <c r="B170" s="1308"/>
      <c r="C170" s="585" t="s">
        <v>768</v>
      </c>
      <c r="D170" s="733">
        <f>ROUND(($D$56*$D$17/$D$31)*1000,-2)</f>
        <v>9600</v>
      </c>
      <c r="E170" s="386"/>
      <c r="F170" s="386"/>
      <c r="G170" s="376" t="s">
        <v>1806</v>
      </c>
      <c r="H170" s="383" t="s">
        <v>629</v>
      </c>
      <c r="I170" s="376" t="s">
        <v>769</v>
      </c>
      <c r="J170" s="376"/>
      <c r="K170" s="376"/>
      <c r="L170" s="376"/>
    </row>
    <row r="171" spans="1:12" ht="15.65" thickBot="1" x14ac:dyDescent="0.35">
      <c r="A171">
        <v>171</v>
      </c>
      <c r="B171" s="1308"/>
      <c r="C171" s="509"/>
      <c r="D171" s="591"/>
      <c r="E171" s="591"/>
      <c r="F171" s="591"/>
      <c r="G171" s="131"/>
      <c r="H171" s="1"/>
      <c r="I171" s="2"/>
      <c r="J171" s="2"/>
      <c r="K171" s="2"/>
      <c r="L171" s="2"/>
    </row>
    <row r="172" spans="1:12" ht="15.65" thickBot="1" x14ac:dyDescent="0.35">
      <c r="A172">
        <v>172</v>
      </c>
      <c r="B172" s="1309"/>
      <c r="C172" s="289" t="s">
        <v>2522</v>
      </c>
      <c r="D172" s="856">
        <f>ROUND(SUM(D166:D169),-2)</f>
        <v>70000</v>
      </c>
      <c r="E172" s="592"/>
      <c r="F172" s="1219"/>
      <c r="G172" s="120" t="s">
        <v>1806</v>
      </c>
      <c r="H172" s="112" t="s">
        <v>629</v>
      </c>
      <c r="I172" s="2" t="s">
        <v>2525</v>
      </c>
      <c r="J172" s="2"/>
      <c r="K172" s="2"/>
      <c r="L172" s="2"/>
    </row>
    <row r="173" spans="1:12" ht="15.65" thickBot="1" x14ac:dyDescent="0.35">
      <c r="A173">
        <v>173</v>
      </c>
      <c r="C173" s="30"/>
      <c r="D173" s="30"/>
      <c r="E173" s="30"/>
      <c r="F173" s="30"/>
      <c r="G173" s="30"/>
      <c r="H173" s="2"/>
      <c r="I173" s="2"/>
      <c r="J173" s="2"/>
      <c r="K173" s="2"/>
      <c r="L173" s="2"/>
    </row>
    <row r="174" spans="1:12" ht="15.05" customHeight="1" x14ac:dyDescent="0.3">
      <c r="A174">
        <v>174</v>
      </c>
      <c r="B174" s="1372" t="s">
        <v>2006</v>
      </c>
      <c r="C174" s="24" t="s">
        <v>2524</v>
      </c>
      <c r="D174" s="21"/>
      <c r="E174" s="21"/>
      <c r="F174" s="21"/>
      <c r="G174" s="21"/>
      <c r="H174" s="21"/>
      <c r="I174" s="21"/>
      <c r="J174" s="21"/>
      <c r="K174" s="21"/>
      <c r="L174" s="21"/>
    </row>
    <row r="175" spans="1:12" x14ac:dyDescent="0.3">
      <c r="A175">
        <v>175</v>
      </c>
      <c r="B175" s="1308"/>
      <c r="C175" s="2"/>
      <c r="D175" s="2"/>
      <c r="E175" s="2"/>
      <c r="F175" s="2"/>
      <c r="G175" s="2"/>
      <c r="H175" s="2"/>
      <c r="I175" s="2"/>
      <c r="J175" s="2"/>
      <c r="K175" s="2"/>
      <c r="L175" s="2"/>
    </row>
    <row r="176" spans="1:12" x14ac:dyDescent="0.3">
      <c r="A176">
        <v>176</v>
      </c>
      <c r="B176" s="1308"/>
      <c r="C176" s="57" t="s">
        <v>770</v>
      </c>
      <c r="D176" s="185">
        <f>ROUND(($D$18*$D$64/$D$25)*1000,-3)</f>
        <v>42000</v>
      </c>
      <c r="E176" s="185"/>
      <c r="F176" s="185"/>
      <c r="G176" s="57" t="s">
        <v>1806</v>
      </c>
      <c r="H176" s="48" t="s">
        <v>629</v>
      </c>
      <c r="I176" s="57"/>
      <c r="J176" s="57"/>
      <c r="K176" s="57"/>
      <c r="L176" s="57"/>
    </row>
    <row r="177" spans="1:12" x14ac:dyDescent="0.3">
      <c r="A177">
        <v>177</v>
      </c>
      <c r="B177" s="1308"/>
      <c r="C177" s="68" t="s">
        <v>771</v>
      </c>
      <c r="D177" s="68" t="s">
        <v>1833</v>
      </c>
      <c r="E177" s="68"/>
      <c r="F177" s="68"/>
      <c r="G177" s="68" t="s">
        <v>1806</v>
      </c>
      <c r="H177" s="173"/>
      <c r="I177" s="68"/>
      <c r="J177" s="68"/>
      <c r="K177" s="68"/>
      <c r="L177" s="68"/>
    </row>
    <row r="178" spans="1:12" x14ac:dyDescent="0.3">
      <c r="A178">
        <v>178</v>
      </c>
      <c r="B178" s="1308"/>
      <c r="C178" s="53" t="s">
        <v>772</v>
      </c>
      <c r="D178" s="729">
        <f>ROUND(($D$18*$D$66/$D$27)*1000,-3)</f>
        <v>31000</v>
      </c>
      <c r="E178" s="183"/>
      <c r="F178" s="183"/>
      <c r="G178" s="53" t="s">
        <v>1806</v>
      </c>
      <c r="H178" s="121" t="s">
        <v>629</v>
      </c>
      <c r="I178" s="53" t="s">
        <v>773</v>
      </c>
      <c r="J178" s="53"/>
      <c r="K178" s="53"/>
      <c r="L178" s="53"/>
    </row>
    <row r="179" spans="1:12" x14ac:dyDescent="0.3">
      <c r="A179">
        <v>179</v>
      </c>
      <c r="B179" s="1308"/>
      <c r="C179" s="166" t="s">
        <v>774</v>
      </c>
      <c r="D179" s="730">
        <f>ROUND(($D$18*$D$67/$D$28)*1000,-3)</f>
        <v>48000</v>
      </c>
      <c r="E179" s="413"/>
      <c r="F179" s="413"/>
      <c r="G179" s="166" t="s">
        <v>1806</v>
      </c>
      <c r="H179" s="165" t="s">
        <v>629</v>
      </c>
      <c r="I179" s="166" t="s">
        <v>773</v>
      </c>
      <c r="J179" s="166"/>
      <c r="K179" s="166"/>
      <c r="L179" s="166"/>
    </row>
    <row r="180" spans="1:12" x14ac:dyDescent="0.3">
      <c r="A180">
        <v>180</v>
      </c>
      <c r="B180" s="1308"/>
      <c r="C180" s="375" t="s">
        <v>775</v>
      </c>
      <c r="D180" s="731">
        <f>ROUND(($D$18*$D$68/$D$29)*1000,-3)</f>
        <v>15000</v>
      </c>
      <c r="E180" s="420"/>
      <c r="F180" s="420"/>
      <c r="G180" s="375" t="s">
        <v>1806</v>
      </c>
      <c r="H180" s="422" t="s">
        <v>629</v>
      </c>
      <c r="I180" s="375" t="s">
        <v>773</v>
      </c>
      <c r="J180" s="375"/>
      <c r="K180" s="375"/>
      <c r="L180" s="375"/>
    </row>
    <row r="181" spans="1:12" x14ac:dyDescent="0.3">
      <c r="A181">
        <v>181</v>
      </c>
      <c r="B181" s="1308"/>
      <c r="C181" s="3" t="s">
        <v>776</v>
      </c>
      <c r="D181" s="732">
        <f>ROUND(($D$18*$D$69/$D$30)*1000,-3)</f>
        <v>59000</v>
      </c>
      <c r="E181" s="184"/>
      <c r="F181" s="184"/>
      <c r="G181" s="3" t="s">
        <v>1806</v>
      </c>
      <c r="H181" s="58" t="s">
        <v>629</v>
      </c>
      <c r="I181" s="3" t="s">
        <v>777</v>
      </c>
      <c r="J181" s="3"/>
      <c r="K181" s="3"/>
      <c r="L181" s="3"/>
    </row>
    <row r="182" spans="1:12" x14ac:dyDescent="0.3">
      <c r="A182">
        <v>182</v>
      </c>
      <c r="B182" s="1308"/>
      <c r="C182" s="376" t="s">
        <v>778</v>
      </c>
      <c r="D182" s="733">
        <f>ROUND(($D$18*$D$70/$D$31)*1000,-3)</f>
        <v>21000</v>
      </c>
      <c r="E182" s="386"/>
      <c r="F182" s="386"/>
      <c r="G182" s="376" t="s">
        <v>1806</v>
      </c>
      <c r="H182" s="383" t="s">
        <v>629</v>
      </c>
      <c r="I182" s="376" t="s">
        <v>769</v>
      </c>
      <c r="J182" s="376"/>
      <c r="K182" s="376"/>
      <c r="L182" s="376"/>
    </row>
    <row r="183" spans="1:12" ht="15.65" thickBot="1" x14ac:dyDescent="0.35">
      <c r="A183">
        <v>183</v>
      </c>
      <c r="B183" s="1308"/>
      <c r="C183" s="131"/>
      <c r="D183" s="857"/>
      <c r="E183" s="591"/>
      <c r="F183" s="591"/>
      <c r="G183" s="131"/>
      <c r="H183" s="2"/>
      <c r="I183" s="2"/>
      <c r="J183" s="2"/>
      <c r="K183" s="2"/>
      <c r="L183" s="2"/>
    </row>
    <row r="184" spans="1:12" ht="15.65" thickBot="1" x14ac:dyDescent="0.35">
      <c r="A184">
        <v>184</v>
      </c>
      <c r="B184" s="1308"/>
      <c r="C184" s="289" t="s">
        <v>2523</v>
      </c>
      <c r="D184" s="856">
        <f>ROUND(SUM(D178:D181),-3)</f>
        <v>153000</v>
      </c>
      <c r="E184" s="592"/>
      <c r="F184" s="1219"/>
      <c r="G184" s="120" t="s">
        <v>1806</v>
      </c>
      <c r="H184" s="112" t="s">
        <v>629</v>
      </c>
      <c r="I184" s="2" t="s">
        <v>2526</v>
      </c>
      <c r="J184" s="2"/>
      <c r="K184" s="2"/>
      <c r="L184" s="2"/>
    </row>
    <row r="185" spans="1:12" ht="15.65" thickBot="1" x14ac:dyDescent="0.35">
      <c r="A185">
        <v>185</v>
      </c>
      <c r="B185" s="1309"/>
      <c r="C185" s="30"/>
      <c r="D185" s="593"/>
      <c r="E185" s="593"/>
      <c r="F185" s="593"/>
      <c r="G185" s="30"/>
      <c r="H185" s="1"/>
      <c r="I185" s="2"/>
      <c r="J185" s="2"/>
      <c r="K185" s="2"/>
      <c r="L185" s="2"/>
    </row>
    <row r="186" spans="1:12" ht="15.65" thickBot="1" x14ac:dyDescent="0.35">
      <c r="A186">
        <v>186</v>
      </c>
      <c r="B186" s="507"/>
      <c r="C186" s="2"/>
      <c r="D186" s="7"/>
      <c r="E186" s="7"/>
      <c r="F186" s="7"/>
      <c r="G186" s="2"/>
      <c r="H186" s="2"/>
      <c r="I186" s="2"/>
      <c r="J186" s="2"/>
      <c r="K186" s="2"/>
      <c r="L186" s="2"/>
    </row>
    <row r="187" spans="1:12" x14ac:dyDescent="0.3">
      <c r="A187">
        <v>187</v>
      </c>
      <c r="B187" s="1372" t="s">
        <v>2041</v>
      </c>
      <c r="C187" s="474" t="s">
        <v>1251</v>
      </c>
      <c r="D187" s="21"/>
      <c r="E187" s="21"/>
      <c r="F187" s="21"/>
      <c r="G187" s="21"/>
      <c r="H187" s="21"/>
      <c r="I187" s="21"/>
      <c r="J187" s="21"/>
      <c r="K187" s="21"/>
      <c r="L187" s="21"/>
    </row>
    <row r="188" spans="1:12" x14ac:dyDescent="0.3">
      <c r="A188">
        <v>188</v>
      </c>
      <c r="B188" s="1308"/>
      <c r="C188" s="29"/>
      <c r="D188" s="2"/>
      <c r="E188" s="2"/>
      <c r="F188" s="2"/>
      <c r="G188" s="2"/>
      <c r="H188" s="2"/>
      <c r="I188" s="2"/>
      <c r="J188" s="2"/>
      <c r="K188" s="2"/>
      <c r="L188" s="2"/>
    </row>
    <row r="189" spans="1:12" x14ac:dyDescent="0.3">
      <c r="A189">
        <v>189</v>
      </c>
      <c r="B189" s="1308"/>
      <c r="C189" s="542" t="s">
        <v>779</v>
      </c>
      <c r="D189" s="185">
        <f>ROUND($D$151+$D$164+$D$176,-3)</f>
        <v>63000</v>
      </c>
      <c r="E189" s="185"/>
      <c r="F189" s="185"/>
      <c r="G189" s="57" t="s">
        <v>27</v>
      </c>
      <c r="H189" s="57"/>
      <c r="I189" s="57"/>
      <c r="J189" s="57"/>
      <c r="K189" s="57"/>
      <c r="L189" s="57"/>
    </row>
    <row r="190" spans="1:12" x14ac:dyDescent="0.3">
      <c r="A190">
        <v>190</v>
      </c>
      <c r="B190" s="1308"/>
      <c r="C190" s="477" t="s">
        <v>780</v>
      </c>
      <c r="D190" s="186" t="s">
        <v>1833</v>
      </c>
      <c r="E190" s="186"/>
      <c r="F190" s="186"/>
      <c r="G190" s="68"/>
      <c r="H190" s="68"/>
      <c r="I190" s="68"/>
      <c r="J190" s="68"/>
      <c r="K190" s="68"/>
      <c r="L190" s="68"/>
    </row>
    <row r="191" spans="1:12" x14ac:dyDescent="0.3">
      <c r="A191">
        <v>191</v>
      </c>
      <c r="B191" s="1308"/>
      <c r="C191" s="488" t="s">
        <v>781</v>
      </c>
      <c r="D191" s="187">
        <f>ROUND($D$153+$D$166+$D$178,-3)</f>
        <v>49000</v>
      </c>
      <c r="E191" s="187"/>
      <c r="F191" s="187"/>
      <c r="G191" s="53" t="s">
        <v>27</v>
      </c>
      <c r="H191" s="121" t="s">
        <v>629</v>
      </c>
      <c r="I191" s="53"/>
      <c r="J191" s="53"/>
      <c r="K191" s="53"/>
      <c r="L191" s="53"/>
    </row>
    <row r="192" spans="1:12" x14ac:dyDescent="0.3">
      <c r="A192">
        <v>192</v>
      </c>
      <c r="B192" s="1308"/>
      <c r="C192" s="519" t="s">
        <v>782</v>
      </c>
      <c r="D192" s="415">
        <f>ROUND($D$154+$D$167+$D$179,-3)</f>
        <v>78000</v>
      </c>
      <c r="E192" s="415"/>
      <c r="F192" s="415"/>
      <c r="G192" s="166" t="s">
        <v>27</v>
      </c>
      <c r="H192" s="165" t="s">
        <v>629</v>
      </c>
      <c r="I192" s="166"/>
      <c r="J192" s="166"/>
      <c r="K192" s="166"/>
      <c r="L192" s="166"/>
    </row>
    <row r="193" spans="1:12" x14ac:dyDescent="0.3">
      <c r="A193">
        <v>193</v>
      </c>
      <c r="B193" s="1308"/>
      <c r="C193" s="472" t="s">
        <v>783</v>
      </c>
      <c r="D193" s="423">
        <f>ROUND($D$155+$D$168+$D$180,-3)</f>
        <v>23000</v>
      </c>
      <c r="E193" s="423"/>
      <c r="F193" s="423"/>
      <c r="G193" s="375" t="s">
        <v>27</v>
      </c>
      <c r="H193" s="422" t="s">
        <v>629</v>
      </c>
      <c r="I193" s="375"/>
      <c r="J193" s="375"/>
      <c r="K193" s="375"/>
      <c r="L193" s="375"/>
    </row>
    <row r="194" spans="1:12" x14ac:dyDescent="0.3">
      <c r="A194">
        <v>194</v>
      </c>
      <c r="B194" s="1308"/>
      <c r="C194" s="522" t="s">
        <v>784</v>
      </c>
      <c r="D194" s="188">
        <f>ROUND($D$156+$D$169+$D$181,-3)</f>
        <v>104000</v>
      </c>
      <c r="E194" s="188"/>
      <c r="F194" s="188"/>
      <c r="G194" s="3" t="s">
        <v>27</v>
      </c>
      <c r="H194" s="58" t="s">
        <v>629</v>
      </c>
      <c r="I194" s="3"/>
      <c r="J194" s="3"/>
      <c r="K194" s="3"/>
      <c r="L194" s="3"/>
    </row>
    <row r="195" spans="1:12" x14ac:dyDescent="0.3">
      <c r="A195">
        <v>195</v>
      </c>
      <c r="B195" s="1308"/>
      <c r="C195" s="585" t="s">
        <v>785</v>
      </c>
      <c r="D195" s="387">
        <f>ROUND($D$157+$D$170+$D$182,-3)</f>
        <v>32000</v>
      </c>
      <c r="E195" s="387"/>
      <c r="F195" s="387"/>
      <c r="G195" s="376" t="s">
        <v>27</v>
      </c>
      <c r="H195" s="383" t="s">
        <v>629</v>
      </c>
      <c r="I195" s="376" t="s">
        <v>2143</v>
      </c>
      <c r="J195" s="376"/>
      <c r="K195" s="376"/>
      <c r="L195" s="376"/>
    </row>
    <row r="196" spans="1:12" ht="15.65" thickBot="1" x14ac:dyDescent="0.35">
      <c r="A196">
        <v>196</v>
      </c>
      <c r="B196" s="1308"/>
      <c r="C196" s="509"/>
      <c r="D196" s="594"/>
      <c r="E196" s="594"/>
      <c r="F196" s="594"/>
      <c r="G196" s="131"/>
      <c r="H196" s="2"/>
      <c r="I196" s="2"/>
      <c r="J196" s="2"/>
      <c r="K196" s="2"/>
      <c r="L196" s="2"/>
    </row>
    <row r="197" spans="1:12" ht="15.65" thickBot="1" x14ac:dyDescent="0.35">
      <c r="A197">
        <v>197</v>
      </c>
      <c r="B197" s="1309"/>
      <c r="C197" s="523" t="s">
        <v>2142</v>
      </c>
      <c r="D197" s="856">
        <f>ROUND(SUM(D191:D194),-3)</f>
        <v>254000</v>
      </c>
      <c r="E197" s="592"/>
      <c r="F197" s="1219"/>
      <c r="G197" s="120" t="s">
        <v>27</v>
      </c>
      <c r="H197" s="112" t="s">
        <v>629</v>
      </c>
      <c r="I197" s="2" t="s">
        <v>786</v>
      </c>
      <c r="J197" s="2"/>
      <c r="K197" s="2"/>
      <c r="L197" s="2"/>
    </row>
    <row r="198" spans="1:12" x14ac:dyDescent="0.3">
      <c r="A198">
        <v>198</v>
      </c>
      <c r="C198" s="30"/>
      <c r="D198" s="595"/>
      <c r="E198" s="595"/>
      <c r="F198" s="595"/>
      <c r="G198" s="30"/>
      <c r="H198" s="2"/>
      <c r="I198" s="2"/>
      <c r="J198" s="2"/>
      <c r="K198" s="2"/>
      <c r="L198" s="2"/>
    </row>
    <row r="199" spans="1:12" x14ac:dyDescent="0.3">
      <c r="A199">
        <v>199</v>
      </c>
      <c r="B199" s="24" t="s">
        <v>1130</v>
      </c>
      <c r="C199" s="24" t="s">
        <v>1124</v>
      </c>
      <c r="D199" s="24"/>
      <c r="E199" s="24"/>
      <c r="F199" s="24"/>
      <c r="G199" s="24"/>
      <c r="H199" s="24"/>
      <c r="I199" s="24"/>
      <c r="J199" s="20"/>
      <c r="K199" s="20"/>
      <c r="L199" s="20"/>
    </row>
    <row r="200" spans="1:12" x14ac:dyDescent="0.3">
      <c r="A200">
        <v>200</v>
      </c>
      <c r="C200" s="2"/>
      <c r="D200" s="2"/>
      <c r="E200" s="2"/>
      <c r="F200" s="2"/>
      <c r="G200" s="2"/>
      <c r="H200" s="2"/>
      <c r="I200" s="2"/>
      <c r="J200" s="2"/>
      <c r="K200" s="2"/>
      <c r="L200" s="2"/>
    </row>
    <row r="201" spans="1:12" x14ac:dyDescent="0.3">
      <c r="A201">
        <v>201</v>
      </c>
      <c r="B201" s="228" t="s">
        <v>1254</v>
      </c>
      <c r="C201" s="24" t="s">
        <v>2042</v>
      </c>
      <c r="D201" s="20"/>
      <c r="E201" s="20"/>
      <c r="F201" s="20"/>
      <c r="G201" s="20"/>
      <c r="H201" s="20"/>
      <c r="I201" s="20"/>
      <c r="J201" s="20"/>
      <c r="K201" s="20"/>
      <c r="L201" s="20"/>
    </row>
    <row r="202" spans="1:12" ht="15.65" thickBot="1" x14ac:dyDescent="0.35">
      <c r="A202">
        <v>202</v>
      </c>
      <c r="C202" s="2"/>
      <c r="D202" s="2"/>
      <c r="E202" s="2"/>
      <c r="F202" s="2"/>
      <c r="G202" s="2"/>
      <c r="H202" s="2"/>
      <c r="I202" s="2"/>
      <c r="J202" s="2"/>
      <c r="K202" s="2"/>
      <c r="L202" s="2"/>
    </row>
    <row r="203" spans="1:12" ht="15.05" customHeight="1" x14ac:dyDescent="0.3">
      <c r="A203">
        <v>203</v>
      </c>
      <c r="B203" s="1372" t="s">
        <v>2122</v>
      </c>
      <c r="C203" s="542" t="s">
        <v>787</v>
      </c>
      <c r="D203" s="57">
        <v>0</v>
      </c>
      <c r="E203" s="57"/>
      <c r="F203" s="57"/>
      <c r="G203" s="57"/>
      <c r="H203" s="57"/>
      <c r="I203" s="57"/>
      <c r="J203" s="57"/>
      <c r="K203" s="57"/>
      <c r="L203" s="57"/>
    </row>
    <row r="204" spans="1:12" x14ac:dyDescent="0.3">
      <c r="A204">
        <v>204</v>
      </c>
      <c r="B204" s="1373"/>
      <c r="C204" s="477" t="s">
        <v>2043</v>
      </c>
      <c r="D204" s="68" t="s">
        <v>1833</v>
      </c>
      <c r="E204" s="68"/>
      <c r="F204" s="68"/>
      <c r="G204" s="68"/>
      <c r="H204" s="68"/>
      <c r="I204" s="68"/>
      <c r="J204" s="68"/>
      <c r="K204" s="68"/>
      <c r="L204" s="68"/>
    </row>
    <row r="205" spans="1:12" x14ac:dyDescent="0.3">
      <c r="A205">
        <v>205</v>
      </c>
      <c r="B205" s="1373"/>
      <c r="C205" s="488" t="s">
        <v>2044</v>
      </c>
      <c r="D205" s="858">
        <f>$D$121*$D$153/1000000</f>
        <v>3.3999999999999998E-3</v>
      </c>
      <c r="E205" s="189"/>
      <c r="F205" s="189"/>
      <c r="G205" s="53" t="s">
        <v>23</v>
      </c>
      <c r="H205" s="121" t="s">
        <v>629</v>
      </c>
      <c r="I205" s="25" t="s">
        <v>788</v>
      </c>
      <c r="J205" s="121"/>
      <c r="K205" s="121"/>
      <c r="L205" s="121"/>
    </row>
    <row r="206" spans="1:12" x14ac:dyDescent="0.3">
      <c r="A206">
        <v>206</v>
      </c>
      <c r="B206" s="1373"/>
      <c r="C206" s="519" t="s">
        <v>2045</v>
      </c>
      <c r="D206" s="859">
        <f>$D$122*$D$154/1000000</f>
        <v>5.30964E-3</v>
      </c>
      <c r="E206" s="416"/>
      <c r="F206" s="416"/>
      <c r="G206" s="166" t="s">
        <v>23</v>
      </c>
      <c r="H206" s="165" t="s">
        <v>629</v>
      </c>
      <c r="I206" s="70" t="s">
        <v>788</v>
      </c>
      <c r="J206" s="165"/>
      <c r="K206" s="165"/>
      <c r="L206" s="165"/>
    </row>
    <row r="207" spans="1:12" x14ac:dyDescent="0.3">
      <c r="A207">
        <v>207</v>
      </c>
      <c r="B207" s="1373"/>
      <c r="C207" s="472" t="s">
        <v>1299</v>
      </c>
      <c r="D207" s="860">
        <f>$D$123*$D$155/1000000</f>
        <v>1.6847999999999996E-4</v>
      </c>
      <c r="E207" s="424"/>
      <c r="F207" s="424"/>
      <c r="G207" s="375" t="s">
        <v>23</v>
      </c>
      <c r="H207" s="422" t="s">
        <v>629</v>
      </c>
      <c r="I207" s="391" t="s">
        <v>788</v>
      </c>
      <c r="J207" s="422"/>
      <c r="K207" s="422"/>
      <c r="L207" s="422"/>
    </row>
    <row r="208" spans="1:12" x14ac:dyDescent="0.3">
      <c r="A208">
        <v>208</v>
      </c>
      <c r="B208" s="1373"/>
      <c r="C208" s="522" t="s">
        <v>2046</v>
      </c>
      <c r="D208" s="861">
        <f>$D$156*$D$124/1000000</f>
        <v>9.7888000000000003E-3</v>
      </c>
      <c r="E208" s="190"/>
      <c r="F208" s="190"/>
      <c r="G208" s="3" t="s">
        <v>23</v>
      </c>
      <c r="H208" s="58" t="s">
        <v>629</v>
      </c>
      <c r="I208" s="3" t="s">
        <v>788</v>
      </c>
      <c r="J208" s="58"/>
      <c r="K208" s="58"/>
      <c r="L208" s="58"/>
    </row>
    <row r="209" spans="1:12" x14ac:dyDescent="0.3">
      <c r="A209">
        <v>209</v>
      </c>
      <c r="B209" s="1373"/>
      <c r="C209" s="585" t="s">
        <v>2047</v>
      </c>
      <c r="D209" s="862">
        <f>$D$157*$D$125/1000000</f>
        <v>5.5949999999999999E-4</v>
      </c>
      <c r="E209" s="388"/>
      <c r="F209" s="388"/>
      <c r="G209" s="376" t="s">
        <v>789</v>
      </c>
      <c r="H209" s="383" t="s">
        <v>629</v>
      </c>
      <c r="I209" s="383"/>
      <c r="J209" s="383"/>
      <c r="K209" s="383"/>
      <c r="L209" s="383"/>
    </row>
    <row r="210" spans="1:12" x14ac:dyDescent="0.3">
      <c r="A210">
        <v>210</v>
      </c>
      <c r="B210" s="1373"/>
      <c r="C210" s="29"/>
      <c r="D210" s="411"/>
      <c r="E210" s="2"/>
      <c r="F210" s="2"/>
      <c r="G210" s="2"/>
      <c r="H210" s="2"/>
      <c r="I210" s="2"/>
      <c r="J210" s="2"/>
      <c r="K210" s="2"/>
      <c r="L210" s="2"/>
    </row>
    <row r="211" spans="1:12" ht="15.65" thickBot="1" x14ac:dyDescent="0.35">
      <c r="A211">
        <v>211</v>
      </c>
      <c r="B211" s="1374"/>
      <c r="C211" s="29" t="s">
        <v>2123</v>
      </c>
      <c r="D211" s="863">
        <f>D205+D206+D207+D208+D209</f>
        <v>1.9226420000000001E-2</v>
      </c>
      <c r="E211" s="191"/>
      <c r="F211" s="191"/>
      <c r="G211" s="2" t="s">
        <v>23</v>
      </c>
      <c r="H211" s="1" t="s">
        <v>629</v>
      </c>
      <c r="I211" s="2"/>
      <c r="J211" s="2"/>
      <c r="K211" s="2"/>
      <c r="L211" s="2"/>
    </row>
    <row r="212" spans="1:12" x14ac:dyDescent="0.3">
      <c r="A212">
        <v>212</v>
      </c>
      <c r="C212" s="2"/>
      <c r="D212" s="2"/>
      <c r="E212" s="2"/>
      <c r="F212" s="2"/>
      <c r="G212" s="2"/>
      <c r="H212" s="2"/>
      <c r="I212" s="2"/>
      <c r="J212" s="2"/>
      <c r="K212" s="2"/>
      <c r="L212" s="2"/>
    </row>
    <row r="213" spans="1:12" x14ac:dyDescent="0.3">
      <c r="A213">
        <v>213</v>
      </c>
      <c r="B213" s="228" t="s">
        <v>1255</v>
      </c>
      <c r="C213" s="24" t="s">
        <v>790</v>
      </c>
      <c r="D213" s="21"/>
      <c r="E213" s="21"/>
      <c r="F213" s="21"/>
      <c r="G213" s="21"/>
      <c r="H213" s="21"/>
      <c r="I213" s="21"/>
      <c r="J213" s="21"/>
      <c r="K213" s="21"/>
      <c r="L213" s="21"/>
    </row>
    <row r="214" spans="1:12" ht="15.65" thickBot="1" x14ac:dyDescent="0.35">
      <c r="A214">
        <v>214</v>
      </c>
      <c r="C214" s="2"/>
      <c r="D214" s="2"/>
      <c r="E214" s="2"/>
      <c r="F214" s="2"/>
      <c r="G214" s="2"/>
      <c r="H214" s="2"/>
      <c r="I214" s="2"/>
      <c r="J214" s="2"/>
      <c r="K214" s="2"/>
      <c r="L214" s="2"/>
    </row>
    <row r="215" spans="1:12" ht="15.05" customHeight="1" x14ac:dyDescent="0.3">
      <c r="A215">
        <v>215</v>
      </c>
      <c r="B215" s="1372" t="s">
        <v>2124</v>
      </c>
      <c r="C215" s="542" t="s">
        <v>2048</v>
      </c>
      <c r="D215" s="179">
        <f>$D$164*$D$129/1000000</f>
        <v>0.21476700000000001</v>
      </c>
      <c r="E215" s="61"/>
      <c r="F215" s="61"/>
      <c r="G215" s="57" t="s">
        <v>23</v>
      </c>
      <c r="H215" s="48" t="s">
        <v>629</v>
      </c>
      <c r="I215" s="57" t="s">
        <v>791</v>
      </c>
      <c r="J215" s="57"/>
      <c r="K215" s="57"/>
      <c r="L215" s="57"/>
    </row>
    <row r="216" spans="1:12" x14ac:dyDescent="0.3">
      <c r="A216">
        <v>216</v>
      </c>
      <c r="B216" s="1373"/>
      <c r="C216" s="477" t="s">
        <v>2049</v>
      </c>
      <c r="D216" s="68" t="s">
        <v>1833</v>
      </c>
      <c r="E216" s="68"/>
      <c r="F216" s="68"/>
      <c r="G216" s="68" t="s">
        <v>23</v>
      </c>
      <c r="H216" s="68"/>
      <c r="I216" s="68"/>
      <c r="J216" s="68"/>
      <c r="K216" s="68"/>
      <c r="L216" s="68"/>
    </row>
    <row r="217" spans="1:12" x14ac:dyDescent="0.3">
      <c r="A217">
        <v>217</v>
      </c>
      <c r="B217" s="1373"/>
      <c r="C217" s="488" t="s">
        <v>2050</v>
      </c>
      <c r="D217" s="180">
        <f>$D$166*$D$131/1000000</f>
        <v>1.1900000000000001E-2</v>
      </c>
      <c r="E217" s="51"/>
      <c r="F217" s="51"/>
      <c r="G217" s="53" t="s">
        <v>23</v>
      </c>
      <c r="H217" s="121" t="s">
        <v>629</v>
      </c>
      <c r="I217" s="53" t="s">
        <v>792</v>
      </c>
      <c r="J217" s="53"/>
      <c r="K217" s="53"/>
      <c r="L217" s="53"/>
    </row>
    <row r="218" spans="1:12" x14ac:dyDescent="0.3">
      <c r="A218">
        <v>218</v>
      </c>
      <c r="B218" s="1373"/>
      <c r="C218" s="519" t="s">
        <v>2051</v>
      </c>
      <c r="D218" s="418">
        <f>$D$167*$D$132/1000000</f>
        <v>1.3906200000000001E-2</v>
      </c>
      <c r="E218" s="417"/>
      <c r="F218" s="417"/>
      <c r="G218" s="166" t="s">
        <v>23</v>
      </c>
      <c r="H218" s="165" t="s">
        <v>629</v>
      </c>
      <c r="I218" s="166" t="s">
        <v>792</v>
      </c>
      <c r="J218" s="166"/>
      <c r="K218" s="166"/>
      <c r="L218" s="166"/>
    </row>
    <row r="219" spans="1:12" x14ac:dyDescent="0.3">
      <c r="A219">
        <v>219</v>
      </c>
      <c r="B219" s="1373"/>
      <c r="C219" s="472" t="s">
        <v>1275</v>
      </c>
      <c r="D219" s="426">
        <f>$D$168*$D$133/1000000</f>
        <v>9.8279999999999982E-4</v>
      </c>
      <c r="E219" s="425"/>
      <c r="F219" s="425"/>
      <c r="G219" s="375" t="s">
        <v>23</v>
      </c>
      <c r="H219" s="422" t="s">
        <v>629</v>
      </c>
      <c r="I219" s="375" t="s">
        <v>792</v>
      </c>
      <c r="J219" s="375"/>
      <c r="K219" s="375"/>
      <c r="L219" s="375"/>
    </row>
    <row r="220" spans="1:12" x14ac:dyDescent="0.3">
      <c r="A220">
        <v>220</v>
      </c>
      <c r="B220" s="1373"/>
      <c r="C220" s="522" t="s">
        <v>2052</v>
      </c>
      <c r="D220" s="181">
        <f>$D$169*$D$134/1000000</f>
        <v>1.4364E-2</v>
      </c>
      <c r="E220" s="192"/>
      <c r="F220" s="192"/>
      <c r="G220" s="3" t="s">
        <v>23</v>
      </c>
      <c r="H220" s="58" t="s">
        <v>629</v>
      </c>
      <c r="I220" s="3" t="s">
        <v>792</v>
      </c>
      <c r="J220" s="3"/>
      <c r="K220" s="3"/>
      <c r="L220" s="3"/>
    </row>
    <row r="221" spans="1:12" x14ac:dyDescent="0.3">
      <c r="A221">
        <v>221</v>
      </c>
      <c r="B221" s="1373"/>
      <c r="C221" s="585" t="s">
        <v>1300</v>
      </c>
      <c r="D221" s="390">
        <f>$D$170*$D$125/1000000</f>
        <v>3.5808000000000003E-3</v>
      </c>
      <c r="E221" s="389"/>
      <c r="F221" s="389"/>
      <c r="G221" s="376" t="s">
        <v>23</v>
      </c>
      <c r="H221" s="383" t="s">
        <v>629</v>
      </c>
      <c r="I221" s="376"/>
      <c r="J221" s="376"/>
      <c r="K221" s="376"/>
      <c r="L221" s="376"/>
    </row>
    <row r="222" spans="1:12" x14ac:dyDescent="0.3">
      <c r="A222">
        <v>222</v>
      </c>
      <c r="B222" s="1373"/>
      <c r="C222" s="29"/>
      <c r="D222" s="2"/>
      <c r="E222" s="2"/>
      <c r="F222" s="2"/>
      <c r="G222" s="2"/>
      <c r="H222" s="2"/>
      <c r="I222" s="2"/>
      <c r="J222" s="2"/>
      <c r="K222" s="2"/>
      <c r="L222" s="2"/>
    </row>
    <row r="223" spans="1:12" x14ac:dyDescent="0.3">
      <c r="A223">
        <v>223</v>
      </c>
      <c r="B223" s="1373"/>
      <c r="C223" s="488" t="s">
        <v>2125</v>
      </c>
      <c r="D223" s="194">
        <f>$D$217+$D$218+$D$219</f>
        <v>2.6789E-2</v>
      </c>
      <c r="E223" s="51"/>
      <c r="F223" s="51"/>
      <c r="G223" s="53" t="s">
        <v>23</v>
      </c>
      <c r="H223" s="121" t="s">
        <v>629</v>
      </c>
      <c r="I223" s="53"/>
      <c r="J223" s="53"/>
      <c r="K223" s="53"/>
      <c r="L223" s="53"/>
    </row>
    <row r="224" spans="1:12" x14ac:dyDescent="0.3">
      <c r="A224">
        <v>224</v>
      </c>
      <c r="B224" s="1373"/>
      <c r="C224" s="522" t="s">
        <v>2126</v>
      </c>
      <c r="D224" s="153">
        <f>$D$220+$D$221</f>
        <v>1.79448E-2</v>
      </c>
      <c r="E224" s="192"/>
      <c r="F224" s="192"/>
      <c r="G224" s="3" t="s">
        <v>23</v>
      </c>
      <c r="H224" s="58" t="s">
        <v>629</v>
      </c>
      <c r="I224" s="58"/>
      <c r="J224" s="58"/>
      <c r="K224" s="58"/>
      <c r="L224" s="58"/>
    </row>
    <row r="225" spans="1:12" x14ac:dyDescent="0.3">
      <c r="A225">
        <v>225</v>
      </c>
      <c r="B225" s="1373"/>
      <c r="C225" s="29"/>
      <c r="D225" s="13"/>
      <c r="E225" s="13"/>
      <c r="F225" s="13"/>
      <c r="G225" s="2"/>
      <c r="H225" s="2"/>
      <c r="I225" s="2"/>
      <c r="J225" s="2"/>
      <c r="K225" s="2"/>
      <c r="L225" s="2"/>
    </row>
    <row r="226" spans="1:12" ht="15.65" thickBot="1" x14ac:dyDescent="0.35">
      <c r="A226">
        <v>226</v>
      </c>
      <c r="B226" s="1374"/>
      <c r="C226" s="29" t="s">
        <v>2127</v>
      </c>
      <c r="D226" s="196">
        <f>$D$217+$D$218+$D$219+$D$220+$D$221</f>
        <v>4.4733800000000004E-2</v>
      </c>
      <c r="E226" s="15"/>
      <c r="F226" s="15"/>
      <c r="G226" s="2" t="s">
        <v>23</v>
      </c>
      <c r="H226" s="2"/>
      <c r="I226" s="2"/>
      <c r="J226" s="2"/>
      <c r="K226" s="2"/>
      <c r="L226" s="2"/>
    </row>
    <row r="227" spans="1:12" x14ac:dyDescent="0.3">
      <c r="A227">
        <v>227</v>
      </c>
      <c r="C227" s="2"/>
      <c r="D227" s="2"/>
      <c r="E227" s="2"/>
      <c r="F227" s="2"/>
      <c r="G227" s="2"/>
      <c r="H227" s="2"/>
      <c r="I227" s="2"/>
      <c r="J227" s="2"/>
      <c r="K227" s="2"/>
      <c r="L227" s="2"/>
    </row>
    <row r="228" spans="1:12" x14ac:dyDescent="0.3">
      <c r="A228">
        <v>228</v>
      </c>
      <c r="B228" s="228" t="s">
        <v>1256</v>
      </c>
      <c r="C228" s="24" t="s">
        <v>793</v>
      </c>
      <c r="D228" s="21"/>
      <c r="E228" s="21"/>
      <c r="F228" s="21"/>
      <c r="G228" s="24"/>
      <c r="H228" s="24"/>
      <c r="I228" s="24"/>
      <c r="J228" s="24"/>
      <c r="K228" s="24"/>
      <c r="L228" s="24"/>
    </row>
    <row r="229" spans="1:12" ht="15.65" thickBot="1" x14ac:dyDescent="0.35">
      <c r="A229">
        <v>229</v>
      </c>
      <c r="C229" s="2"/>
      <c r="D229" s="2"/>
      <c r="E229" s="2"/>
      <c r="F229" s="2"/>
      <c r="G229" s="2"/>
      <c r="H229" s="2"/>
      <c r="I229" s="2"/>
      <c r="J229" s="2"/>
      <c r="K229" s="2"/>
      <c r="L229" s="2"/>
    </row>
    <row r="230" spans="1:12" ht="15.05" customHeight="1" x14ac:dyDescent="0.3">
      <c r="A230">
        <v>230</v>
      </c>
      <c r="B230" s="1372" t="s">
        <v>2128</v>
      </c>
      <c r="C230" s="542" t="s">
        <v>2053</v>
      </c>
      <c r="D230" s="179">
        <f>$D$176*$D$129/1000000</f>
        <v>0.42953400000000003</v>
      </c>
      <c r="E230" s="193"/>
      <c r="F230" s="193"/>
      <c r="G230" s="57" t="s">
        <v>23</v>
      </c>
      <c r="H230" s="48" t="s">
        <v>629</v>
      </c>
      <c r="I230" s="57"/>
      <c r="J230" s="57"/>
      <c r="K230" s="57"/>
      <c r="L230" s="57"/>
    </row>
    <row r="231" spans="1:12" x14ac:dyDescent="0.3">
      <c r="A231">
        <v>231</v>
      </c>
      <c r="B231" s="1308"/>
      <c r="C231" s="477" t="s">
        <v>2054</v>
      </c>
      <c r="D231" s="68" t="s">
        <v>1833</v>
      </c>
      <c r="E231" s="68"/>
      <c r="F231" s="68"/>
      <c r="G231" s="68"/>
      <c r="H231" s="68"/>
      <c r="I231" s="68"/>
      <c r="J231" s="68"/>
      <c r="K231" s="68"/>
      <c r="L231" s="68"/>
    </row>
    <row r="232" spans="1:12" x14ac:dyDescent="0.3">
      <c r="A232">
        <v>232</v>
      </c>
      <c r="B232" s="1308"/>
      <c r="C232" s="488" t="s">
        <v>2055</v>
      </c>
      <c r="D232" s="194">
        <f>$D$178*$D$131/1000000</f>
        <v>2.6349999999999998E-2</v>
      </c>
      <c r="E232" s="51"/>
      <c r="F232" s="51"/>
      <c r="G232" s="53" t="s">
        <v>23</v>
      </c>
      <c r="H232" s="121" t="s">
        <v>629</v>
      </c>
      <c r="I232" s="53"/>
      <c r="J232" s="53"/>
      <c r="K232" s="53"/>
      <c r="L232" s="53"/>
    </row>
    <row r="233" spans="1:12" x14ac:dyDescent="0.3">
      <c r="A233">
        <v>233</v>
      </c>
      <c r="B233" s="1308"/>
      <c r="C233" s="519" t="s">
        <v>2056</v>
      </c>
      <c r="D233" s="344">
        <f>$D$179*$D$132/1000000</f>
        <v>3.0340799999999998E-2</v>
      </c>
      <c r="E233" s="417"/>
      <c r="F233" s="417"/>
      <c r="G233" s="166" t="s">
        <v>23</v>
      </c>
      <c r="H233" s="165" t="s">
        <v>629</v>
      </c>
      <c r="I233" s="166"/>
      <c r="J233" s="166"/>
      <c r="K233" s="166"/>
      <c r="L233" s="166"/>
    </row>
    <row r="234" spans="1:12" x14ac:dyDescent="0.3">
      <c r="A234">
        <v>234</v>
      </c>
      <c r="B234" s="1308"/>
      <c r="C234" s="472" t="s">
        <v>1273</v>
      </c>
      <c r="D234" s="426">
        <f>$D$180*$D$133/1000000</f>
        <v>2.1059999999999994E-3</v>
      </c>
      <c r="E234" s="425"/>
      <c r="F234" s="425"/>
      <c r="G234" s="375"/>
      <c r="H234" s="422"/>
      <c r="I234" s="375"/>
      <c r="J234" s="375"/>
      <c r="K234" s="375"/>
      <c r="L234" s="375"/>
    </row>
    <row r="235" spans="1:12" x14ac:dyDescent="0.3">
      <c r="A235">
        <v>235</v>
      </c>
      <c r="B235" s="1308"/>
      <c r="C235" s="522" t="s">
        <v>2057</v>
      </c>
      <c r="D235" s="153">
        <f>$D$181*$D$134/1000000</f>
        <v>3.1387999999999999E-2</v>
      </c>
      <c r="E235" s="192"/>
      <c r="F235" s="192"/>
      <c r="G235" s="3" t="s">
        <v>23</v>
      </c>
      <c r="H235" s="58" t="s">
        <v>629</v>
      </c>
      <c r="I235" s="3"/>
      <c r="J235" s="3"/>
      <c r="K235" s="3"/>
      <c r="L235" s="3"/>
    </row>
    <row r="236" spans="1:12" x14ac:dyDescent="0.3">
      <c r="A236">
        <v>236</v>
      </c>
      <c r="B236" s="1308"/>
      <c r="C236" s="585" t="s">
        <v>1301</v>
      </c>
      <c r="D236" s="390">
        <f>$D$182*$D$135/1000000</f>
        <v>7.8329999999999997E-3</v>
      </c>
      <c r="E236" s="389"/>
      <c r="F236" s="389"/>
      <c r="G236" s="381" t="s">
        <v>23</v>
      </c>
      <c r="H236" s="381"/>
      <c r="I236" s="381"/>
      <c r="J236" s="376"/>
      <c r="K236" s="376"/>
      <c r="L236" s="376"/>
    </row>
    <row r="237" spans="1:12" x14ac:dyDescent="0.3">
      <c r="A237">
        <v>237</v>
      </c>
      <c r="B237" s="1308"/>
      <c r="C237" s="29"/>
      <c r="D237" s="2"/>
      <c r="E237" s="2"/>
      <c r="F237" s="2"/>
      <c r="G237" s="2"/>
      <c r="H237" s="2"/>
      <c r="I237" s="2"/>
      <c r="J237" s="2"/>
      <c r="K237" s="2"/>
      <c r="L237" s="2"/>
    </row>
    <row r="238" spans="1:12" x14ac:dyDescent="0.3">
      <c r="A238">
        <v>238</v>
      </c>
      <c r="B238" s="1308"/>
      <c r="C238" s="488" t="s">
        <v>2111</v>
      </c>
      <c r="D238" s="194">
        <f>$D$232+$D$233+$D$234</f>
        <v>5.8796799999999996E-2</v>
      </c>
      <c r="E238" s="194"/>
      <c r="F238" s="194"/>
      <c r="G238" s="53" t="s">
        <v>23</v>
      </c>
      <c r="H238" s="121" t="s">
        <v>629</v>
      </c>
      <c r="I238" s="121"/>
      <c r="J238" s="121"/>
      <c r="K238" s="121"/>
      <c r="L238" s="121"/>
    </row>
    <row r="239" spans="1:12" x14ac:dyDescent="0.3">
      <c r="A239">
        <v>239</v>
      </c>
      <c r="B239" s="1308"/>
      <c r="C239" s="596" t="s">
        <v>2112</v>
      </c>
      <c r="D239" s="195">
        <f>$D$235+$D$236</f>
        <v>3.9220999999999999E-2</v>
      </c>
      <c r="E239" s="195"/>
      <c r="F239" s="195"/>
      <c r="G239" s="176" t="s">
        <v>23</v>
      </c>
      <c r="H239" s="175" t="s">
        <v>629</v>
      </c>
      <c r="I239" s="175"/>
      <c r="J239" s="175"/>
      <c r="K239" s="175"/>
      <c r="L239" s="175"/>
    </row>
    <row r="240" spans="1:12" x14ac:dyDescent="0.3">
      <c r="A240">
        <v>240</v>
      </c>
      <c r="B240" s="1308"/>
      <c r="C240" s="29"/>
      <c r="D240" s="2"/>
      <c r="E240" s="2"/>
      <c r="F240" s="2"/>
      <c r="G240" s="2"/>
      <c r="H240" s="2"/>
      <c r="I240" s="2"/>
      <c r="J240" s="2"/>
      <c r="K240" s="2"/>
      <c r="L240" s="2"/>
    </row>
    <row r="241" spans="1:12" ht="15.65" thickBot="1" x14ac:dyDescent="0.35">
      <c r="A241">
        <v>241</v>
      </c>
      <c r="B241" s="1309"/>
      <c r="C241" s="29" t="s">
        <v>2113</v>
      </c>
      <c r="D241" s="134">
        <f>$D$232+$D$233+$D$234+$D$235+$D$236</f>
        <v>9.8017799999999988E-2</v>
      </c>
      <c r="E241" s="196"/>
      <c r="F241" s="196"/>
      <c r="G241" s="2" t="s">
        <v>23</v>
      </c>
      <c r="H241" s="1" t="s">
        <v>794</v>
      </c>
      <c r="I241" s="2"/>
      <c r="J241" s="2"/>
      <c r="K241" s="2"/>
      <c r="L241" s="2"/>
    </row>
    <row r="242" spans="1:12" x14ac:dyDescent="0.3">
      <c r="A242">
        <v>242</v>
      </c>
      <c r="C242" s="2"/>
      <c r="D242" s="1"/>
      <c r="E242" s="1"/>
      <c r="F242" s="1"/>
      <c r="G242" s="2"/>
      <c r="H242" s="2"/>
      <c r="I242" s="2"/>
      <c r="J242" s="2"/>
      <c r="K242" s="2"/>
      <c r="L242" s="2"/>
    </row>
    <row r="243" spans="1:12" x14ac:dyDescent="0.3">
      <c r="A243">
        <v>243</v>
      </c>
      <c r="C243" s="2" t="s">
        <v>795</v>
      </c>
      <c r="D243" s="377">
        <f>$D$211/($D$211+$D$226+$D$241)*100</f>
        <v>11.869770972629496</v>
      </c>
      <c r="E243" s="197"/>
      <c r="F243" s="197"/>
      <c r="G243" s="2" t="s">
        <v>4</v>
      </c>
      <c r="H243" s="1" t="s">
        <v>794</v>
      </c>
      <c r="I243" s="2"/>
      <c r="J243" s="2"/>
      <c r="K243" s="2"/>
      <c r="L243" s="2"/>
    </row>
    <row r="244" spans="1:12" x14ac:dyDescent="0.3">
      <c r="A244">
        <v>244</v>
      </c>
      <c r="C244" s="2" t="s">
        <v>796</v>
      </c>
      <c r="D244" s="377">
        <f>$D$226/($D$211+$D$226+$D$241)*100</f>
        <v>27.617203865067619</v>
      </c>
      <c r="E244" s="197"/>
      <c r="F244" s="197"/>
      <c r="G244" s="2" t="s">
        <v>4</v>
      </c>
      <c r="H244" s="1" t="s">
        <v>794</v>
      </c>
      <c r="I244" s="2"/>
      <c r="J244" s="2"/>
      <c r="K244" s="2"/>
      <c r="L244" s="2"/>
    </row>
    <row r="245" spans="1:12" x14ac:dyDescent="0.3">
      <c r="A245">
        <v>245</v>
      </c>
      <c r="C245" s="2" t="s">
        <v>797</v>
      </c>
      <c r="D245" s="377">
        <f>$D$241/($D$211+$D$226+$D$241)*100</f>
        <v>60.513025162302881</v>
      </c>
      <c r="E245" s="197"/>
      <c r="F245" s="197"/>
      <c r="G245" s="2" t="s">
        <v>4</v>
      </c>
      <c r="H245" s="1" t="s">
        <v>794</v>
      </c>
      <c r="I245" s="2"/>
      <c r="J245" s="2"/>
      <c r="K245" s="2"/>
      <c r="L245" s="2"/>
    </row>
    <row r="246" spans="1:12" x14ac:dyDescent="0.3">
      <c r="A246">
        <v>246</v>
      </c>
      <c r="C246" s="2"/>
      <c r="D246" s="1"/>
      <c r="E246" s="1"/>
      <c r="F246" s="1"/>
      <c r="G246" s="2"/>
      <c r="H246" s="2"/>
      <c r="I246" s="2"/>
      <c r="J246" s="2"/>
      <c r="K246" s="2"/>
      <c r="L246" s="2"/>
    </row>
    <row r="247" spans="1:12" x14ac:dyDescent="0.3">
      <c r="A247">
        <v>247</v>
      </c>
      <c r="B247" s="24" t="s">
        <v>1131</v>
      </c>
      <c r="C247" s="24" t="s">
        <v>1247</v>
      </c>
      <c r="D247" s="24"/>
      <c r="E247" s="24"/>
      <c r="F247" s="24"/>
      <c r="G247" s="24"/>
      <c r="H247" s="24"/>
      <c r="I247" s="24"/>
      <c r="J247" s="24"/>
      <c r="K247" s="24"/>
      <c r="L247" s="24"/>
    </row>
    <row r="248" spans="1:12" ht="15.65" thickBot="1" x14ac:dyDescent="0.35">
      <c r="A248">
        <v>248</v>
      </c>
      <c r="C248" s="2"/>
      <c r="D248" s="2"/>
      <c r="E248" s="2"/>
      <c r="F248" s="2"/>
      <c r="G248" s="2"/>
      <c r="H248" s="2"/>
      <c r="I248" s="2"/>
      <c r="J248" s="2"/>
      <c r="K248" s="2"/>
      <c r="L248" s="2"/>
    </row>
    <row r="249" spans="1:12" ht="15.05" customHeight="1" x14ac:dyDescent="0.3">
      <c r="A249">
        <v>249</v>
      </c>
      <c r="B249" s="1387" t="s">
        <v>2129</v>
      </c>
      <c r="C249" s="542" t="s">
        <v>2058</v>
      </c>
      <c r="D249" s="179">
        <f>$D$203+$D$215+$D$230</f>
        <v>0.64430100000000001</v>
      </c>
      <c r="E249" s="179"/>
      <c r="F249" s="179"/>
      <c r="G249" s="57" t="s">
        <v>23</v>
      </c>
      <c r="H249" s="48" t="s">
        <v>629</v>
      </c>
      <c r="I249" s="57"/>
      <c r="J249" s="57"/>
      <c r="K249" s="57"/>
      <c r="L249" s="57"/>
    </row>
    <row r="250" spans="1:12" x14ac:dyDescent="0.3">
      <c r="A250">
        <v>250</v>
      </c>
      <c r="B250" s="1388"/>
      <c r="C250" s="477" t="s">
        <v>2059</v>
      </c>
      <c r="D250" s="68" t="s">
        <v>1833</v>
      </c>
      <c r="E250" s="68"/>
      <c r="F250" s="68"/>
      <c r="G250" s="68"/>
      <c r="H250" s="68"/>
      <c r="I250" s="68"/>
      <c r="J250" s="68"/>
      <c r="K250" s="68"/>
      <c r="L250" s="68"/>
    </row>
    <row r="251" spans="1:12" x14ac:dyDescent="0.3">
      <c r="A251">
        <v>251</v>
      </c>
      <c r="B251" s="1388"/>
      <c r="C251" s="488" t="s">
        <v>2060</v>
      </c>
      <c r="D251" s="194">
        <f>$D$205+$D$217+$D$232</f>
        <v>4.165E-2</v>
      </c>
      <c r="E251" s="180"/>
      <c r="F251" s="180"/>
      <c r="G251" s="53" t="s">
        <v>23</v>
      </c>
      <c r="H251" s="121" t="s">
        <v>629</v>
      </c>
      <c r="I251" s="53"/>
      <c r="J251" s="53"/>
      <c r="K251" s="53"/>
      <c r="L251" s="53"/>
    </row>
    <row r="252" spans="1:12" x14ac:dyDescent="0.3">
      <c r="A252">
        <v>252</v>
      </c>
      <c r="B252" s="1388"/>
      <c r="C252" s="519" t="s">
        <v>2061</v>
      </c>
      <c r="D252" s="344">
        <f>$D$206+$D$218+$D$233</f>
        <v>4.9556639999999999E-2</v>
      </c>
      <c r="E252" s="418"/>
      <c r="F252" s="418"/>
      <c r="G252" s="166" t="s">
        <v>23</v>
      </c>
      <c r="H252" s="165" t="s">
        <v>629</v>
      </c>
      <c r="I252" s="166"/>
      <c r="J252" s="166"/>
      <c r="K252" s="166"/>
      <c r="L252" s="166"/>
    </row>
    <row r="253" spans="1:12" x14ac:dyDescent="0.3">
      <c r="A253">
        <v>253</v>
      </c>
      <c r="B253" s="1388"/>
      <c r="C253" s="472" t="s">
        <v>1290</v>
      </c>
      <c r="D253" s="426">
        <f>$D$207+$D$219+$D$234</f>
        <v>3.2572799999999991E-3</v>
      </c>
      <c r="E253" s="426"/>
      <c r="F253" s="426"/>
      <c r="G253" s="375" t="s">
        <v>23</v>
      </c>
      <c r="H253" s="422" t="s">
        <v>629</v>
      </c>
      <c r="I253" s="375"/>
      <c r="J253" s="375"/>
      <c r="K253" s="375"/>
      <c r="L253" s="375"/>
    </row>
    <row r="254" spans="1:12" x14ac:dyDescent="0.3">
      <c r="A254">
        <v>254</v>
      </c>
      <c r="B254" s="1388"/>
      <c r="C254" s="522" t="s">
        <v>2062</v>
      </c>
      <c r="D254" s="153">
        <f>$D$208+$D$220+$D$235</f>
        <v>5.5540800000000001E-2</v>
      </c>
      <c r="E254" s="181"/>
      <c r="F254" s="181"/>
      <c r="G254" s="3" t="s">
        <v>23</v>
      </c>
      <c r="H254" s="58" t="s">
        <v>629</v>
      </c>
      <c r="I254" s="3"/>
      <c r="J254" s="3"/>
      <c r="K254" s="3"/>
      <c r="L254" s="3"/>
    </row>
    <row r="255" spans="1:12" x14ac:dyDescent="0.3">
      <c r="A255">
        <v>255</v>
      </c>
      <c r="B255" s="1388"/>
      <c r="C255" s="585" t="s">
        <v>1291</v>
      </c>
      <c r="D255" s="351">
        <f>$D$209+$D$221+$D$236</f>
        <v>1.1973299999999999E-2</v>
      </c>
      <c r="E255" s="390"/>
      <c r="F255" s="390"/>
      <c r="G255" s="381" t="s">
        <v>23</v>
      </c>
      <c r="H255" s="383" t="s">
        <v>629</v>
      </c>
      <c r="I255" s="383"/>
      <c r="J255" s="381"/>
      <c r="K255" s="381"/>
      <c r="L255" s="381"/>
    </row>
    <row r="256" spans="1:12" ht="15.65" thickBot="1" x14ac:dyDescent="0.35">
      <c r="A256">
        <v>256</v>
      </c>
      <c r="B256" s="1388"/>
      <c r="C256" s="509"/>
      <c r="D256" s="131"/>
      <c r="E256" s="131"/>
      <c r="F256" s="131"/>
      <c r="G256" s="131"/>
      <c r="H256" s="2"/>
      <c r="I256" s="2"/>
      <c r="J256" s="2"/>
      <c r="K256" s="2"/>
      <c r="L256" s="2"/>
    </row>
    <row r="257" spans="1:12" s="282" customFormat="1" ht="15.65" thickBot="1" x14ac:dyDescent="0.35">
      <c r="A257">
        <v>257</v>
      </c>
      <c r="B257" s="1388"/>
      <c r="C257" s="597" t="s">
        <v>2322</v>
      </c>
      <c r="D257" s="1193">
        <f>$D$251+$D$252+$D$253+$D$254+$D$255</f>
        <v>0.16197802</v>
      </c>
      <c r="E257" s="371"/>
      <c r="F257" s="371"/>
      <c r="G257" s="275" t="s">
        <v>23</v>
      </c>
      <c r="H257" s="280" t="s">
        <v>629</v>
      </c>
      <c r="I257" s="4"/>
      <c r="J257" s="4"/>
      <c r="K257" s="4"/>
      <c r="L257" s="4"/>
    </row>
    <row r="258" spans="1:12" s="282" customFormat="1" ht="15.65" thickBot="1" x14ac:dyDescent="0.35">
      <c r="A258">
        <v>258</v>
      </c>
      <c r="B258" s="1388"/>
      <c r="C258" s="598"/>
      <c r="D258" s="287"/>
      <c r="E258" s="287"/>
      <c r="F258" s="287"/>
      <c r="G258" s="288"/>
      <c r="H258" s="4"/>
      <c r="I258" s="4"/>
      <c r="J258" s="4"/>
      <c r="K258" s="4"/>
      <c r="L258" s="4"/>
    </row>
    <row r="259" spans="1:12" s="282" customFormat="1" ht="15.65" thickBot="1" x14ac:dyDescent="0.35">
      <c r="A259">
        <v>259</v>
      </c>
      <c r="B259" s="1389"/>
      <c r="C259" s="597" t="s">
        <v>2321</v>
      </c>
      <c r="D259" s="1193">
        <f>D257/'Table S1.1 (complete_data)'!$D$110*100</f>
        <v>0.65198706907473081</v>
      </c>
      <c r="E259" s="371"/>
      <c r="F259" s="371"/>
      <c r="G259" s="275" t="s">
        <v>4</v>
      </c>
      <c r="H259" s="4" t="s">
        <v>629</v>
      </c>
      <c r="I259" s="4"/>
      <c r="J259" s="4"/>
      <c r="K259" s="4"/>
      <c r="L259" s="4"/>
    </row>
    <row r="260" spans="1:12" x14ac:dyDescent="0.3">
      <c r="A260">
        <v>260</v>
      </c>
      <c r="C260" s="30"/>
      <c r="D260" s="155"/>
      <c r="E260" s="155"/>
      <c r="F260" s="155"/>
      <c r="G260" s="30"/>
      <c r="H260" s="2"/>
      <c r="I260" s="2"/>
      <c r="J260" s="2"/>
      <c r="K260" s="2"/>
      <c r="L260" s="2"/>
    </row>
    <row r="261" spans="1:12" x14ac:dyDescent="0.3">
      <c r="A261">
        <v>261</v>
      </c>
      <c r="B261" s="24" t="s">
        <v>798</v>
      </c>
      <c r="C261" s="24" t="s">
        <v>798</v>
      </c>
      <c r="D261" s="21"/>
      <c r="E261" s="21"/>
      <c r="F261" s="21"/>
      <c r="G261" s="21"/>
      <c r="H261" s="21"/>
      <c r="I261" s="21"/>
      <c r="J261" s="21"/>
      <c r="K261" s="21"/>
      <c r="L261" s="21"/>
    </row>
    <row r="262" spans="1:12" x14ac:dyDescent="0.3">
      <c r="A262">
        <v>262</v>
      </c>
      <c r="C262" s="2"/>
      <c r="D262" s="2"/>
      <c r="E262" s="2"/>
      <c r="F262" s="2"/>
      <c r="G262" s="2"/>
      <c r="H262" s="2"/>
      <c r="I262" s="2"/>
      <c r="J262" s="2"/>
      <c r="K262" s="2"/>
      <c r="L262" s="2"/>
    </row>
    <row r="263" spans="1:12" x14ac:dyDescent="0.3">
      <c r="A263">
        <v>263</v>
      </c>
      <c r="C263" s="53" t="s">
        <v>631</v>
      </c>
      <c r="D263" s="180">
        <f>$D$253</f>
        <v>3.2572799999999991E-3</v>
      </c>
      <c r="E263" s="180"/>
      <c r="F263" s="180"/>
      <c r="G263" s="53" t="s">
        <v>23</v>
      </c>
      <c r="H263" s="121" t="s">
        <v>629</v>
      </c>
      <c r="I263" s="53"/>
      <c r="J263" s="53"/>
      <c r="K263" s="53"/>
      <c r="L263" s="53"/>
    </row>
    <row r="264" spans="1:12" x14ac:dyDescent="0.3">
      <c r="A264">
        <v>264</v>
      </c>
      <c r="C264" s="3" t="s">
        <v>632</v>
      </c>
      <c r="D264" s="181">
        <f>$D$255</f>
        <v>1.1973299999999999E-2</v>
      </c>
      <c r="E264" s="181"/>
      <c r="F264" s="181"/>
      <c r="G264" s="3" t="s">
        <v>23</v>
      </c>
      <c r="H264" s="58" t="s">
        <v>629</v>
      </c>
      <c r="I264" s="3"/>
      <c r="J264" s="3"/>
      <c r="K264" s="3"/>
      <c r="L264" s="3"/>
    </row>
    <row r="265" spans="1:12" x14ac:dyDescent="0.3">
      <c r="A265">
        <v>265</v>
      </c>
      <c r="C265" s="2"/>
      <c r="D265" s="2"/>
      <c r="E265" s="2"/>
      <c r="F265" s="2"/>
      <c r="G265" s="2"/>
      <c r="H265" s="2"/>
      <c r="I265" s="2"/>
      <c r="J265" s="2"/>
      <c r="K265" s="2"/>
      <c r="L265" s="2"/>
    </row>
    <row r="266" spans="1:12" x14ac:dyDescent="0.3">
      <c r="A266">
        <v>266</v>
      </c>
      <c r="B266" s="24" t="s">
        <v>799</v>
      </c>
      <c r="C266" s="24" t="s">
        <v>799</v>
      </c>
      <c r="D266" s="24"/>
      <c r="E266" s="24"/>
      <c r="F266" s="24"/>
      <c r="G266" s="24"/>
      <c r="H266" s="24"/>
      <c r="I266" s="24"/>
      <c r="J266" s="24"/>
      <c r="K266" s="24"/>
      <c r="L266" s="24"/>
    </row>
    <row r="267" spans="1:12" ht="15.65" thickBot="1" x14ac:dyDescent="0.35">
      <c r="A267">
        <v>267</v>
      </c>
      <c r="C267" s="4"/>
      <c r="D267" s="4"/>
      <c r="E267" s="4"/>
      <c r="F267" s="4"/>
      <c r="G267" s="4"/>
      <c r="H267" s="4"/>
      <c r="I267" s="11"/>
      <c r="J267" s="11"/>
      <c r="K267" s="11"/>
      <c r="L267" s="11"/>
    </row>
    <row r="268" spans="1:12" x14ac:dyDescent="0.3">
      <c r="A268">
        <v>268</v>
      </c>
      <c r="B268" s="1395" t="s">
        <v>1818</v>
      </c>
      <c r="C268" s="542" t="s">
        <v>2063</v>
      </c>
      <c r="D268" s="185">
        <f>$D$249*$D$6</f>
        <v>29.286409090909089</v>
      </c>
      <c r="E268" s="182"/>
      <c r="F268" s="182"/>
      <c r="G268" s="57" t="s">
        <v>948</v>
      </c>
      <c r="H268" s="57"/>
      <c r="I268" s="57"/>
      <c r="J268" s="57"/>
      <c r="K268" s="57"/>
      <c r="L268" s="57"/>
    </row>
    <row r="269" spans="1:12" x14ac:dyDescent="0.3">
      <c r="A269">
        <v>269</v>
      </c>
      <c r="B269" s="1396"/>
      <c r="C269" s="477" t="s">
        <v>2064</v>
      </c>
      <c r="D269" s="34" t="s">
        <v>1833</v>
      </c>
      <c r="E269" s="34"/>
      <c r="F269" s="34"/>
      <c r="G269" s="34"/>
      <c r="H269" s="34"/>
      <c r="I269" s="34"/>
      <c r="J269" s="34"/>
      <c r="K269" s="34"/>
      <c r="L269" s="34"/>
    </row>
    <row r="270" spans="1:12" x14ac:dyDescent="0.3">
      <c r="A270">
        <v>270</v>
      </c>
      <c r="B270" s="1396"/>
      <c r="C270" s="488" t="s">
        <v>2065</v>
      </c>
      <c r="D270" s="198">
        <f>$D$6*$D$251</f>
        <v>1.8931818181818181</v>
      </c>
      <c r="E270" s="194"/>
      <c r="F270" s="194"/>
      <c r="G270" s="53" t="s">
        <v>965</v>
      </c>
      <c r="H270" s="121" t="s">
        <v>629</v>
      </c>
      <c r="I270" s="53"/>
      <c r="J270" s="53"/>
      <c r="K270" s="53"/>
      <c r="L270" s="53"/>
    </row>
    <row r="271" spans="1:12" x14ac:dyDescent="0.3">
      <c r="A271">
        <v>271</v>
      </c>
      <c r="B271" s="1396"/>
      <c r="C271" s="519" t="s">
        <v>2066</v>
      </c>
      <c r="D271" s="407">
        <f>$D$6*$D$252</f>
        <v>2.2525745454545452</v>
      </c>
      <c r="E271" s="344"/>
      <c r="F271" s="344"/>
      <c r="G271" s="166" t="s">
        <v>965</v>
      </c>
      <c r="H271" s="165" t="s">
        <v>629</v>
      </c>
      <c r="I271" s="166"/>
      <c r="J271" s="166"/>
      <c r="K271" s="166"/>
      <c r="L271" s="166"/>
    </row>
    <row r="272" spans="1:12" x14ac:dyDescent="0.3">
      <c r="A272">
        <v>272</v>
      </c>
      <c r="B272" s="1396"/>
      <c r="C272" s="472" t="s">
        <v>2067</v>
      </c>
      <c r="D272" s="346">
        <f>$D$6*$D$253</f>
        <v>0.14805818181818178</v>
      </c>
      <c r="E272" s="346"/>
      <c r="F272" s="346"/>
      <c r="G272" s="375" t="s">
        <v>965</v>
      </c>
      <c r="H272" s="422" t="s">
        <v>629</v>
      </c>
      <c r="I272" s="375"/>
      <c r="J272" s="375"/>
      <c r="K272" s="375"/>
      <c r="L272" s="375"/>
    </row>
    <row r="273" spans="1:12" x14ac:dyDescent="0.3">
      <c r="A273">
        <v>273</v>
      </c>
      <c r="B273" s="1396"/>
      <c r="C273" s="522" t="s">
        <v>2068</v>
      </c>
      <c r="D273" s="199">
        <f>$D$6*$D$254</f>
        <v>2.5245818181818183</v>
      </c>
      <c r="E273" s="153"/>
      <c r="F273" s="153"/>
      <c r="G273" s="3" t="s">
        <v>965</v>
      </c>
      <c r="H273" s="58" t="s">
        <v>629</v>
      </c>
      <c r="I273" s="3"/>
      <c r="J273" s="3"/>
      <c r="K273" s="3"/>
      <c r="L273" s="3"/>
    </row>
    <row r="274" spans="1:12" x14ac:dyDescent="0.3">
      <c r="A274">
        <v>274</v>
      </c>
      <c r="B274" s="1396"/>
      <c r="C274" s="585" t="s">
        <v>2069</v>
      </c>
      <c r="D274" s="382">
        <f>$D$6*$D$255</f>
        <v>0.54424090909090905</v>
      </c>
      <c r="E274" s="351"/>
      <c r="F274" s="351"/>
      <c r="G274" s="376" t="s">
        <v>965</v>
      </c>
      <c r="H274" s="383" t="s">
        <v>629</v>
      </c>
      <c r="I274" s="376"/>
      <c r="J274" s="376"/>
      <c r="K274" s="376"/>
      <c r="L274" s="376"/>
    </row>
    <row r="275" spans="1:12" x14ac:dyDescent="0.3">
      <c r="A275">
        <v>275</v>
      </c>
      <c r="B275" s="1396"/>
      <c r="C275" s="29"/>
      <c r="D275" s="2"/>
      <c r="E275" s="2"/>
      <c r="F275" s="2"/>
      <c r="G275" s="2"/>
      <c r="H275" s="2"/>
      <c r="I275" s="2"/>
      <c r="J275" s="2"/>
      <c r="K275" s="2"/>
      <c r="L275" s="2"/>
    </row>
    <row r="276" spans="1:12" ht="15.65" thickBot="1" x14ac:dyDescent="0.35">
      <c r="A276">
        <v>276</v>
      </c>
      <c r="B276" s="1397"/>
      <c r="C276" s="488" t="s">
        <v>800</v>
      </c>
      <c r="D276" s="198">
        <f>SUM(D270:D274)</f>
        <v>7.3626372727272731</v>
      </c>
      <c r="E276" s="194"/>
      <c r="F276" s="194"/>
      <c r="G276" s="53" t="s">
        <v>965</v>
      </c>
      <c r="H276" s="121" t="s">
        <v>629</v>
      </c>
      <c r="I276" s="53"/>
      <c r="J276" s="53"/>
      <c r="K276" s="53"/>
      <c r="L276" s="53"/>
    </row>
    <row r="277" spans="1:12" x14ac:dyDescent="0.3">
      <c r="A277">
        <v>277</v>
      </c>
      <c r="C277" s="2"/>
      <c r="D277" s="1"/>
      <c r="E277" s="1"/>
      <c r="F277" s="1"/>
      <c r="G277" s="2"/>
      <c r="H277" s="2"/>
      <c r="I277" s="2"/>
      <c r="J277" s="2"/>
      <c r="K277" s="2"/>
      <c r="L277" s="2"/>
    </row>
    <row r="278" spans="1:12" x14ac:dyDescent="0.3">
      <c r="A278">
        <v>278</v>
      </c>
      <c r="B278" s="24" t="s">
        <v>1132</v>
      </c>
      <c r="C278" s="24" t="s">
        <v>801</v>
      </c>
      <c r="D278" s="24"/>
      <c r="E278" s="24"/>
      <c r="F278" s="24"/>
      <c r="G278" s="24"/>
      <c r="H278" s="24"/>
      <c r="I278" s="24"/>
      <c r="J278" s="24"/>
      <c r="K278" s="24"/>
      <c r="L278" s="24"/>
    </row>
    <row r="279" spans="1:12" x14ac:dyDescent="0.3">
      <c r="A279">
        <v>279</v>
      </c>
      <c r="C279" s="375" t="s">
        <v>802</v>
      </c>
      <c r="D279" s="346">
        <f>$D$272</f>
        <v>0.14805818181818178</v>
      </c>
      <c r="E279" s="346"/>
      <c r="F279" s="346"/>
      <c r="G279" s="375" t="s">
        <v>948</v>
      </c>
      <c r="H279" s="422" t="s">
        <v>629</v>
      </c>
      <c r="I279" s="375"/>
      <c r="J279" s="375"/>
      <c r="K279" s="375"/>
      <c r="L279" s="375"/>
    </row>
    <row r="280" spans="1:12" x14ac:dyDescent="0.3">
      <c r="A280">
        <v>280</v>
      </c>
      <c r="C280" s="376" t="s">
        <v>803</v>
      </c>
      <c r="D280" s="382">
        <f>$D$6*$D$264</f>
        <v>0.54424090909090905</v>
      </c>
      <c r="E280" s="351"/>
      <c r="F280" s="351"/>
      <c r="G280" s="376" t="s">
        <v>948</v>
      </c>
      <c r="H280" s="383" t="s">
        <v>629</v>
      </c>
      <c r="I280" s="376"/>
      <c r="J280" s="376"/>
      <c r="K280" s="376"/>
      <c r="L280" s="376"/>
    </row>
    <row r="281" spans="1:12" x14ac:dyDescent="0.3">
      <c r="A281">
        <v>281</v>
      </c>
      <c r="C281" s="2"/>
      <c r="D281" s="2"/>
      <c r="E281" s="2"/>
      <c r="F281" s="2"/>
      <c r="G281" s="2"/>
      <c r="H281" s="2"/>
      <c r="I281" s="2"/>
      <c r="J281" s="2"/>
      <c r="K281" s="2"/>
      <c r="L281" s="2"/>
    </row>
    <row r="282" spans="1:12" x14ac:dyDescent="0.3">
      <c r="A282">
        <v>282</v>
      </c>
      <c r="B282" s="24" t="s">
        <v>1125</v>
      </c>
      <c r="C282" s="24" t="s">
        <v>1126</v>
      </c>
      <c r="D282" s="21"/>
      <c r="E282" s="21"/>
      <c r="F282" s="21"/>
      <c r="G282" s="21"/>
      <c r="H282" s="24"/>
      <c r="I282" s="24"/>
      <c r="J282" s="24"/>
      <c r="K282" s="24"/>
      <c r="L282" s="24"/>
    </row>
    <row r="283" spans="1:12" ht="15.65" thickBot="1" x14ac:dyDescent="0.35">
      <c r="A283">
        <v>283</v>
      </c>
      <c r="C283" s="2"/>
      <c r="D283" s="2"/>
      <c r="E283" s="2"/>
      <c r="F283" s="2"/>
      <c r="G283" s="2"/>
      <c r="H283" s="2"/>
      <c r="I283" s="2"/>
      <c r="J283" s="2"/>
      <c r="K283" s="2"/>
      <c r="L283" s="2"/>
    </row>
    <row r="284" spans="1:12" ht="15.05" customHeight="1" x14ac:dyDescent="0.3">
      <c r="A284">
        <v>284</v>
      </c>
      <c r="B284" s="1372" t="s">
        <v>1819</v>
      </c>
      <c r="C284" s="542" t="s">
        <v>804</v>
      </c>
      <c r="D284" s="185">
        <f>$D$189/$D$5</f>
        <v>520.6611570247934</v>
      </c>
      <c r="E284" s="179"/>
      <c r="F284" s="179"/>
      <c r="G284" s="57" t="s">
        <v>22</v>
      </c>
      <c r="H284" s="48" t="s">
        <v>629</v>
      </c>
      <c r="I284" s="57"/>
      <c r="J284" s="57"/>
      <c r="K284" s="57"/>
      <c r="L284" s="57"/>
    </row>
    <row r="285" spans="1:12" x14ac:dyDescent="0.3">
      <c r="A285">
        <v>285</v>
      </c>
      <c r="B285" s="1373"/>
      <c r="C285" s="29" t="s">
        <v>805</v>
      </c>
      <c r="D285" s="2" t="s">
        <v>1833</v>
      </c>
      <c r="E285" s="2"/>
      <c r="F285" s="2"/>
      <c r="G285" s="2"/>
      <c r="H285" s="2"/>
      <c r="I285" s="2"/>
      <c r="J285" s="2"/>
      <c r="K285" s="2"/>
      <c r="L285" s="2"/>
    </row>
    <row r="286" spans="1:12" x14ac:dyDescent="0.3">
      <c r="A286">
        <v>286</v>
      </c>
      <c r="B286" s="1373"/>
      <c r="C286" s="488" t="s">
        <v>806</v>
      </c>
      <c r="D286" s="187">
        <f>$D$191/$D$5</f>
        <v>404.95867768595042</v>
      </c>
      <c r="E286" s="198"/>
      <c r="F286" s="198"/>
      <c r="G286" s="53" t="s">
        <v>22</v>
      </c>
      <c r="H286" s="121" t="s">
        <v>629</v>
      </c>
      <c r="I286" s="53"/>
      <c r="J286" s="53"/>
      <c r="K286" s="53"/>
      <c r="L286" s="53"/>
    </row>
    <row r="287" spans="1:12" x14ac:dyDescent="0.3">
      <c r="A287">
        <v>287</v>
      </c>
      <c r="B287" s="1373"/>
      <c r="C287" s="519" t="s">
        <v>807</v>
      </c>
      <c r="D287" s="415">
        <f>$D$192/$D$5</f>
        <v>644.62809917355366</v>
      </c>
      <c r="E287" s="407"/>
      <c r="F287" s="407"/>
      <c r="G287" s="166" t="s">
        <v>22</v>
      </c>
      <c r="H287" s="165" t="s">
        <v>629</v>
      </c>
      <c r="I287" s="166"/>
      <c r="J287" s="166"/>
      <c r="K287" s="166"/>
      <c r="L287" s="166"/>
    </row>
    <row r="288" spans="1:12" x14ac:dyDescent="0.3">
      <c r="A288">
        <v>288</v>
      </c>
      <c r="B288" s="1373"/>
      <c r="C288" s="472" t="s">
        <v>808</v>
      </c>
      <c r="D288" s="423">
        <f>$D$193/$D$5</f>
        <v>190.08264462809916</v>
      </c>
      <c r="E288" s="406"/>
      <c r="F288" s="406"/>
      <c r="G288" s="375" t="s">
        <v>22</v>
      </c>
      <c r="H288" s="422" t="s">
        <v>629</v>
      </c>
      <c r="I288" s="375"/>
      <c r="J288" s="375"/>
      <c r="K288" s="375"/>
      <c r="L288" s="375"/>
    </row>
    <row r="289" spans="1:12" x14ac:dyDescent="0.3">
      <c r="A289">
        <v>289</v>
      </c>
      <c r="B289" s="1373"/>
      <c r="C289" s="522" t="s">
        <v>809</v>
      </c>
      <c r="D289" s="188">
        <f>$D$194/$D$5</f>
        <v>859.50413223140492</v>
      </c>
      <c r="E289" s="199"/>
      <c r="F289" s="199"/>
      <c r="G289" s="3" t="s">
        <v>22</v>
      </c>
      <c r="H289" s="58" t="s">
        <v>629</v>
      </c>
      <c r="I289" s="3"/>
      <c r="J289" s="3"/>
      <c r="K289" s="3"/>
      <c r="L289" s="3"/>
    </row>
    <row r="290" spans="1:12" x14ac:dyDescent="0.3">
      <c r="A290">
        <v>290</v>
      </c>
      <c r="B290" s="1373"/>
      <c r="C290" s="585" t="s">
        <v>810</v>
      </c>
      <c r="D290" s="387">
        <f>$D$195/$D$5</f>
        <v>264.46280991735534</v>
      </c>
      <c r="E290" s="382"/>
      <c r="F290" s="382"/>
      <c r="G290" s="376" t="s">
        <v>22</v>
      </c>
      <c r="H290" s="383" t="s">
        <v>629</v>
      </c>
      <c r="I290" s="376"/>
      <c r="J290" s="376"/>
      <c r="K290" s="376"/>
      <c r="L290" s="376"/>
    </row>
    <row r="291" spans="1:12" x14ac:dyDescent="0.3">
      <c r="A291">
        <v>291</v>
      </c>
      <c r="B291" s="1373"/>
      <c r="C291" s="29"/>
      <c r="D291" s="2"/>
      <c r="E291" s="2"/>
      <c r="F291" s="2"/>
      <c r="G291" s="2"/>
      <c r="H291" s="2"/>
      <c r="I291" s="2"/>
      <c r="J291" s="2"/>
      <c r="K291" s="2"/>
      <c r="L291" s="2"/>
    </row>
    <row r="292" spans="1:12" ht="15.65" thickBot="1" x14ac:dyDescent="0.35">
      <c r="A292">
        <v>292</v>
      </c>
      <c r="B292" s="1374"/>
      <c r="C292" s="29" t="s">
        <v>2132</v>
      </c>
      <c r="D292" s="377">
        <f>ROUND(SUM(D286:D290),-1)</f>
        <v>2360</v>
      </c>
      <c r="E292" s="197"/>
      <c r="F292" s="197"/>
      <c r="G292" s="2" t="s">
        <v>22</v>
      </c>
      <c r="H292" s="1" t="s">
        <v>629</v>
      </c>
      <c r="I292" s="2"/>
      <c r="J292" s="2"/>
      <c r="K292" s="2"/>
      <c r="L292" s="2"/>
    </row>
    <row r="293" spans="1:12" x14ac:dyDescent="0.3">
      <c r="A293">
        <v>293</v>
      </c>
      <c r="B293" s="1038"/>
      <c r="C293" s="29"/>
      <c r="D293" s="197"/>
      <c r="E293" s="197"/>
      <c r="F293" s="197"/>
      <c r="G293" s="2"/>
      <c r="H293" s="1"/>
      <c r="I293" s="2"/>
      <c r="J293" s="2"/>
      <c r="K293" s="2"/>
      <c r="L293" s="2"/>
    </row>
    <row r="294" spans="1:12" x14ac:dyDescent="0.3">
      <c r="A294">
        <v>294</v>
      </c>
      <c r="B294" s="1037"/>
      <c r="C294" s="29"/>
      <c r="D294" s="197"/>
      <c r="E294" s="197"/>
      <c r="F294" s="197"/>
      <c r="G294" s="2"/>
      <c r="H294" s="1"/>
      <c r="I294" s="2"/>
      <c r="J294" s="2"/>
      <c r="K294" s="2"/>
      <c r="L294" s="2"/>
    </row>
    <row r="295" spans="1:12" x14ac:dyDescent="0.3">
      <c r="A295">
        <v>295</v>
      </c>
      <c r="C295" s="2"/>
      <c r="D295" s="1"/>
      <c r="E295" s="1"/>
      <c r="F295" s="1"/>
      <c r="G295" s="2"/>
      <c r="H295" s="2"/>
      <c r="I295" s="2"/>
      <c r="J295" s="2"/>
      <c r="K295" s="2"/>
      <c r="L295" s="2"/>
    </row>
    <row r="296" spans="1:12" x14ac:dyDescent="0.3">
      <c r="A296">
        <v>296</v>
      </c>
      <c r="B296" s="24" t="s">
        <v>1128</v>
      </c>
      <c r="C296" s="24" t="s">
        <v>1127</v>
      </c>
      <c r="D296" s="24"/>
      <c r="E296" s="24"/>
      <c r="F296" s="24"/>
      <c r="G296" s="24"/>
      <c r="H296" s="24"/>
      <c r="I296" s="24"/>
      <c r="J296" s="24"/>
      <c r="K296" s="24"/>
      <c r="L296" s="24"/>
    </row>
    <row r="297" spans="1:12" ht="15.65" thickBot="1" x14ac:dyDescent="0.35">
      <c r="A297">
        <v>297</v>
      </c>
      <c r="C297" s="2"/>
      <c r="D297" s="2"/>
      <c r="E297" s="2"/>
      <c r="F297" s="2"/>
      <c r="G297" s="2"/>
      <c r="H297" s="2"/>
      <c r="I297" s="2"/>
      <c r="J297" s="2"/>
      <c r="K297" s="2"/>
      <c r="L297" s="2"/>
    </row>
    <row r="298" spans="1:12" ht="15.05" customHeight="1" x14ac:dyDescent="0.3">
      <c r="A298">
        <v>298</v>
      </c>
      <c r="B298" s="1390" t="s">
        <v>2130</v>
      </c>
      <c r="C298" s="542" t="s">
        <v>2073</v>
      </c>
      <c r="D298" s="185">
        <f>ROUND(($D$249/$D$5)*1000000,-2)</f>
        <v>5300</v>
      </c>
      <c r="E298" s="200"/>
      <c r="F298" s="200"/>
      <c r="G298" s="57" t="s">
        <v>811</v>
      </c>
      <c r="H298" s="48" t="s">
        <v>629</v>
      </c>
      <c r="I298" s="57"/>
      <c r="J298" s="57"/>
      <c r="K298" s="57"/>
      <c r="L298" s="57"/>
    </row>
    <row r="299" spans="1:12" x14ac:dyDescent="0.3">
      <c r="A299">
        <v>299</v>
      </c>
      <c r="B299" s="1391"/>
      <c r="C299" s="477" t="s">
        <v>2072</v>
      </c>
      <c r="D299" s="2" t="s">
        <v>1833</v>
      </c>
      <c r="E299" s="2"/>
      <c r="F299" s="2"/>
      <c r="G299" s="2"/>
      <c r="H299" s="2"/>
      <c r="I299" s="2"/>
      <c r="J299" s="2"/>
      <c r="K299" s="2"/>
      <c r="L299" s="2"/>
    </row>
    <row r="300" spans="1:12" x14ac:dyDescent="0.3">
      <c r="A300">
        <v>300</v>
      </c>
      <c r="B300" s="1391"/>
      <c r="C300" s="502" t="s">
        <v>2071</v>
      </c>
      <c r="D300" s="187">
        <f>ROUND(($D$251/$D$5)*1000000,-1)</f>
        <v>340</v>
      </c>
      <c r="E300" s="198"/>
      <c r="F300" s="198"/>
      <c r="G300" s="53" t="s">
        <v>811</v>
      </c>
      <c r="H300" s="121" t="s">
        <v>629</v>
      </c>
      <c r="I300" s="53"/>
      <c r="J300" s="53"/>
      <c r="K300" s="53"/>
      <c r="L300" s="53"/>
    </row>
    <row r="301" spans="1:12" x14ac:dyDescent="0.3">
      <c r="A301">
        <v>301</v>
      </c>
      <c r="B301" s="1391"/>
      <c r="C301" s="503" t="s">
        <v>2070</v>
      </c>
      <c r="D301" s="415">
        <f>ROUND((D252/D5)*1000000,-1)</f>
        <v>410</v>
      </c>
      <c r="E301" s="407"/>
      <c r="F301" s="407"/>
      <c r="G301" s="166" t="s">
        <v>811</v>
      </c>
      <c r="H301" s="165" t="s">
        <v>629</v>
      </c>
      <c r="I301" s="166"/>
      <c r="J301" s="166"/>
      <c r="K301" s="166"/>
      <c r="L301" s="166"/>
    </row>
    <row r="302" spans="1:12" x14ac:dyDescent="0.3">
      <c r="A302">
        <v>302</v>
      </c>
      <c r="B302" s="1391"/>
      <c r="C302" s="504" t="s">
        <v>2076</v>
      </c>
      <c r="D302" s="423">
        <f>($D$253/$D$5)*1000000</f>
        <v>26.919669421487598</v>
      </c>
      <c r="E302" s="406"/>
      <c r="F302" s="406"/>
      <c r="G302" s="375" t="s">
        <v>811</v>
      </c>
      <c r="H302" s="422" t="s">
        <v>629</v>
      </c>
      <c r="I302" s="375"/>
      <c r="J302" s="375"/>
      <c r="K302" s="375"/>
      <c r="L302" s="375"/>
    </row>
    <row r="303" spans="1:12" x14ac:dyDescent="0.3">
      <c r="A303">
        <v>303</v>
      </c>
      <c r="B303" s="1391"/>
      <c r="C303" s="487" t="s">
        <v>2074</v>
      </c>
      <c r="D303" s="188">
        <f>ROUND(($D$254/$D$5)*1000000,-1)</f>
        <v>460</v>
      </c>
      <c r="E303" s="199"/>
      <c r="F303" s="199"/>
      <c r="G303" s="52" t="s">
        <v>811</v>
      </c>
      <c r="H303" s="58" t="s">
        <v>629</v>
      </c>
      <c r="I303" s="58"/>
      <c r="J303" s="58"/>
      <c r="K303" s="58"/>
      <c r="L303" s="58"/>
    </row>
    <row r="304" spans="1:12" x14ac:dyDescent="0.3">
      <c r="A304">
        <v>304</v>
      </c>
      <c r="B304" s="1391"/>
      <c r="C304" s="587" t="s">
        <v>2075</v>
      </c>
      <c r="D304" s="387">
        <f>ROUND(($D$255/$D$5)*1000000,-1)</f>
        <v>100</v>
      </c>
      <c r="E304" s="382"/>
      <c r="F304" s="382"/>
      <c r="G304" s="381" t="s">
        <v>812</v>
      </c>
      <c r="H304" s="383" t="s">
        <v>629</v>
      </c>
      <c r="I304" s="383"/>
      <c r="J304" s="383"/>
      <c r="K304" s="383"/>
      <c r="L304" s="383"/>
    </row>
    <row r="305" spans="1:12" x14ac:dyDescent="0.3">
      <c r="A305">
        <v>305</v>
      </c>
      <c r="B305" s="1391"/>
      <c r="C305" s="490"/>
      <c r="D305" s="286"/>
      <c r="E305" s="286"/>
      <c r="F305" s="286"/>
      <c r="G305" s="286"/>
      <c r="H305" s="286"/>
      <c r="I305" s="115"/>
      <c r="J305" s="115"/>
      <c r="K305" s="115"/>
      <c r="L305" s="115"/>
    </row>
    <row r="306" spans="1:12" ht="15.65" thickBot="1" x14ac:dyDescent="0.35">
      <c r="A306">
        <v>306</v>
      </c>
      <c r="B306" s="1392"/>
      <c r="C306" s="2" t="s">
        <v>2133</v>
      </c>
      <c r="D306" s="377">
        <f>ROUND($D$300+$D$301+$D$302+$D$303+$D$304,-2)</f>
        <v>1300</v>
      </c>
      <c r="E306" s="197"/>
      <c r="F306" s="197"/>
      <c r="G306" s="2" t="s">
        <v>811</v>
      </c>
      <c r="H306" s="1" t="s">
        <v>629</v>
      </c>
      <c r="I306" s="2"/>
      <c r="J306" s="2"/>
      <c r="K306" s="2"/>
      <c r="L306" s="2"/>
    </row>
    <row r="307" spans="1:12" s="302" customFormat="1" x14ac:dyDescent="0.3">
      <c r="A307">
        <v>307</v>
      </c>
      <c r="B307" s="1035"/>
      <c r="D307" s="366"/>
      <c r="E307" s="366"/>
      <c r="F307" s="366"/>
      <c r="H307" s="599"/>
    </row>
    <row r="308" spans="1:12" s="302" customFormat="1" x14ac:dyDescent="0.3">
      <c r="A308">
        <v>308</v>
      </c>
    </row>
    <row r="309" spans="1:12" x14ac:dyDescent="0.3">
      <c r="A309">
        <v>309</v>
      </c>
      <c r="B309" s="1" t="s">
        <v>1351</v>
      </c>
      <c r="C309" s="1" t="s">
        <v>1352</v>
      </c>
      <c r="D309" s="2"/>
      <c r="E309" s="2"/>
      <c r="F309" s="2"/>
      <c r="G309" s="2"/>
      <c r="H309" s="2"/>
      <c r="I309" s="2"/>
      <c r="J309" s="2"/>
      <c r="K309" s="2"/>
      <c r="L309" s="2"/>
    </row>
    <row r="310" spans="1:12" x14ac:dyDescent="0.3">
      <c r="A310">
        <v>310</v>
      </c>
      <c r="B310" s="1"/>
      <c r="C310" s="1"/>
      <c r="D310" s="2"/>
      <c r="E310" s="2"/>
      <c r="F310" s="2"/>
      <c r="G310" s="2"/>
      <c r="H310" s="2"/>
      <c r="I310" s="2"/>
      <c r="J310" s="2"/>
      <c r="K310" s="2"/>
      <c r="L310" s="2"/>
    </row>
    <row r="311" spans="1:12" ht="15.05" customHeight="1" x14ac:dyDescent="0.3">
      <c r="A311">
        <v>311</v>
      </c>
      <c r="B311" s="1393" t="s">
        <v>2131</v>
      </c>
      <c r="C311" s="1036" t="s">
        <v>2077</v>
      </c>
      <c r="D311" s="828" t="s">
        <v>1833</v>
      </c>
      <c r="E311" s="828"/>
      <c r="F311" s="828"/>
      <c r="G311" s="828"/>
      <c r="H311" s="828"/>
      <c r="I311" s="828"/>
      <c r="J311" s="828"/>
      <c r="K311" s="828"/>
      <c r="L311" s="828"/>
    </row>
    <row r="312" spans="1:12" x14ac:dyDescent="0.3">
      <c r="A312">
        <v>312</v>
      </c>
      <c r="B312" s="1393"/>
      <c r="C312" s="502" t="s">
        <v>2078</v>
      </c>
      <c r="D312" s="187">
        <f>ROUND((($D$131*$D$166+$D$131*$D$178)/$D$5)*(1/1000000)*1000000,-1)</f>
        <v>320</v>
      </c>
      <c r="E312" s="198"/>
      <c r="F312" s="198"/>
      <c r="G312" s="53" t="s">
        <v>812</v>
      </c>
      <c r="H312" s="121" t="s">
        <v>629</v>
      </c>
      <c r="I312" s="53"/>
      <c r="J312" s="53"/>
      <c r="K312" s="53"/>
      <c r="L312" s="53"/>
    </row>
    <row r="313" spans="1:12" x14ac:dyDescent="0.3">
      <c r="A313">
        <v>313</v>
      </c>
      <c r="B313" s="1393"/>
      <c r="C313" s="503" t="s">
        <v>2079</v>
      </c>
      <c r="D313" s="415">
        <f>ROUND((($D$132*$D$167+$D$132*$D$179)/$D$5)*(1/1000000)*1000000,-1)</f>
        <v>370</v>
      </c>
      <c r="E313" s="407"/>
      <c r="F313" s="407"/>
      <c r="G313" s="166" t="s">
        <v>812</v>
      </c>
      <c r="H313" s="165" t="s">
        <v>629</v>
      </c>
      <c r="I313" s="166"/>
      <c r="J313" s="166"/>
      <c r="K313" s="166"/>
      <c r="L313" s="166"/>
    </row>
    <row r="314" spans="1:12" x14ac:dyDescent="0.3">
      <c r="A314">
        <v>314</v>
      </c>
      <c r="B314" s="1393"/>
      <c r="C314" s="504" t="s">
        <v>2080</v>
      </c>
      <c r="D314" s="423">
        <f>(($D$133*$D$168+$D$133*$D$180)/$D$5)*(1/1000000)*1000000</f>
        <v>25.52727272727272</v>
      </c>
      <c r="E314" s="406"/>
      <c r="F314" s="406"/>
      <c r="G314" s="375" t="s">
        <v>812</v>
      </c>
      <c r="H314" s="422" t="s">
        <v>629</v>
      </c>
      <c r="I314" s="375"/>
      <c r="J314" s="375"/>
      <c r="K314" s="375"/>
      <c r="L314" s="375"/>
    </row>
    <row r="315" spans="1:12" x14ac:dyDescent="0.3">
      <c r="A315">
        <v>315</v>
      </c>
      <c r="B315" s="1393"/>
      <c r="C315" s="487" t="s">
        <v>2081</v>
      </c>
      <c r="D315" s="188">
        <f>ROUND((($D$134*$D$169+D134*D181)/D5)*(1/1000000)*1000000,-1)</f>
        <v>380</v>
      </c>
      <c r="E315" s="199"/>
      <c r="F315" s="199"/>
      <c r="G315" s="52" t="s">
        <v>812</v>
      </c>
      <c r="H315" s="58" t="s">
        <v>629</v>
      </c>
      <c r="I315" s="58"/>
      <c r="J315" s="58"/>
      <c r="K315" s="58"/>
      <c r="L315" s="58"/>
    </row>
    <row r="316" spans="1:12" ht="15.65" thickBot="1" x14ac:dyDescent="0.35">
      <c r="A316">
        <v>316</v>
      </c>
      <c r="B316" s="1394"/>
      <c r="C316" s="587" t="s">
        <v>2082</v>
      </c>
      <c r="D316" s="387">
        <f>ROUND((($D$135*$D$170+ $D$135*$D$182)/$D$5)*(1/1000000)*1000000,-1)</f>
        <v>90</v>
      </c>
      <c r="E316" s="382"/>
      <c r="F316" s="382"/>
      <c r="G316" s="381" t="s">
        <v>812</v>
      </c>
      <c r="H316" s="383" t="s">
        <v>629</v>
      </c>
      <c r="I316" s="383"/>
      <c r="J316" s="383"/>
      <c r="K316" s="383"/>
      <c r="L316" s="383"/>
    </row>
    <row r="318" spans="1:12" x14ac:dyDescent="0.3">
      <c r="B318" s="600"/>
    </row>
    <row r="319" spans="1:12" x14ac:dyDescent="0.3">
      <c r="B319" s="601"/>
    </row>
    <row r="320" spans="1:12" x14ac:dyDescent="0.3">
      <c r="B320" s="601"/>
    </row>
    <row r="321" spans="2:2" x14ac:dyDescent="0.3">
      <c r="B321" s="601"/>
    </row>
  </sheetData>
  <mergeCells count="24">
    <mergeCell ref="B249:B259"/>
    <mergeCell ref="B298:B306"/>
    <mergeCell ref="B311:B316"/>
    <mergeCell ref="B284:B292"/>
    <mergeCell ref="B127:B135"/>
    <mergeCell ref="B137:B145"/>
    <mergeCell ref="B203:B211"/>
    <mergeCell ref="B215:B226"/>
    <mergeCell ref="B230:B241"/>
    <mergeCell ref="B149:B159"/>
    <mergeCell ref="B162:B172"/>
    <mergeCell ref="B174:B185"/>
    <mergeCell ref="B187:B197"/>
    <mergeCell ref="B268:B276"/>
    <mergeCell ref="B9:B19"/>
    <mergeCell ref="B25:B31"/>
    <mergeCell ref="B35:B46"/>
    <mergeCell ref="B48:B60"/>
    <mergeCell ref="B62:B74"/>
    <mergeCell ref="B117:B125"/>
    <mergeCell ref="B78:B86"/>
    <mergeCell ref="B98:B106"/>
    <mergeCell ref="B88:B96"/>
    <mergeCell ref="B110:B11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C18" sqref="C18"/>
    </sheetView>
  </sheetViews>
  <sheetFormatPr baseColWidth="10" defaultRowHeight="15.05" x14ac:dyDescent="0.3"/>
  <cols>
    <col min="1" max="1" width="54.21875" customWidth="1"/>
    <col min="2" max="2" width="26.44140625" customWidth="1"/>
    <col min="3" max="3" width="23.77734375" customWidth="1"/>
    <col min="4" max="4" width="25.5546875" customWidth="1"/>
    <col min="5" max="5" width="29.109375" customWidth="1"/>
    <col min="6" max="6" width="27.109375" customWidth="1"/>
    <col min="7" max="7" width="12.77734375" bestFit="1" customWidth="1"/>
    <col min="8" max="8" width="27.33203125" customWidth="1"/>
    <col min="9" max="9" width="24.6640625" customWidth="1"/>
    <col min="10" max="10" width="24.5546875" customWidth="1"/>
    <col min="11" max="11" width="12.6640625" bestFit="1" customWidth="1"/>
    <col min="12" max="12" width="27.33203125" customWidth="1"/>
    <col min="13" max="13" width="25.5546875" customWidth="1"/>
    <col min="14" max="14" width="25.109375" customWidth="1"/>
  </cols>
  <sheetData>
    <row r="1" spans="1:15" x14ac:dyDescent="0.3">
      <c r="A1" s="228" t="s">
        <v>1822</v>
      </c>
      <c r="B1" s="228"/>
    </row>
    <row r="3" spans="1:15" ht="15.65" thickBot="1" x14ac:dyDescent="0.35">
      <c r="A3" s="1" t="s">
        <v>925</v>
      </c>
      <c r="B3" s="763" t="s">
        <v>734</v>
      </c>
      <c r="C3" s="286" t="s">
        <v>705</v>
      </c>
      <c r="D3" s="374" t="s">
        <v>1208</v>
      </c>
      <c r="E3" s="763" t="s">
        <v>707</v>
      </c>
      <c r="F3" s="1398" t="s">
        <v>746</v>
      </c>
      <c r="G3" s="1399"/>
      <c r="H3" s="1" t="s">
        <v>1209</v>
      </c>
      <c r="I3" s="374" t="s">
        <v>1210</v>
      </c>
      <c r="J3" s="1402" t="s">
        <v>2402</v>
      </c>
      <c r="K3" s="1403"/>
      <c r="L3" s="373" t="s">
        <v>688</v>
      </c>
      <c r="M3" s="373" t="s">
        <v>1211</v>
      </c>
      <c r="N3" s="763" t="s">
        <v>1212</v>
      </c>
    </row>
    <row r="4" spans="1:15" ht="16.3" thickTop="1" thickBot="1" x14ac:dyDescent="0.35">
      <c r="A4" s="699" t="s">
        <v>660</v>
      </c>
      <c r="B4" s="764" t="s">
        <v>1889</v>
      </c>
      <c r="C4" s="766" t="s">
        <v>1833</v>
      </c>
      <c r="D4" s="766" t="s">
        <v>1271</v>
      </c>
      <c r="E4" s="767" t="s">
        <v>1890</v>
      </c>
      <c r="F4" s="1400" t="s">
        <v>1891</v>
      </c>
      <c r="G4" s="1401"/>
      <c r="H4" s="1" t="s">
        <v>1892</v>
      </c>
      <c r="I4" s="766" t="s">
        <v>1833</v>
      </c>
      <c r="J4" s="1404" t="s">
        <v>1888</v>
      </c>
      <c r="K4" s="1403"/>
      <c r="L4" s="1" t="s">
        <v>1894</v>
      </c>
      <c r="M4" s="699" t="s">
        <v>1894</v>
      </c>
      <c r="N4" s="768" t="s">
        <v>1895</v>
      </c>
      <c r="O4" s="706"/>
    </row>
    <row r="5" spans="1:15" ht="16.3" thickTop="1" thickBot="1" x14ac:dyDescent="0.35">
      <c r="A5" s="2" t="s">
        <v>1213</v>
      </c>
      <c r="B5" s="30"/>
      <c r="C5" s="765" t="s">
        <v>1244</v>
      </c>
      <c r="D5" s="30"/>
      <c r="E5" s="744" t="s">
        <v>1214</v>
      </c>
      <c r="F5" s="30" t="s">
        <v>1215</v>
      </c>
      <c r="G5" s="30" t="s">
        <v>1216</v>
      </c>
      <c r="H5" s="2" t="s">
        <v>1257</v>
      </c>
      <c r="I5" s="131"/>
      <c r="J5" s="2" t="s">
        <v>1217</v>
      </c>
      <c r="K5" s="2" t="s">
        <v>1218</v>
      </c>
      <c r="L5" s="232" t="s">
        <v>1243</v>
      </c>
      <c r="M5" s="232" t="s">
        <v>1219</v>
      </c>
      <c r="N5" s="231" t="s">
        <v>1220</v>
      </c>
    </row>
    <row r="6" spans="1:15" ht="16.3" thickTop="1" thickBot="1" x14ac:dyDescent="0.35">
      <c r="A6" s="57" t="s">
        <v>1221</v>
      </c>
      <c r="B6" s="690"/>
      <c r="C6" s="773">
        <v>9</v>
      </c>
      <c r="D6" s="735"/>
      <c r="E6" s="708"/>
      <c r="F6" s="57"/>
      <c r="G6" s="57"/>
      <c r="H6" s="690">
        <v>7</v>
      </c>
      <c r="I6" s="698">
        <v>8</v>
      </c>
      <c r="J6" s="542">
        <v>7.5</v>
      </c>
      <c r="K6" s="57" t="s">
        <v>1222</v>
      </c>
      <c r="L6" s="57"/>
      <c r="M6" s="57">
        <v>6</v>
      </c>
      <c r="N6" s="697"/>
    </row>
    <row r="7" spans="1:15" ht="16.3" thickTop="1" thickBot="1" x14ac:dyDescent="0.35">
      <c r="A7" s="34" t="s">
        <v>1223</v>
      </c>
      <c r="B7" s="691"/>
      <c r="C7" s="774">
        <v>7</v>
      </c>
      <c r="D7" s="778"/>
      <c r="E7" s="779">
        <v>0</v>
      </c>
      <c r="F7" s="783"/>
      <c r="G7" s="34"/>
      <c r="H7" s="34">
        <v>0</v>
      </c>
      <c r="I7" s="695"/>
      <c r="J7" s="34">
        <v>0</v>
      </c>
      <c r="K7" s="34"/>
      <c r="L7" s="34"/>
      <c r="M7" s="795">
        <v>0</v>
      </c>
      <c r="N7" s="796">
        <v>3</v>
      </c>
      <c r="O7" s="706"/>
    </row>
    <row r="8" spans="1:15" ht="16.3" thickTop="1" thickBot="1" x14ac:dyDescent="0.35">
      <c r="A8" s="53" t="s">
        <v>1224</v>
      </c>
      <c r="B8" s="692"/>
      <c r="C8" s="991">
        <v>14</v>
      </c>
      <c r="D8" s="992"/>
      <c r="E8" s="780">
        <v>3</v>
      </c>
      <c r="F8" s="707">
        <v>11.8</v>
      </c>
      <c r="G8" s="784">
        <v>0.4</v>
      </c>
      <c r="H8" s="53">
        <v>4</v>
      </c>
      <c r="I8" s="53"/>
      <c r="J8" s="53">
        <v>5</v>
      </c>
      <c r="K8" s="53" t="s">
        <v>1225</v>
      </c>
      <c r="L8" s="53"/>
      <c r="M8" s="692">
        <v>9</v>
      </c>
      <c r="N8" s="797">
        <v>14</v>
      </c>
      <c r="O8" s="706"/>
    </row>
    <row r="9" spans="1:15" ht="16.3" thickTop="1" thickBot="1" x14ac:dyDescent="0.35">
      <c r="A9" s="166" t="s">
        <v>1226</v>
      </c>
      <c r="B9" s="696"/>
      <c r="C9" s="993">
        <v>11</v>
      </c>
      <c r="D9" s="994"/>
      <c r="E9" s="709">
        <v>8</v>
      </c>
      <c r="F9" s="785">
        <v>11.8</v>
      </c>
      <c r="G9" s="786">
        <v>0.4</v>
      </c>
      <c r="H9" s="166">
        <v>7</v>
      </c>
      <c r="I9" s="166"/>
      <c r="J9" s="166">
        <v>2</v>
      </c>
      <c r="K9" s="166" t="s">
        <v>1227</v>
      </c>
      <c r="L9" s="166"/>
      <c r="M9" s="696">
        <v>7</v>
      </c>
      <c r="N9" s="798">
        <v>6</v>
      </c>
      <c r="O9" s="706"/>
    </row>
    <row r="10" spans="1:15" ht="16.3" thickTop="1" thickBot="1" x14ac:dyDescent="0.35">
      <c r="A10" s="375" t="s">
        <v>1228</v>
      </c>
      <c r="B10" s="693"/>
      <c r="C10" s="989">
        <v>9</v>
      </c>
      <c r="D10" s="776">
        <v>12</v>
      </c>
      <c r="E10" s="711">
        <v>5</v>
      </c>
      <c r="F10" s="787">
        <v>7</v>
      </c>
      <c r="G10" s="788">
        <v>0.4</v>
      </c>
      <c r="H10" s="375">
        <v>2</v>
      </c>
      <c r="I10" s="375"/>
      <c r="J10" s="375">
        <v>4</v>
      </c>
      <c r="K10" s="375" t="s">
        <v>1229</v>
      </c>
      <c r="L10" s="375"/>
      <c r="M10" s="693">
        <v>6</v>
      </c>
      <c r="N10" s="787">
        <v>7</v>
      </c>
      <c r="O10" s="706"/>
    </row>
    <row r="11" spans="1:15" ht="16.3" thickTop="1" thickBot="1" x14ac:dyDescent="0.35">
      <c r="A11" s="3" t="s">
        <v>1230</v>
      </c>
      <c r="B11" s="769"/>
      <c r="C11" s="713">
        <v>3</v>
      </c>
      <c r="D11" s="777"/>
      <c r="E11" s="781">
        <v>6</v>
      </c>
      <c r="F11" s="714">
        <v>5.8</v>
      </c>
      <c r="G11" s="789">
        <v>0.6</v>
      </c>
      <c r="H11" s="3">
        <v>2</v>
      </c>
      <c r="I11" s="791"/>
      <c r="J11" s="3">
        <v>6</v>
      </c>
      <c r="K11" s="3" t="s">
        <v>1231</v>
      </c>
      <c r="L11" s="3"/>
      <c r="M11" s="694">
        <v>5</v>
      </c>
      <c r="N11" s="799">
        <v>10</v>
      </c>
      <c r="O11" s="706"/>
    </row>
    <row r="12" spans="1:15" ht="16.3" thickTop="1" thickBot="1" x14ac:dyDescent="0.35">
      <c r="A12" s="3" t="s">
        <v>1232</v>
      </c>
      <c r="B12" s="769"/>
      <c r="C12" s="713">
        <v>3</v>
      </c>
      <c r="D12" s="714">
        <v>7</v>
      </c>
      <c r="E12" s="781">
        <v>2</v>
      </c>
      <c r="F12" s="714">
        <v>3.46</v>
      </c>
      <c r="G12" s="789">
        <v>0.37</v>
      </c>
      <c r="H12" s="769">
        <v>4</v>
      </c>
      <c r="I12" s="790">
        <v>6</v>
      </c>
      <c r="J12" s="789">
        <v>3</v>
      </c>
      <c r="K12" s="3" t="s">
        <v>1233</v>
      </c>
      <c r="L12" s="3"/>
      <c r="M12" s="694">
        <v>2</v>
      </c>
      <c r="N12" s="714">
        <v>4</v>
      </c>
      <c r="O12" s="706"/>
    </row>
    <row r="13" spans="1:15" ht="16.3" thickTop="1" thickBot="1" x14ac:dyDescent="0.35">
      <c r="B13" s="771"/>
      <c r="D13" s="775"/>
      <c r="E13" s="782"/>
      <c r="F13" s="782"/>
      <c r="I13" s="793"/>
      <c r="N13" s="793"/>
    </row>
    <row r="14" spans="1:15" ht="16.3" thickTop="1" thickBot="1" x14ac:dyDescent="0.35">
      <c r="A14" s="603" t="s">
        <v>1234</v>
      </c>
      <c r="B14" s="772">
        <v>41</v>
      </c>
      <c r="C14" s="770">
        <f>$C$6+$C$8+$C$9+$C$10+$C$11+$C$12</f>
        <v>49</v>
      </c>
      <c r="D14" s="374"/>
      <c r="E14" s="374">
        <f>$E$8+$E$9+$E$10+$E$11+$E$12</f>
        <v>24</v>
      </c>
      <c r="F14" s="377">
        <f>$F$8+$F$9+$F$10+$F$11+$F$12</f>
        <v>39.86</v>
      </c>
      <c r="G14" s="131"/>
      <c r="H14" s="792">
        <f>$H$8+$H$9+$H$10+$H$11+$H$12</f>
        <v>19</v>
      </c>
      <c r="I14" s="794">
        <v>21</v>
      </c>
      <c r="J14" s="727">
        <f>$J$8+$J$9+$J$10+$J$11+$J$12</f>
        <v>20</v>
      </c>
      <c r="K14" s="2"/>
      <c r="L14" s="2">
        <v>42</v>
      </c>
      <c r="M14" s="699">
        <f>$M$8+$M$9+$M$10+$M$11+$M$12</f>
        <v>29</v>
      </c>
      <c r="N14" s="1">
        <f>$N$8+$N$9+$N$10+$N$11+$N$12</f>
        <v>41</v>
      </c>
      <c r="O14" s="40"/>
    </row>
    <row r="15" spans="1:15" ht="15.65" thickTop="1" x14ac:dyDescent="0.3">
      <c r="A15" s="232" t="s">
        <v>821</v>
      </c>
      <c r="B15" s="744"/>
      <c r="C15" s="30"/>
      <c r="D15" s="2"/>
      <c r="E15" s="2"/>
      <c r="F15" s="2" t="s">
        <v>1413</v>
      </c>
      <c r="G15" s="2"/>
      <c r="H15" s="2"/>
      <c r="I15" s="744"/>
      <c r="J15" s="2"/>
      <c r="K15" s="2"/>
      <c r="L15" s="2"/>
      <c r="M15" s="2"/>
      <c r="N15" s="30"/>
    </row>
    <row r="16" spans="1:15" x14ac:dyDescent="0.3">
      <c r="J16" s="228"/>
    </row>
    <row r="17" spans="1:3" x14ac:dyDescent="0.3">
      <c r="B17" s="1" t="s">
        <v>1235</v>
      </c>
      <c r="C17" s="1" t="s">
        <v>1216</v>
      </c>
    </row>
    <row r="18" spans="1:3" x14ac:dyDescent="0.3">
      <c r="A18" s="57" t="s">
        <v>1236</v>
      </c>
      <c r="B18" s="197">
        <f>($C$6+$H$6+$I$6+$J$6+$M$6)/5</f>
        <v>7.5</v>
      </c>
      <c r="C18" s="197">
        <v>1.1200000000000001</v>
      </c>
    </row>
    <row r="19" spans="1:3" x14ac:dyDescent="0.3">
      <c r="A19" s="34" t="s">
        <v>1237</v>
      </c>
      <c r="B19" s="197">
        <f>($C$7+$E$7+$H$7+$J$7+$M$7+$N$7)/6</f>
        <v>1.6666666666666667</v>
      </c>
      <c r="C19" s="197">
        <v>2.9</v>
      </c>
    </row>
    <row r="20" spans="1:3" x14ac:dyDescent="0.3">
      <c r="A20" s="53" t="s">
        <v>1238</v>
      </c>
      <c r="B20" s="197">
        <f>($C$8+$F$8+$H$8+$J$8+$M$8+$N$8)/6</f>
        <v>9.6333333333333329</v>
      </c>
      <c r="C20" s="197">
        <v>4.4000000000000004</v>
      </c>
    </row>
    <row r="21" spans="1:3" x14ac:dyDescent="0.3">
      <c r="A21" s="166" t="s">
        <v>1239</v>
      </c>
      <c r="B21" s="197">
        <f>($C$9+$E$9+$F$9+$H$9+$J$9+$M$9+$N$9)/7</f>
        <v>7.5428571428571427</v>
      </c>
      <c r="C21" s="197">
        <v>3.3</v>
      </c>
    </row>
    <row r="22" spans="1:3" x14ac:dyDescent="0.3">
      <c r="A22" s="375" t="s">
        <v>1240</v>
      </c>
      <c r="B22" s="197">
        <f>($C$10+$D$10+$E$10+$F$10+$H$10+$J$10+$M$10+$N$10)/8</f>
        <v>6.5</v>
      </c>
      <c r="C22" s="197">
        <v>2.2999999999999998</v>
      </c>
    </row>
    <row r="23" spans="1:3" x14ac:dyDescent="0.3">
      <c r="A23" s="3" t="s">
        <v>1241</v>
      </c>
      <c r="B23" s="197">
        <f>($C$11+$E$11+$F$11+$H$11+$J$11+$M$11+$N$11)/7</f>
        <v>5.3999999999999995</v>
      </c>
      <c r="C23" s="197">
        <v>2.6</v>
      </c>
    </row>
    <row r="24" spans="1:3" x14ac:dyDescent="0.3">
      <c r="A24" s="376" t="s">
        <v>1242</v>
      </c>
      <c r="B24" s="197">
        <f>($C$12+$D$12+$E$12+$F$12+$H$12+$I$12+$J$12+$M$12+$N$12)/9</f>
        <v>3.8288888888888888</v>
      </c>
      <c r="C24" s="197">
        <v>1.3</v>
      </c>
    </row>
    <row r="25" spans="1:3" x14ac:dyDescent="0.3">
      <c r="A25" s="410" t="s">
        <v>1286</v>
      </c>
      <c r="B25" s="366">
        <f>SUM(B18:B24)</f>
        <v>42.071746031746031</v>
      </c>
      <c r="C25" s="302"/>
    </row>
    <row r="26" spans="1:3" x14ac:dyDescent="0.3">
      <c r="A26" s="11" t="s">
        <v>1937</v>
      </c>
      <c r="B26" s="197">
        <f>SUM(B18+B20+B21+B22+B23+B24)</f>
        <v>40.405079365079366</v>
      </c>
    </row>
  </sheetData>
  <mergeCells count="4">
    <mergeCell ref="F3:G3"/>
    <mergeCell ref="F4:G4"/>
    <mergeCell ref="J3:K3"/>
    <mergeCell ref="J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22" workbookViewId="0">
      <selection activeCell="B27" sqref="B27"/>
    </sheetView>
  </sheetViews>
  <sheetFormatPr baseColWidth="10" defaultRowHeight="15.05" x14ac:dyDescent="0.3"/>
  <cols>
    <col min="1" max="1" width="28.33203125" bestFit="1" customWidth="1"/>
    <col min="2" max="2" width="6" bestFit="1" customWidth="1"/>
    <col min="3" max="3" width="29" bestFit="1" customWidth="1"/>
    <col min="4" max="4" width="37.109375" bestFit="1" customWidth="1"/>
    <col min="7" max="7" width="15.44140625" customWidth="1"/>
    <col min="8" max="8" width="18.33203125" bestFit="1" customWidth="1"/>
    <col min="9" max="9" width="20.21875" bestFit="1" customWidth="1"/>
  </cols>
  <sheetData>
    <row r="1" spans="1:9" x14ac:dyDescent="0.3">
      <c r="A1" s="228" t="s">
        <v>895</v>
      </c>
      <c r="D1" s="228" t="s">
        <v>310</v>
      </c>
      <c r="E1" s="228" t="s">
        <v>821</v>
      </c>
      <c r="F1" s="228" t="s">
        <v>659</v>
      </c>
      <c r="G1" s="228" t="s">
        <v>822</v>
      </c>
      <c r="H1" s="228" t="s">
        <v>1883</v>
      </c>
      <c r="I1" s="228" t="s">
        <v>643</v>
      </c>
    </row>
    <row r="2" spans="1:9" x14ac:dyDescent="0.3">
      <c r="B2" s="228"/>
    </row>
    <row r="3" spans="1:9" ht="15.65" thickBot="1" x14ac:dyDescent="0.35">
      <c r="A3" s="229" t="s">
        <v>823</v>
      </c>
      <c r="B3" s="679"/>
      <c r="C3" s="66"/>
      <c r="D3" s="66"/>
      <c r="E3" s="66"/>
      <c r="F3" s="66"/>
      <c r="G3" s="66"/>
      <c r="H3" s="66"/>
      <c r="I3" s="66"/>
    </row>
    <row r="4" spans="1:9" ht="16.3" thickTop="1" thickBot="1" x14ac:dyDescent="0.35">
      <c r="A4" s="678" t="s">
        <v>1563</v>
      </c>
      <c r="B4" s="680">
        <v>4.96</v>
      </c>
      <c r="C4" s="220" t="s">
        <v>824</v>
      </c>
      <c r="D4" s="30" t="s">
        <v>825</v>
      </c>
      <c r="E4" s="30" t="s">
        <v>826</v>
      </c>
      <c r="F4" s="231" t="s">
        <v>827</v>
      </c>
      <c r="G4" s="30"/>
      <c r="H4" s="756" t="s">
        <v>1884</v>
      </c>
      <c r="I4" s="30"/>
    </row>
    <row r="5" spans="1:9" ht="15.65" thickTop="1" x14ac:dyDescent="0.3">
      <c r="A5" s="2" t="s">
        <v>828</v>
      </c>
      <c r="B5" s="677">
        <f>'Table S1.1 (complete_data)'!$D$733</f>
        <v>0.15343915343915346</v>
      </c>
      <c r="C5" s="2" t="s">
        <v>824</v>
      </c>
      <c r="D5" s="2" t="s">
        <v>849</v>
      </c>
      <c r="E5" s="2"/>
      <c r="F5" s="2"/>
      <c r="G5" s="2"/>
      <c r="H5" s="2"/>
      <c r="I5" s="2"/>
    </row>
    <row r="6" spans="1:9" ht="15.65" thickBot="1" x14ac:dyDescent="0.35">
      <c r="A6" s="2" t="s">
        <v>829</v>
      </c>
      <c r="B6" s="134">
        <f>($B$4-$B$5)</f>
        <v>4.8065608465608465</v>
      </c>
      <c r="C6" s="2" t="s">
        <v>824</v>
      </c>
      <c r="D6" s="1" t="s">
        <v>794</v>
      </c>
      <c r="E6" s="2"/>
      <c r="F6" s="2"/>
      <c r="G6" s="2"/>
      <c r="H6" s="2"/>
      <c r="I6" s="2"/>
    </row>
    <row r="7" spans="1:9" ht="16.3" thickTop="1" thickBot="1" x14ac:dyDescent="0.35">
      <c r="A7" s="2" t="s">
        <v>830</v>
      </c>
      <c r="B7" s="685">
        <v>3.23</v>
      </c>
      <c r="C7" s="2" t="s">
        <v>831</v>
      </c>
      <c r="D7" s="2" t="s">
        <v>832</v>
      </c>
      <c r="E7" s="2" t="s">
        <v>833</v>
      </c>
      <c r="F7" s="232" t="s">
        <v>685</v>
      </c>
      <c r="G7" s="2" t="s">
        <v>834</v>
      </c>
      <c r="H7" s="756" t="s">
        <v>1885</v>
      </c>
      <c r="I7" s="2" t="s">
        <v>835</v>
      </c>
    </row>
    <row r="8" spans="1:9" ht="16.3" thickTop="1" thickBot="1" x14ac:dyDescent="0.35">
      <c r="A8" s="686" t="s">
        <v>326</v>
      </c>
      <c r="B8" s="687">
        <v>0.32300000000000001</v>
      </c>
      <c r="C8" s="29" t="s">
        <v>831</v>
      </c>
      <c r="D8" s="2" t="s">
        <v>836</v>
      </c>
      <c r="E8" s="687" t="s">
        <v>837</v>
      </c>
      <c r="F8" s="232" t="s">
        <v>685</v>
      </c>
      <c r="G8" s="2" t="s">
        <v>838</v>
      </c>
      <c r="H8" s="756" t="s">
        <v>1886</v>
      </c>
      <c r="I8" s="2"/>
    </row>
    <row r="9" spans="1:9" ht="15.65" thickTop="1" x14ac:dyDescent="0.3">
      <c r="A9" s="2" t="s">
        <v>830</v>
      </c>
      <c r="B9" s="677">
        <f>$B$7/100*$B$6</f>
        <v>0.15525191534391536</v>
      </c>
      <c r="C9" s="2" t="s">
        <v>824</v>
      </c>
      <c r="D9" s="1" t="s">
        <v>794</v>
      </c>
      <c r="E9" s="2"/>
      <c r="F9" s="2"/>
      <c r="G9" s="2"/>
      <c r="H9" s="2"/>
      <c r="I9" s="2"/>
    </row>
    <row r="10" spans="1:9" x14ac:dyDescent="0.3">
      <c r="A10" s="2" t="s">
        <v>326</v>
      </c>
      <c r="B10" s="196">
        <f>$B$8/100*$B$6</f>
        <v>1.5525191534391535E-2</v>
      </c>
      <c r="C10" s="2" t="s">
        <v>824</v>
      </c>
      <c r="D10" s="1" t="s">
        <v>794</v>
      </c>
      <c r="E10" s="2"/>
      <c r="F10" s="2"/>
      <c r="G10" s="2"/>
      <c r="H10" s="2"/>
      <c r="I10" s="2"/>
    </row>
    <row r="11" spans="1:9" x14ac:dyDescent="0.3">
      <c r="A11" s="2" t="s">
        <v>839</v>
      </c>
      <c r="B11" s="134">
        <f>$B$6-$B$10-$B$9</f>
        <v>4.6357837396825401</v>
      </c>
      <c r="C11" s="2" t="s">
        <v>824</v>
      </c>
      <c r="D11" s="1" t="s">
        <v>794</v>
      </c>
      <c r="E11" s="2"/>
      <c r="F11" s="2"/>
      <c r="G11" s="2"/>
      <c r="H11" s="2"/>
      <c r="I11" s="2"/>
    </row>
    <row r="12" spans="1:9" ht="15.65" thickBot="1" x14ac:dyDescent="0.35">
      <c r="A12" s="66" t="s">
        <v>840</v>
      </c>
      <c r="B12" s="66"/>
      <c r="C12" s="66"/>
      <c r="D12" s="66"/>
      <c r="E12" s="66"/>
      <c r="F12" s="230"/>
      <c r="G12" s="230"/>
      <c r="H12" s="230"/>
      <c r="I12" s="230"/>
    </row>
    <row r="13" spans="1:9" ht="16.3" thickTop="1" thickBot="1" x14ac:dyDescent="0.35">
      <c r="A13" s="2" t="s">
        <v>841</v>
      </c>
      <c r="B13" s="680">
        <v>4.96</v>
      </c>
      <c r="C13" s="2" t="s">
        <v>824</v>
      </c>
      <c r="D13" s="2" t="s">
        <v>825</v>
      </c>
      <c r="E13" s="2" t="s">
        <v>1893</v>
      </c>
      <c r="F13" s="2"/>
      <c r="G13" s="2"/>
      <c r="H13" s="756" t="s">
        <v>1884</v>
      </c>
      <c r="I13" s="2"/>
    </row>
    <row r="14" spans="1:9" ht="15.65" thickTop="1" x14ac:dyDescent="0.3">
      <c r="A14" s="2" t="s">
        <v>828</v>
      </c>
      <c r="B14" s="134">
        <f>'Table S1.1 (complete_data)'!$D$734</f>
        <v>7.4358974358974358E-2</v>
      </c>
      <c r="C14" s="2" t="s">
        <v>824</v>
      </c>
      <c r="D14" s="2" t="s">
        <v>849</v>
      </c>
      <c r="E14" s="2"/>
      <c r="F14" s="2"/>
      <c r="G14" s="2"/>
      <c r="H14" s="2"/>
      <c r="I14" s="2"/>
    </row>
    <row r="15" spans="1:9" ht="15.65" thickBot="1" x14ac:dyDescent="0.35">
      <c r="A15" s="2" t="s">
        <v>829</v>
      </c>
      <c r="B15" s="134">
        <f>($B$13-$B$14)</f>
        <v>4.8856410256410259</v>
      </c>
      <c r="C15" s="2" t="s">
        <v>824</v>
      </c>
      <c r="D15" s="1" t="s">
        <v>794</v>
      </c>
      <c r="E15" s="2"/>
      <c r="F15" s="2"/>
      <c r="G15" s="2"/>
      <c r="H15" s="2"/>
      <c r="I15" s="2"/>
    </row>
    <row r="16" spans="1:9" ht="16.3" thickTop="1" thickBot="1" x14ac:dyDescent="0.35">
      <c r="A16" s="2" t="s">
        <v>830</v>
      </c>
      <c r="B16" s="680">
        <v>3.23</v>
      </c>
      <c r="C16" s="2" t="s">
        <v>831</v>
      </c>
      <c r="D16" s="2" t="s">
        <v>832</v>
      </c>
      <c r="E16" s="2" t="s">
        <v>896</v>
      </c>
      <c r="F16" s="232" t="s">
        <v>685</v>
      </c>
      <c r="G16" s="2" t="s">
        <v>834</v>
      </c>
      <c r="H16" s="756" t="s">
        <v>1885</v>
      </c>
      <c r="I16" s="2" t="s">
        <v>835</v>
      </c>
    </row>
    <row r="17" spans="1:9" ht="15.65" thickTop="1" x14ac:dyDescent="0.3">
      <c r="A17" s="2" t="s">
        <v>326</v>
      </c>
      <c r="B17" s="1">
        <f>0.1*$B$16</f>
        <v>0.32300000000000001</v>
      </c>
      <c r="C17" s="2" t="s">
        <v>831</v>
      </c>
      <c r="D17" s="1" t="s">
        <v>794</v>
      </c>
      <c r="E17" s="2"/>
      <c r="F17" s="232"/>
      <c r="G17" s="2"/>
      <c r="H17" s="261"/>
      <c r="I17" s="2"/>
    </row>
    <row r="18" spans="1:9" x14ac:dyDescent="0.3">
      <c r="A18" s="2" t="s">
        <v>830</v>
      </c>
      <c r="B18" s="134">
        <f>$B$16/100*$B$13</f>
        <v>0.16020800000000002</v>
      </c>
      <c r="C18" s="2" t="s">
        <v>842</v>
      </c>
      <c r="D18" s="1" t="s">
        <v>794</v>
      </c>
      <c r="E18" s="2"/>
      <c r="F18" s="2"/>
      <c r="G18" s="2"/>
      <c r="H18" s="2"/>
      <c r="I18" s="2"/>
    </row>
    <row r="19" spans="1:9" x14ac:dyDescent="0.3">
      <c r="A19" s="2" t="s">
        <v>326</v>
      </c>
      <c r="B19" s="196">
        <f>$B$17/100*$B$13</f>
        <v>1.6020800000000002E-2</v>
      </c>
      <c r="C19" s="2" t="s">
        <v>824</v>
      </c>
      <c r="D19" s="1" t="s">
        <v>794</v>
      </c>
      <c r="E19" s="2"/>
      <c r="F19" s="2"/>
      <c r="G19" s="2"/>
      <c r="H19" s="2"/>
      <c r="I19" s="2"/>
    </row>
    <row r="20" spans="1:9" x14ac:dyDescent="0.3">
      <c r="A20" s="2" t="s">
        <v>839</v>
      </c>
      <c r="B20" s="134">
        <f>$B$15-$B$18-$B$19</f>
        <v>4.7094122256410262</v>
      </c>
      <c r="C20" s="2" t="s">
        <v>842</v>
      </c>
      <c r="D20" s="1" t="s">
        <v>794</v>
      </c>
      <c r="E20" s="2"/>
      <c r="F20" s="2"/>
      <c r="G20" s="2"/>
      <c r="H20" s="2"/>
      <c r="I20" s="2"/>
    </row>
    <row r="21" spans="1:9" ht="15.65" thickBot="1" x14ac:dyDescent="0.35">
      <c r="A21" s="49" t="s">
        <v>843</v>
      </c>
      <c r="B21" s="682"/>
      <c r="C21" s="49"/>
      <c r="D21" s="49"/>
      <c r="E21" s="49"/>
      <c r="F21" s="49"/>
      <c r="G21" s="758"/>
      <c r="H21" s="49"/>
      <c r="I21" s="49"/>
    </row>
    <row r="22" spans="1:9" ht="16.3" thickTop="1" thickBot="1" x14ac:dyDescent="0.35">
      <c r="A22" s="683" t="s">
        <v>829</v>
      </c>
      <c r="B22" s="684">
        <v>3.77</v>
      </c>
      <c r="C22" s="29" t="s">
        <v>824</v>
      </c>
      <c r="D22" s="2" t="s">
        <v>46</v>
      </c>
      <c r="E22" s="684" t="s">
        <v>844</v>
      </c>
      <c r="F22" s="602" t="s">
        <v>845</v>
      </c>
      <c r="G22" s="759" t="s">
        <v>846</v>
      </c>
      <c r="H22" s="757" t="s">
        <v>1887</v>
      </c>
      <c r="I22" s="2"/>
    </row>
    <row r="23" spans="1:9" ht="16.3" thickTop="1" thickBot="1" x14ac:dyDescent="0.35">
      <c r="A23" s="2" t="s">
        <v>830</v>
      </c>
      <c r="B23" s="688">
        <v>3.23</v>
      </c>
      <c r="C23" s="2" t="s">
        <v>831</v>
      </c>
      <c r="D23" s="2" t="s">
        <v>832</v>
      </c>
      <c r="E23" s="2" t="s">
        <v>833</v>
      </c>
      <c r="F23" s="232" t="s">
        <v>685</v>
      </c>
      <c r="G23" s="30" t="s">
        <v>834</v>
      </c>
      <c r="H23" s="756" t="s">
        <v>1885</v>
      </c>
      <c r="I23" s="2" t="s">
        <v>835</v>
      </c>
    </row>
    <row r="24" spans="1:9" ht="16.3" thickTop="1" thickBot="1" x14ac:dyDescent="0.35">
      <c r="A24" s="686" t="s">
        <v>326</v>
      </c>
      <c r="B24" s="1248">
        <f>0.1*$B$23</f>
        <v>0.32300000000000001</v>
      </c>
      <c r="C24" s="29" t="s">
        <v>831</v>
      </c>
      <c r="D24" s="990" t="s">
        <v>794</v>
      </c>
      <c r="E24" s="689" t="s">
        <v>837</v>
      </c>
      <c r="F24" s="232" t="s">
        <v>685</v>
      </c>
      <c r="G24" s="2" t="s">
        <v>838</v>
      </c>
      <c r="H24" s="756" t="s">
        <v>1886</v>
      </c>
      <c r="I24" s="2"/>
    </row>
    <row r="25" spans="1:9" ht="15.65" thickTop="1" x14ac:dyDescent="0.3">
      <c r="A25" s="2" t="s">
        <v>830</v>
      </c>
      <c r="B25" s="677">
        <f>$B$23/100*$B$22</f>
        <v>0.121771</v>
      </c>
      <c r="C25" s="2" t="s">
        <v>824</v>
      </c>
      <c r="D25" s="1" t="s">
        <v>794</v>
      </c>
      <c r="E25" s="2"/>
      <c r="F25" s="2"/>
      <c r="G25" s="2"/>
      <c r="H25" s="2"/>
      <c r="I25" s="2"/>
    </row>
    <row r="26" spans="1:9" x14ac:dyDescent="0.3">
      <c r="A26" s="2" t="s">
        <v>326</v>
      </c>
      <c r="B26" s="196">
        <f>$B$24/100*$B$22</f>
        <v>1.2177100000000001E-2</v>
      </c>
      <c r="C26" s="2" t="s">
        <v>824</v>
      </c>
      <c r="D26" s="1" t="s">
        <v>794</v>
      </c>
      <c r="E26" s="2"/>
      <c r="F26" s="2"/>
      <c r="G26" s="2"/>
      <c r="H26" s="2"/>
      <c r="I26" s="2"/>
    </row>
    <row r="27" spans="1:9" x14ac:dyDescent="0.3">
      <c r="A27" s="2" t="s">
        <v>839</v>
      </c>
      <c r="B27" s="197">
        <f>$B$22-$B$25-$B$26</f>
        <v>3.6360519</v>
      </c>
      <c r="C27" s="2" t="s">
        <v>824</v>
      </c>
      <c r="D27" s="1" t="s">
        <v>794</v>
      </c>
      <c r="E27" s="2"/>
      <c r="F27" s="2"/>
      <c r="G27" s="2"/>
      <c r="H27" s="2"/>
      <c r="I27" s="2"/>
    </row>
    <row r="28" spans="1:9" ht="15.65" thickBot="1" x14ac:dyDescent="0.35">
      <c r="A28" s="49" t="s">
        <v>847</v>
      </c>
      <c r="B28" s="49"/>
      <c r="C28" s="49"/>
      <c r="D28" s="49"/>
      <c r="E28" s="49"/>
      <c r="F28" s="49"/>
      <c r="G28" s="760"/>
      <c r="H28" s="49"/>
      <c r="I28" s="49"/>
    </row>
    <row r="29" spans="1:9" ht="16.3" thickTop="1" thickBot="1" x14ac:dyDescent="0.35">
      <c r="A29" s="2" t="s">
        <v>829</v>
      </c>
      <c r="B29" s="675">
        <v>3.77</v>
      </c>
      <c r="C29" s="2" t="s">
        <v>824</v>
      </c>
      <c r="D29" s="2" t="s">
        <v>46</v>
      </c>
      <c r="E29" s="2" t="s">
        <v>848</v>
      </c>
      <c r="F29" s="761" t="s">
        <v>845</v>
      </c>
      <c r="G29" s="762" t="s">
        <v>846</v>
      </c>
      <c r="H29" s="757" t="s">
        <v>1887</v>
      </c>
      <c r="I29" s="2"/>
    </row>
    <row r="30" spans="1:9" ht="16.3" thickTop="1" thickBot="1" x14ac:dyDescent="0.35">
      <c r="A30" s="2" t="s">
        <v>830</v>
      </c>
      <c r="B30" s="680">
        <v>3.23</v>
      </c>
      <c r="C30" s="2" t="s">
        <v>831</v>
      </c>
      <c r="D30" s="2" t="s">
        <v>832</v>
      </c>
      <c r="E30" s="2" t="s">
        <v>833</v>
      </c>
      <c r="F30" s="232" t="s">
        <v>685</v>
      </c>
      <c r="G30" s="30" t="s">
        <v>834</v>
      </c>
      <c r="H30" s="756" t="s">
        <v>1885</v>
      </c>
      <c r="I30" s="2" t="s">
        <v>835</v>
      </c>
    </row>
    <row r="31" spans="1:9" ht="15.65" thickTop="1" x14ac:dyDescent="0.3">
      <c r="A31" s="2" t="s">
        <v>326</v>
      </c>
      <c r="B31" s="197">
        <f>0.1*$B$30</f>
        <v>0.32300000000000001</v>
      </c>
      <c r="C31" s="2" t="s">
        <v>831</v>
      </c>
      <c r="D31" s="228" t="s">
        <v>794</v>
      </c>
      <c r="E31" s="2"/>
      <c r="F31" s="232"/>
      <c r="G31" s="2"/>
      <c r="H31" s="2"/>
      <c r="I31" s="2"/>
    </row>
    <row r="32" spans="1:9" x14ac:dyDescent="0.3">
      <c r="A32" s="2" t="s">
        <v>830</v>
      </c>
      <c r="B32" s="134">
        <f>$B$30/100*$B$29</f>
        <v>0.121771</v>
      </c>
      <c r="C32" s="2" t="s">
        <v>824</v>
      </c>
      <c r="D32" s="1" t="s">
        <v>794</v>
      </c>
      <c r="E32" s="2"/>
      <c r="F32" s="2"/>
      <c r="G32" s="2"/>
      <c r="H32" s="2"/>
      <c r="I32" s="2"/>
    </row>
    <row r="33" spans="1:9" x14ac:dyDescent="0.3">
      <c r="A33" s="2" t="s">
        <v>326</v>
      </c>
      <c r="B33" s="196">
        <f>$B$31/100*$B$29</f>
        <v>1.2177100000000001E-2</v>
      </c>
      <c r="C33" s="2" t="s">
        <v>824</v>
      </c>
      <c r="D33" s="1" t="s">
        <v>794</v>
      </c>
      <c r="E33" s="2"/>
      <c r="F33" s="2"/>
      <c r="G33" s="2"/>
      <c r="H33" s="2"/>
      <c r="I33" s="2"/>
    </row>
    <row r="34" spans="1:9" x14ac:dyDescent="0.3">
      <c r="A34" s="2" t="s">
        <v>839</v>
      </c>
      <c r="B34" s="197">
        <f>$B$29-$B$32-$B$33</f>
        <v>3.6360519</v>
      </c>
      <c r="C34" s="2" t="s">
        <v>824</v>
      </c>
      <c r="D34" s="1" t="s">
        <v>794</v>
      </c>
      <c r="E34" s="2"/>
      <c r="F34" s="2"/>
      <c r="G34" s="2"/>
      <c r="H34" s="2"/>
      <c r="I34" s="2"/>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9"/>
  <sheetViews>
    <sheetView zoomScale="95" zoomScaleNormal="95" workbookViewId="0">
      <pane ySplit="2" topLeftCell="A173" activePane="bottomLeft" state="frozen"/>
      <selection pane="bottomLeft" activeCell="C274" sqref="C274"/>
    </sheetView>
  </sheetViews>
  <sheetFormatPr baseColWidth="10" defaultRowHeight="15.05" x14ac:dyDescent="0.3"/>
  <cols>
    <col min="1" max="1" width="27.44140625" bestFit="1" customWidth="1"/>
    <col min="2" max="2" width="114.33203125" bestFit="1" customWidth="1"/>
    <col min="3" max="3" width="21.6640625" customWidth="1"/>
    <col min="4" max="4" width="17.109375" bestFit="1" customWidth="1"/>
    <col min="5" max="5" width="17.109375" customWidth="1"/>
    <col min="6" max="6" width="18.88671875" bestFit="1" customWidth="1"/>
    <col min="7" max="7" width="32.109375" customWidth="1"/>
    <col min="8" max="8" width="23.21875" customWidth="1"/>
    <col min="9" max="9" width="25.5546875" customWidth="1"/>
    <col min="10" max="10" width="22.44140625" customWidth="1"/>
    <col min="11" max="11" width="25.88671875" customWidth="1"/>
  </cols>
  <sheetData>
    <row r="1" spans="1:12" x14ac:dyDescent="0.3">
      <c r="A1" s="228" t="s">
        <v>2233</v>
      </c>
    </row>
    <row r="2" spans="1:12" x14ac:dyDescent="0.3">
      <c r="C2" s="75" t="s">
        <v>308</v>
      </c>
      <c r="D2" s="75" t="s">
        <v>1832</v>
      </c>
      <c r="E2" s="75" t="s">
        <v>2518</v>
      </c>
      <c r="F2" s="1" t="s">
        <v>309</v>
      </c>
      <c r="G2" s="1" t="s">
        <v>310</v>
      </c>
      <c r="H2" s="1" t="s">
        <v>311</v>
      </c>
      <c r="I2" s="1" t="s">
        <v>642</v>
      </c>
      <c r="J2" s="1" t="s">
        <v>660</v>
      </c>
      <c r="K2" s="1" t="s">
        <v>643</v>
      </c>
    </row>
    <row r="3" spans="1:12" x14ac:dyDescent="0.3">
      <c r="A3" s="302"/>
      <c r="B3" s="10" t="s">
        <v>870</v>
      </c>
      <c r="C3" s="158">
        <f>'Table S1.1 (complete_data)'!$D$6</f>
        <v>121</v>
      </c>
      <c r="D3" s="158">
        <v>17.8</v>
      </c>
      <c r="E3" s="158"/>
      <c r="F3" s="2" t="s">
        <v>21</v>
      </c>
      <c r="G3" s="2" t="s">
        <v>1821</v>
      </c>
      <c r="H3" s="2"/>
      <c r="I3" s="2"/>
      <c r="J3" s="2"/>
      <c r="K3" s="2"/>
    </row>
    <row r="4" spans="1:12" x14ac:dyDescent="0.3">
      <c r="A4" s="302"/>
      <c r="B4" s="66" t="s">
        <v>2410</v>
      </c>
      <c r="C4" s="1101">
        <v>0.15</v>
      </c>
      <c r="D4" s="1097"/>
      <c r="E4" s="1097"/>
      <c r="F4" s="66" t="s">
        <v>84</v>
      </c>
      <c r="G4" s="66" t="s">
        <v>2449</v>
      </c>
      <c r="H4" s="65" t="s">
        <v>2438</v>
      </c>
      <c r="I4" s="65" t="s">
        <v>2426</v>
      </c>
      <c r="J4" s="66" t="s">
        <v>2453</v>
      </c>
      <c r="K4" s="66" t="s">
        <v>2429</v>
      </c>
    </row>
    <row r="5" spans="1:12" x14ac:dyDescent="0.3">
      <c r="A5" s="302"/>
      <c r="B5" s="66" t="s">
        <v>2411</v>
      </c>
      <c r="C5" s="1101">
        <v>0.15</v>
      </c>
      <c r="D5" s="1097"/>
      <c r="E5" s="1097"/>
      <c r="F5" s="66" t="s">
        <v>84</v>
      </c>
      <c r="G5" s="66" t="s">
        <v>2449</v>
      </c>
      <c r="H5" s="66" t="s">
        <v>2439</v>
      </c>
      <c r="I5" s="66" t="s">
        <v>1897</v>
      </c>
      <c r="J5" s="66"/>
      <c r="K5" s="66"/>
    </row>
    <row r="6" spans="1:12" ht="15.65" thickBot="1" x14ac:dyDescent="0.35">
      <c r="A6" s="302"/>
      <c r="B6" s="66" t="s">
        <v>2412</v>
      </c>
      <c r="C6" s="321" t="s">
        <v>2427</v>
      </c>
      <c r="D6" s="1097"/>
      <c r="E6" s="1097"/>
      <c r="F6" s="66"/>
      <c r="G6" s="66"/>
      <c r="H6" s="66"/>
      <c r="I6" s="66"/>
      <c r="J6" s="66"/>
      <c r="K6" s="66"/>
    </row>
    <row r="7" spans="1:12" ht="16.3" thickTop="1" thickBot="1" x14ac:dyDescent="0.35">
      <c r="A7" s="302"/>
      <c r="B7" s="216" t="s">
        <v>2413</v>
      </c>
      <c r="C7" s="1099">
        <v>0.15</v>
      </c>
      <c r="D7" s="216"/>
      <c r="E7" s="216"/>
      <c r="F7" s="216"/>
      <c r="G7" s="216" t="s">
        <v>2153</v>
      </c>
      <c r="H7" s="216" t="s">
        <v>2446</v>
      </c>
      <c r="I7" s="216" t="s">
        <v>1897</v>
      </c>
      <c r="J7" s="216"/>
      <c r="K7" s="216"/>
    </row>
    <row r="8" spans="1:12" ht="15.65" thickTop="1" x14ac:dyDescent="0.3">
      <c r="A8" s="302"/>
      <c r="B8" s="68" t="s">
        <v>2414</v>
      </c>
      <c r="C8" s="68" t="s">
        <v>2427</v>
      </c>
      <c r="D8" s="68"/>
      <c r="E8" s="68"/>
      <c r="F8" s="68"/>
      <c r="G8" s="68"/>
      <c r="H8" s="68"/>
      <c r="I8" s="68"/>
      <c r="J8" s="68"/>
      <c r="K8" s="68"/>
    </row>
    <row r="9" spans="1:12" x14ac:dyDescent="0.3">
      <c r="A9" s="302"/>
      <c r="B9" s="52" t="s">
        <v>2415</v>
      </c>
      <c r="C9" s="52" t="s">
        <v>2427</v>
      </c>
      <c r="D9" s="52"/>
      <c r="E9" s="52"/>
      <c r="F9" s="52"/>
      <c r="G9" s="52"/>
      <c r="H9" s="52"/>
      <c r="I9" s="52"/>
      <c r="J9" s="52"/>
      <c r="K9" s="52"/>
    </row>
    <row r="10" spans="1:12" ht="15.65" thickBot="1" x14ac:dyDescent="0.35">
      <c r="A10" s="302"/>
      <c r="B10" s="49" t="s">
        <v>2416</v>
      </c>
      <c r="C10" s="1102">
        <v>0.15</v>
      </c>
      <c r="D10" s="49"/>
      <c r="E10" s="49"/>
      <c r="F10" s="49" t="s">
        <v>84</v>
      </c>
      <c r="G10" s="49" t="s">
        <v>2449</v>
      </c>
      <c r="H10" s="49" t="s">
        <v>2445</v>
      </c>
      <c r="I10" s="49" t="s">
        <v>2426</v>
      </c>
      <c r="J10" s="49" t="s">
        <v>2453</v>
      </c>
      <c r="K10" s="49" t="s">
        <v>2429</v>
      </c>
    </row>
    <row r="11" spans="1:12" ht="15.65" thickBot="1" x14ac:dyDescent="0.35">
      <c r="A11" s="302"/>
      <c r="B11" s="53" t="s">
        <v>2417</v>
      </c>
      <c r="C11" s="53">
        <v>0.15</v>
      </c>
      <c r="D11" s="53"/>
      <c r="E11" s="53"/>
      <c r="F11" s="53" t="s">
        <v>84</v>
      </c>
      <c r="G11" s="53" t="s">
        <v>707</v>
      </c>
      <c r="H11" s="53" t="s">
        <v>2450</v>
      </c>
      <c r="I11" s="53" t="s">
        <v>696</v>
      </c>
      <c r="J11" s="822" t="s">
        <v>2444</v>
      </c>
      <c r="K11" s="53" t="s">
        <v>2454</v>
      </c>
      <c r="L11" t="s">
        <v>1897</v>
      </c>
    </row>
    <row r="12" spans="1:12" ht="15.65" thickBot="1" x14ac:dyDescent="0.35">
      <c r="A12" s="302"/>
      <c r="B12" s="166" t="s">
        <v>2418</v>
      </c>
      <c r="C12" s="166">
        <v>0.15</v>
      </c>
      <c r="D12" s="166"/>
      <c r="E12" s="166"/>
      <c r="F12" s="166" t="s">
        <v>84</v>
      </c>
      <c r="G12" s="166" t="s">
        <v>707</v>
      </c>
      <c r="H12" s="166" t="s">
        <v>2451</v>
      </c>
      <c r="I12" s="166" t="s">
        <v>696</v>
      </c>
      <c r="J12" s="1100" t="s">
        <v>2444</v>
      </c>
      <c r="K12" s="166" t="s">
        <v>2454</v>
      </c>
      <c r="L12" t="s">
        <v>1897</v>
      </c>
    </row>
    <row r="13" spans="1:12" ht="15.65" thickBot="1" x14ac:dyDescent="0.35">
      <c r="A13" s="302"/>
      <c r="B13" s="375" t="s">
        <v>2419</v>
      </c>
      <c r="C13" s="375">
        <v>0.3</v>
      </c>
      <c r="D13" s="375"/>
      <c r="E13" s="375"/>
      <c r="F13" s="375" t="s">
        <v>84</v>
      </c>
      <c r="G13" s="391" t="s">
        <v>2428</v>
      </c>
      <c r="H13" s="375" t="s">
        <v>2430</v>
      </c>
      <c r="I13" s="375" t="s">
        <v>696</v>
      </c>
      <c r="J13" s="824" t="s">
        <v>2435</v>
      </c>
      <c r="K13" s="824" t="s">
        <v>2431</v>
      </c>
    </row>
    <row r="14" spans="1:12" x14ac:dyDescent="0.3">
      <c r="A14" s="302"/>
      <c r="B14" s="49" t="s">
        <v>2421</v>
      </c>
      <c r="C14" s="49">
        <v>0.15</v>
      </c>
      <c r="D14" s="49"/>
      <c r="E14" s="49"/>
      <c r="F14" s="49" t="s">
        <v>84</v>
      </c>
      <c r="G14" s="49" t="s">
        <v>2449</v>
      </c>
      <c r="H14" s="49" t="s">
        <v>2445</v>
      </c>
      <c r="I14" s="49" t="s">
        <v>2426</v>
      </c>
      <c r="J14" s="49" t="s">
        <v>2453</v>
      </c>
      <c r="K14" s="49" t="s">
        <v>2429</v>
      </c>
    </row>
    <row r="15" spans="1:12" x14ac:dyDescent="0.3">
      <c r="A15" s="302"/>
      <c r="B15" s="66" t="s">
        <v>2420</v>
      </c>
      <c r="C15" s="1097">
        <v>0.5</v>
      </c>
      <c r="D15" s="1097"/>
      <c r="E15" s="1097"/>
      <c r="F15" s="66" t="s">
        <v>84</v>
      </c>
      <c r="G15" s="66" t="s">
        <v>2440</v>
      </c>
      <c r="H15" s="66" t="s">
        <v>2443</v>
      </c>
      <c r="I15" s="66" t="s">
        <v>696</v>
      </c>
      <c r="J15" s="66"/>
      <c r="K15" s="66"/>
    </row>
    <row r="16" spans="1:12" ht="15.65" thickBot="1" x14ac:dyDescent="0.35">
      <c r="A16" s="302"/>
      <c r="B16" s="66" t="s">
        <v>2422</v>
      </c>
      <c r="C16" s="1097">
        <v>0.5</v>
      </c>
      <c r="D16" s="1097"/>
      <c r="E16" s="1097"/>
      <c r="F16" s="66" t="s">
        <v>84</v>
      </c>
      <c r="G16" s="66" t="s">
        <v>2440</v>
      </c>
      <c r="H16" s="66" t="s">
        <v>2441</v>
      </c>
      <c r="I16" s="66" t="s">
        <v>696</v>
      </c>
      <c r="J16" s="66"/>
      <c r="K16" s="66"/>
    </row>
    <row r="17" spans="1:12" ht="15.65" thickBot="1" x14ac:dyDescent="0.35">
      <c r="A17" s="302"/>
      <c r="B17" s="66" t="s">
        <v>2423</v>
      </c>
      <c r="C17" s="1097"/>
      <c r="D17" s="1097"/>
      <c r="E17" s="77" t="s">
        <v>2436</v>
      </c>
      <c r="F17" s="66" t="s">
        <v>84</v>
      </c>
      <c r="G17" s="66" t="s">
        <v>2442</v>
      </c>
      <c r="H17" s="66" t="s">
        <v>2437</v>
      </c>
      <c r="I17" s="66"/>
      <c r="J17" s="881" t="s">
        <v>2455</v>
      </c>
      <c r="K17" s="66" t="s">
        <v>1897</v>
      </c>
      <c r="L17" t="s">
        <v>1897</v>
      </c>
    </row>
    <row r="18" spans="1:12" ht="15.65" thickBot="1" x14ac:dyDescent="0.35">
      <c r="B18" s="3" t="s">
        <v>2424</v>
      </c>
      <c r="C18" s="1098">
        <v>0.15</v>
      </c>
      <c r="D18" s="88"/>
      <c r="E18" s="88"/>
      <c r="F18" s="3" t="s">
        <v>84</v>
      </c>
      <c r="G18" s="52" t="s">
        <v>707</v>
      </c>
      <c r="H18" s="52" t="s">
        <v>2452</v>
      </c>
      <c r="I18" s="3" t="s">
        <v>696</v>
      </c>
      <c r="J18" s="825" t="s">
        <v>2444</v>
      </c>
      <c r="K18" s="3" t="s">
        <v>1897</v>
      </c>
    </row>
    <row r="19" spans="1:12" x14ac:dyDescent="0.3">
      <c r="B19" s="446" t="s">
        <v>2425</v>
      </c>
      <c r="C19" s="1103">
        <v>1</v>
      </c>
      <c r="D19" s="1104">
        <v>0.3</v>
      </c>
      <c r="E19" s="1104"/>
      <c r="F19" s="446" t="s">
        <v>84</v>
      </c>
      <c r="G19" s="37" t="s">
        <v>706</v>
      </c>
      <c r="H19" s="37" t="s">
        <v>2324</v>
      </c>
      <c r="I19" s="37" t="s">
        <v>685</v>
      </c>
      <c r="J19" s="37" t="s">
        <v>1408</v>
      </c>
      <c r="K19" s="37" t="s">
        <v>1270</v>
      </c>
    </row>
    <row r="21" spans="1:12" ht="15.65" thickBot="1" x14ac:dyDescent="0.35"/>
    <row r="22" spans="1:12" ht="15.05" customHeight="1" x14ac:dyDescent="0.3">
      <c r="A22" s="1420" t="s">
        <v>2217</v>
      </c>
      <c r="B22" s="112" t="s">
        <v>2220</v>
      </c>
      <c r="C22" s="2"/>
      <c r="D22" s="2"/>
      <c r="E22" s="2"/>
      <c r="F22" s="2"/>
      <c r="G22" s="2"/>
      <c r="H22" s="2"/>
      <c r="I22" s="2"/>
      <c r="J22" s="2"/>
      <c r="K22" s="2"/>
    </row>
    <row r="23" spans="1:12" x14ac:dyDescent="0.3">
      <c r="A23" s="1393"/>
      <c r="B23" s="327" t="s">
        <v>2365</v>
      </c>
      <c r="C23" s="323">
        <v>175</v>
      </c>
      <c r="D23" s="11">
        <v>9</v>
      </c>
      <c r="E23" s="11"/>
      <c r="F23" s="11" t="s">
        <v>699</v>
      </c>
      <c r="G23" s="11" t="s">
        <v>1975</v>
      </c>
      <c r="H23" s="11" t="s">
        <v>1974</v>
      </c>
      <c r="I23" s="11"/>
      <c r="J23" s="11" t="s">
        <v>1973</v>
      </c>
      <c r="K23" s="11" t="s">
        <v>1976</v>
      </c>
    </row>
    <row r="24" spans="1:12" x14ac:dyDescent="0.3">
      <c r="A24" s="1393"/>
      <c r="B24" s="327" t="s">
        <v>2182</v>
      </c>
      <c r="C24" s="323">
        <v>3</v>
      </c>
      <c r="D24" s="11">
        <v>0.6</v>
      </c>
      <c r="E24" s="11"/>
      <c r="F24" s="11" t="s">
        <v>84</v>
      </c>
      <c r="G24" s="11" t="s">
        <v>1975</v>
      </c>
      <c r="H24" s="11" t="s">
        <v>1977</v>
      </c>
      <c r="I24" s="11" t="s">
        <v>685</v>
      </c>
      <c r="J24" s="11" t="s">
        <v>1973</v>
      </c>
      <c r="K24" s="11" t="s">
        <v>1976</v>
      </c>
    </row>
    <row r="25" spans="1:12" x14ac:dyDescent="0.3">
      <c r="A25" s="1393"/>
      <c r="B25" s="327" t="s">
        <v>2183</v>
      </c>
      <c r="C25" s="1070">
        <v>7.5</v>
      </c>
      <c r="D25" s="11">
        <v>0.15</v>
      </c>
      <c r="E25" s="11"/>
      <c r="F25" s="11" t="s">
        <v>84</v>
      </c>
      <c r="G25" s="11" t="s">
        <v>1975</v>
      </c>
      <c r="H25" s="11" t="s">
        <v>1977</v>
      </c>
      <c r="I25" s="11" t="s">
        <v>685</v>
      </c>
      <c r="J25" s="11" t="s">
        <v>1973</v>
      </c>
      <c r="K25" s="11" t="s">
        <v>1976</v>
      </c>
    </row>
    <row r="26" spans="1:12" x14ac:dyDescent="0.3">
      <c r="A26" s="1393"/>
      <c r="B26" s="327" t="s">
        <v>2364</v>
      </c>
      <c r="C26" s="251">
        <f>ROUND((1/2)*(4*PI()^2*$C$25*$C$24)+2*(PI()*$C$24^2),-1)</f>
        <v>500</v>
      </c>
      <c r="D26" s="11"/>
      <c r="E26" s="11"/>
      <c r="F26" s="11" t="s">
        <v>699</v>
      </c>
      <c r="G26" s="4" t="s">
        <v>629</v>
      </c>
      <c r="H26" s="11" t="s">
        <v>2363</v>
      </c>
      <c r="I26" s="11" t="s">
        <v>1897</v>
      </c>
      <c r="J26" s="11"/>
      <c r="K26" s="11"/>
    </row>
    <row r="27" spans="1:12" x14ac:dyDescent="0.3">
      <c r="A27" s="1393"/>
      <c r="B27" s="1017"/>
      <c r="C27" s="775"/>
      <c r="D27" s="775"/>
      <c r="E27" s="775"/>
      <c r="F27" s="775"/>
      <c r="G27" s="775"/>
      <c r="H27" s="775"/>
      <c r="I27" s="775"/>
      <c r="J27" s="775"/>
      <c r="K27" s="220"/>
    </row>
    <row r="28" spans="1:12" x14ac:dyDescent="0.3">
      <c r="A28" s="1393"/>
      <c r="B28" s="1013" t="s">
        <v>2106</v>
      </c>
      <c r="C28" s="1025">
        <f>'Table S1.1 (complete_data)'!$D$33</f>
        <v>184</v>
      </c>
      <c r="D28" s="1013">
        <v>21</v>
      </c>
      <c r="E28" s="1013"/>
      <c r="F28" s="1013" t="s">
        <v>22</v>
      </c>
      <c r="G28" s="1013" t="s">
        <v>633</v>
      </c>
      <c r="H28" s="1013" t="s">
        <v>1821</v>
      </c>
      <c r="I28" s="1013" t="s">
        <v>871</v>
      </c>
      <c r="J28" s="239" t="s">
        <v>1964</v>
      </c>
      <c r="K28" s="239" t="s">
        <v>644</v>
      </c>
    </row>
    <row r="29" spans="1:12" x14ac:dyDescent="0.3">
      <c r="A29" s="1393"/>
      <c r="B29" s="882" t="s">
        <v>2184</v>
      </c>
      <c r="C29" s="1004">
        <f>'Table S1.1 (complete_data)'!$D$34</f>
        <v>147</v>
      </c>
      <c r="D29" s="1004">
        <v>42</v>
      </c>
      <c r="E29" s="1004"/>
      <c r="F29" s="676" t="s">
        <v>22</v>
      </c>
      <c r="G29" s="676" t="s">
        <v>633</v>
      </c>
      <c r="H29" s="676" t="s">
        <v>1821</v>
      </c>
      <c r="I29" s="676" t="s">
        <v>871</v>
      </c>
      <c r="J29" s="66" t="s">
        <v>1964</v>
      </c>
      <c r="K29" s="66" t="s">
        <v>644</v>
      </c>
    </row>
    <row r="30" spans="1:12" x14ac:dyDescent="0.3">
      <c r="A30" s="1393"/>
      <c r="B30" s="327"/>
      <c r="C30" s="327"/>
      <c r="D30" s="327"/>
      <c r="E30" s="327"/>
      <c r="F30" s="327"/>
      <c r="G30" s="327"/>
      <c r="H30" s="327"/>
      <c r="I30" s="327"/>
      <c r="J30" s="830"/>
      <c r="K30" s="150"/>
      <c r="L30" s="282"/>
    </row>
    <row r="31" spans="1:12" x14ac:dyDescent="0.3">
      <c r="A31" s="1393"/>
      <c r="B31" s="1013" t="s">
        <v>2300</v>
      </c>
      <c r="C31" s="341">
        <f>ROUND($C$3*$C$23*$C$28,-4)</f>
        <v>3900000</v>
      </c>
      <c r="D31" s="239"/>
      <c r="E31" s="239"/>
      <c r="F31" s="239" t="s">
        <v>699</v>
      </c>
      <c r="G31" s="1014" t="s">
        <v>629</v>
      </c>
      <c r="H31" s="239"/>
      <c r="I31" s="239"/>
      <c r="J31" s="239"/>
      <c r="K31" s="239"/>
    </row>
    <row r="32" spans="1:12" x14ac:dyDescent="0.3">
      <c r="A32" s="1393"/>
      <c r="B32" s="482" t="s">
        <v>2301</v>
      </c>
      <c r="C32" s="207">
        <f>ROUND($C$3*$C$23*$C$29,-4)</f>
        <v>3110000</v>
      </c>
      <c r="D32" s="2"/>
      <c r="E32" s="2"/>
      <c r="F32" s="66" t="s">
        <v>699</v>
      </c>
      <c r="G32" s="1" t="s">
        <v>629</v>
      </c>
      <c r="H32" s="2"/>
      <c r="I32" s="2"/>
      <c r="J32" s="302"/>
      <c r="K32" s="326"/>
    </row>
    <row r="33" spans="1:11" x14ac:dyDescent="0.3">
      <c r="A33" s="1393"/>
      <c r="B33" s="1013" t="s">
        <v>2221</v>
      </c>
      <c r="C33" s="1249">
        <f>($C$31/1000000)/$C$3*100</f>
        <v>3.2231404958677685</v>
      </c>
      <c r="D33" s="1013"/>
      <c r="E33" s="1013"/>
      <c r="F33" s="1013" t="s">
        <v>4</v>
      </c>
      <c r="G33" s="1016" t="s">
        <v>629</v>
      </c>
      <c r="H33" s="1013" t="s">
        <v>2323</v>
      </c>
      <c r="I33" s="1013"/>
      <c r="J33" s="1013"/>
      <c r="K33" s="1013"/>
    </row>
    <row r="34" spans="1:11" ht="15.65" thickBot="1" x14ac:dyDescent="0.35">
      <c r="A34" s="1394"/>
      <c r="B34" s="482" t="s">
        <v>2104</v>
      </c>
      <c r="C34" s="255">
        <f>($C$32/1000000)/$C$3*100</f>
        <v>2.5702479338842976</v>
      </c>
      <c r="D34" s="66"/>
      <c r="E34" s="66"/>
      <c r="F34" s="66" t="s">
        <v>4</v>
      </c>
      <c r="G34" s="66" t="s">
        <v>629</v>
      </c>
      <c r="H34" s="66" t="s">
        <v>2323</v>
      </c>
      <c r="I34" s="66"/>
      <c r="J34" s="66"/>
      <c r="K34" s="66"/>
    </row>
    <row r="35" spans="1:11" ht="15.65" thickBot="1" x14ac:dyDescent="0.35">
      <c r="A35" s="1018"/>
    </row>
    <row r="36" spans="1:11" ht="15.05" customHeight="1" x14ac:dyDescent="0.3">
      <c r="A36" s="1427" t="s">
        <v>2167</v>
      </c>
      <c r="B36" s="1013" t="s">
        <v>2222</v>
      </c>
      <c r="C36" s="1013">
        <f>'Table S1.1 (complete_data)'!$D$22</f>
        <v>480</v>
      </c>
      <c r="D36" s="1013">
        <v>30</v>
      </c>
      <c r="E36" s="1013"/>
      <c r="F36" s="1013" t="s">
        <v>22</v>
      </c>
      <c r="G36" s="1013" t="s">
        <v>633</v>
      </c>
      <c r="H36" s="1013" t="s">
        <v>1821</v>
      </c>
      <c r="I36" s="1013"/>
      <c r="J36" s="1013"/>
      <c r="K36" s="1013"/>
    </row>
    <row r="37" spans="1:11" ht="15.05" customHeight="1" x14ac:dyDescent="0.3">
      <c r="A37" s="1428"/>
      <c r="B37" s="1013" t="s">
        <v>2302</v>
      </c>
      <c r="C37" s="341">
        <f>ROUND($C$3*1000000-$C$31,-6)</f>
        <v>117000000</v>
      </c>
      <c r="D37" s="239"/>
      <c r="E37" s="239"/>
      <c r="F37" s="239" t="s">
        <v>699</v>
      </c>
      <c r="G37" s="1014" t="s">
        <v>629</v>
      </c>
      <c r="H37" s="66" t="s">
        <v>2323</v>
      </c>
      <c r="I37" s="239"/>
      <c r="J37" s="239"/>
      <c r="K37" s="239"/>
    </row>
    <row r="38" spans="1:11" x14ac:dyDescent="0.3">
      <c r="A38" s="1428"/>
      <c r="B38" s="1013" t="s">
        <v>2305</v>
      </c>
      <c r="C38" s="341">
        <f>ROUND($C$37/($C$3*$C$36),-1)</f>
        <v>2010</v>
      </c>
      <c r="D38" s="239"/>
      <c r="E38" s="239"/>
      <c r="F38" s="239" t="s">
        <v>699</v>
      </c>
      <c r="G38" s="1014" t="s">
        <v>629</v>
      </c>
      <c r="H38" s="239"/>
      <c r="I38" s="239"/>
      <c r="J38" s="239"/>
      <c r="K38" s="239"/>
    </row>
    <row r="39" spans="1:11" x14ac:dyDescent="0.3">
      <c r="A39" s="1428"/>
      <c r="B39" s="1013" t="s">
        <v>2303</v>
      </c>
      <c r="C39" s="239">
        <v>14</v>
      </c>
      <c r="D39" s="239"/>
      <c r="E39" s="239"/>
      <c r="F39" s="239" t="s">
        <v>44</v>
      </c>
      <c r="G39" s="239" t="s">
        <v>1969</v>
      </c>
      <c r="H39" s="239" t="s">
        <v>1978</v>
      </c>
      <c r="I39" s="239" t="s">
        <v>1897</v>
      </c>
      <c r="J39" s="239" t="s">
        <v>1980</v>
      </c>
      <c r="K39" s="239" t="s">
        <v>1979</v>
      </c>
    </row>
    <row r="40" spans="1:11" x14ac:dyDescent="0.3">
      <c r="A40" s="1428"/>
      <c r="B40" s="1013" t="s">
        <v>2304</v>
      </c>
      <c r="C40" s="341">
        <f>$C$38/$C$39</f>
        <v>143.57142857142858</v>
      </c>
      <c r="D40" s="239"/>
      <c r="E40" s="239"/>
      <c r="F40" s="239" t="s">
        <v>84</v>
      </c>
      <c r="G40" s="1014" t="s">
        <v>629</v>
      </c>
      <c r="H40" s="239"/>
      <c r="I40" s="239"/>
      <c r="J40" s="239"/>
      <c r="K40" s="239"/>
    </row>
    <row r="41" spans="1:11" x14ac:dyDescent="0.3">
      <c r="A41" s="1428"/>
      <c r="B41" s="1013" t="s">
        <v>2306</v>
      </c>
      <c r="C41" s="239">
        <v>6</v>
      </c>
      <c r="D41" s="239"/>
      <c r="E41" s="239"/>
      <c r="F41" s="239" t="s">
        <v>84</v>
      </c>
      <c r="G41" s="239" t="s">
        <v>633</v>
      </c>
      <c r="H41" s="239"/>
      <c r="I41" s="239"/>
      <c r="J41" s="239"/>
      <c r="K41" s="239"/>
    </row>
    <row r="42" spans="1:11" x14ac:dyDescent="0.3">
      <c r="A42" s="1428"/>
      <c r="B42" s="1013" t="s">
        <v>2312</v>
      </c>
      <c r="C42" s="341">
        <f>ROUND($C$40*$C$41,-1)</f>
        <v>860</v>
      </c>
      <c r="D42" s="239"/>
      <c r="E42" s="239"/>
      <c r="F42" s="239" t="s">
        <v>699</v>
      </c>
      <c r="G42" s="1014" t="s">
        <v>629</v>
      </c>
      <c r="H42" s="239" t="s">
        <v>1981</v>
      </c>
      <c r="I42" s="239" t="s">
        <v>1897</v>
      </c>
      <c r="J42" s="1015"/>
      <c r="K42" s="1015"/>
    </row>
    <row r="43" spans="1:11" x14ac:dyDescent="0.3">
      <c r="A43" s="1428"/>
      <c r="B43" s="1013" t="s">
        <v>2313</v>
      </c>
      <c r="C43" s="341">
        <f>ROUND($C$38*2+$C$42,-2)</f>
        <v>4900</v>
      </c>
      <c r="D43" s="239"/>
      <c r="E43" s="239"/>
      <c r="F43" s="239" t="s">
        <v>699</v>
      </c>
      <c r="G43" s="1014" t="s">
        <v>629</v>
      </c>
      <c r="H43" s="239" t="s">
        <v>1981</v>
      </c>
      <c r="I43" s="239" t="s">
        <v>1897</v>
      </c>
      <c r="J43" s="239"/>
      <c r="K43" s="239"/>
    </row>
    <row r="44" spans="1:11" ht="15.65" thickBot="1" x14ac:dyDescent="0.35">
      <c r="A44" s="1429"/>
      <c r="B44" s="1065" t="s">
        <v>2314</v>
      </c>
      <c r="C44" s="341">
        <f>ROUND($C$3*$C$36*$C$43,-6)</f>
        <v>285000000</v>
      </c>
      <c r="D44" s="239"/>
      <c r="E44" s="239"/>
      <c r="F44" s="239" t="s">
        <v>699</v>
      </c>
      <c r="G44" s="1014" t="s">
        <v>629</v>
      </c>
      <c r="H44" s="239"/>
      <c r="I44" s="239"/>
      <c r="J44" s="1015"/>
      <c r="K44" s="1015"/>
    </row>
    <row r="45" spans="1:11" ht="14.4" customHeight="1" thickBot="1" x14ac:dyDescent="0.35">
      <c r="B45" s="1066"/>
    </row>
    <row r="46" spans="1:11" ht="14.4" customHeight="1" x14ac:dyDescent="0.3">
      <c r="A46" s="1430" t="s">
        <v>2166</v>
      </c>
      <c r="B46" s="482" t="s">
        <v>2223</v>
      </c>
      <c r="C46" s="321">
        <f>'Table S1.1 (complete_data)'!$D$23</f>
        <v>350</v>
      </c>
      <c r="D46" s="321">
        <v>50</v>
      </c>
      <c r="E46" s="321"/>
      <c r="F46" s="66" t="s">
        <v>22</v>
      </c>
      <c r="G46" s="66" t="s">
        <v>633</v>
      </c>
      <c r="H46" s="2" t="s">
        <v>1821</v>
      </c>
      <c r="I46" s="2"/>
      <c r="J46" s="302"/>
    </row>
    <row r="47" spans="1:11" ht="15.05" customHeight="1" x14ac:dyDescent="0.3">
      <c r="A47" s="1431"/>
      <c r="B47" s="882" t="s">
        <v>2307</v>
      </c>
      <c r="C47" s="1026">
        <f>ROUND($C$3*1000000-$C$32,-6)</f>
        <v>118000000</v>
      </c>
      <c r="D47" s="676"/>
      <c r="E47" s="676"/>
      <c r="F47" s="676" t="s">
        <v>699</v>
      </c>
      <c r="G47" s="1027" t="s">
        <v>629</v>
      </c>
      <c r="H47" s="676"/>
      <c r="I47" s="676"/>
      <c r="J47" s="676"/>
      <c r="K47" s="676"/>
    </row>
    <row r="48" spans="1:11" s="302" customFormat="1" x14ac:dyDescent="0.3">
      <c r="A48" s="1431"/>
      <c r="B48" s="482" t="s">
        <v>2308</v>
      </c>
      <c r="C48" s="204">
        <f>ROUND($C$47/($C$46*$C$3),-2)</f>
        <v>2800</v>
      </c>
      <c r="D48" s="66"/>
      <c r="E48" s="66"/>
      <c r="F48" s="66" t="s">
        <v>699</v>
      </c>
      <c r="G48" s="111" t="s">
        <v>629</v>
      </c>
      <c r="H48" s="66"/>
      <c r="I48" s="66"/>
      <c r="J48" s="66"/>
      <c r="K48" s="66"/>
    </row>
    <row r="49" spans="1:11" s="302" customFormat="1" x14ac:dyDescent="0.3">
      <c r="A49" s="1431"/>
      <c r="B49" s="482" t="s">
        <v>2309</v>
      </c>
      <c r="C49" s="1028">
        <f>$C$39</f>
        <v>14</v>
      </c>
      <c r="D49" s="66"/>
      <c r="E49" s="66"/>
      <c r="F49" s="66" t="s">
        <v>44</v>
      </c>
      <c r="G49" s="66" t="s">
        <v>1969</v>
      </c>
      <c r="H49" s="482" t="s">
        <v>2105</v>
      </c>
      <c r="I49" s="66"/>
      <c r="J49" s="66" t="s">
        <v>1980</v>
      </c>
      <c r="K49" s="66" t="s">
        <v>1979</v>
      </c>
    </row>
    <row r="50" spans="1:11" s="302" customFormat="1" x14ac:dyDescent="0.3">
      <c r="A50" s="1431"/>
      <c r="B50" s="482" t="s">
        <v>2310</v>
      </c>
      <c r="C50" s="204">
        <f>$C$48/$C$39</f>
        <v>200</v>
      </c>
      <c r="D50" s="66"/>
      <c r="E50" s="66"/>
      <c r="F50" s="66" t="s">
        <v>84</v>
      </c>
      <c r="G50" s="111" t="s">
        <v>629</v>
      </c>
      <c r="H50" s="66"/>
      <c r="I50" s="66"/>
      <c r="J50" s="66"/>
      <c r="K50" s="66"/>
    </row>
    <row r="51" spans="1:11" x14ac:dyDescent="0.3">
      <c r="A51" s="1431"/>
      <c r="B51" s="1029" t="s">
        <v>2311</v>
      </c>
      <c r="C51" s="739">
        <v>8</v>
      </c>
      <c r="D51" s="739"/>
      <c r="E51" s="739"/>
      <c r="F51" s="739" t="s">
        <v>84</v>
      </c>
      <c r="G51" s="739" t="s">
        <v>633</v>
      </c>
      <c r="H51" s="739"/>
      <c r="I51" s="739"/>
      <c r="J51" s="739"/>
      <c r="K51" s="739"/>
    </row>
    <row r="52" spans="1:11" x14ac:dyDescent="0.3">
      <c r="A52" s="1431"/>
      <c r="B52" s="482" t="s">
        <v>2317</v>
      </c>
      <c r="C52" s="204">
        <f>$C$50*$C$51</f>
        <v>1600</v>
      </c>
      <c r="D52" s="66"/>
      <c r="E52" s="66"/>
      <c r="F52" s="66" t="s">
        <v>699</v>
      </c>
      <c r="G52" s="111" t="s">
        <v>629</v>
      </c>
      <c r="H52" s="66" t="s">
        <v>1981</v>
      </c>
      <c r="I52" s="66"/>
      <c r="J52" s="66"/>
      <c r="K52" s="66"/>
    </row>
    <row r="53" spans="1:11" x14ac:dyDescent="0.3">
      <c r="A53" s="1431"/>
      <c r="B53" s="482" t="s">
        <v>2316</v>
      </c>
      <c r="C53" s="204">
        <f>$C$48*2+$C$52</f>
        <v>7200</v>
      </c>
      <c r="D53" s="66"/>
      <c r="E53" s="66"/>
      <c r="F53" s="66" t="s">
        <v>699</v>
      </c>
      <c r="G53" s="111" t="s">
        <v>629</v>
      </c>
      <c r="H53" s="66"/>
      <c r="I53" s="66"/>
      <c r="J53" s="66"/>
      <c r="K53" s="66"/>
    </row>
    <row r="54" spans="1:11" ht="15.65" thickBot="1" x14ac:dyDescent="0.35">
      <c r="A54" s="1432"/>
      <c r="B54" s="482" t="s">
        <v>2315</v>
      </c>
      <c r="C54" s="204">
        <f>ROUND($C$3*$C$46*$C$53,-6)</f>
        <v>305000000</v>
      </c>
      <c r="D54" s="66"/>
      <c r="E54" s="66"/>
      <c r="F54" s="66" t="s">
        <v>1970</v>
      </c>
      <c r="G54" s="111" t="s">
        <v>629</v>
      </c>
      <c r="H54" s="66"/>
      <c r="I54" s="66"/>
      <c r="J54" s="66"/>
      <c r="K54" s="66"/>
    </row>
    <row r="56" spans="1:11" ht="15.65" thickBot="1" x14ac:dyDescent="0.35"/>
    <row r="57" spans="1:11" x14ac:dyDescent="0.3">
      <c r="A57" s="1421" t="s">
        <v>2097</v>
      </c>
      <c r="B57" s="1030" t="s">
        <v>2090</v>
      </c>
      <c r="C57" s="1003"/>
      <c r="D57" s="1003"/>
      <c r="E57" s="1003"/>
      <c r="F57" s="1003"/>
      <c r="G57" s="1003"/>
      <c r="H57" s="1003"/>
      <c r="I57" s="1003"/>
      <c r="J57" s="1003"/>
      <c r="K57" s="2"/>
    </row>
    <row r="58" spans="1:11" x14ac:dyDescent="0.3">
      <c r="A58" s="1422"/>
      <c r="B58" s="1020" t="s">
        <v>804</v>
      </c>
      <c r="C58" s="329">
        <f>'Table S1.1 (complete_data)'!$D$25</f>
        <v>520.6611570247934</v>
      </c>
      <c r="D58" s="1003"/>
      <c r="E58" s="1003"/>
      <c r="F58" s="1003" t="s">
        <v>22</v>
      </c>
      <c r="G58" s="1003" t="s">
        <v>1821</v>
      </c>
      <c r="H58" s="1003"/>
      <c r="I58" s="1003"/>
      <c r="J58" s="1003"/>
      <c r="K58" s="1003"/>
    </row>
    <row r="59" spans="1:11" ht="15.05" customHeight="1" x14ac:dyDescent="0.3">
      <c r="A59" s="1422"/>
      <c r="B59" s="1020" t="s">
        <v>2318</v>
      </c>
      <c r="C59" s="329">
        <f>'Table S1.2 (veins data)'!$D$129</f>
        <v>10.227</v>
      </c>
      <c r="D59" s="1003"/>
      <c r="E59" s="1003"/>
      <c r="F59" s="1003" t="s">
        <v>0</v>
      </c>
      <c r="G59" s="1003" t="s">
        <v>2103</v>
      </c>
      <c r="H59" s="1003"/>
      <c r="I59" s="1003"/>
      <c r="J59" s="1003"/>
      <c r="K59" s="1003"/>
    </row>
    <row r="60" spans="1:11" x14ac:dyDescent="0.3">
      <c r="A60" s="1422"/>
      <c r="B60" s="1020" t="s">
        <v>681</v>
      </c>
      <c r="C60" s="464">
        <f>'Table S1.2 (veins data)'!$D$25</f>
        <v>48.7</v>
      </c>
      <c r="D60" s="464">
        <v>14</v>
      </c>
      <c r="E60" s="1003"/>
      <c r="F60" s="1003" t="s">
        <v>84</v>
      </c>
      <c r="G60" s="1003" t="s">
        <v>2103</v>
      </c>
      <c r="H60" s="1003"/>
      <c r="I60" s="1003"/>
      <c r="J60" s="1003"/>
      <c r="K60" s="1003"/>
    </row>
    <row r="61" spans="1:11" x14ac:dyDescent="0.3">
      <c r="A61" s="1422"/>
      <c r="B61" s="1020" t="s">
        <v>2088</v>
      </c>
      <c r="C61" s="464">
        <f>'Table S1.2 (veins data)'!$D$100</f>
        <v>210</v>
      </c>
      <c r="D61" s="1003"/>
      <c r="E61" s="1003" t="s">
        <v>1202</v>
      </c>
      <c r="F61" s="1003" t="s">
        <v>699</v>
      </c>
      <c r="G61" s="1003" t="s">
        <v>2103</v>
      </c>
      <c r="H61" s="1003"/>
      <c r="I61" s="1003"/>
      <c r="J61" s="1003"/>
      <c r="K61" s="1003"/>
    </row>
    <row r="62" spans="1:11" x14ac:dyDescent="0.3">
      <c r="A62" s="1422"/>
      <c r="B62" s="1020" t="s">
        <v>2089</v>
      </c>
      <c r="C62" s="252">
        <f>($C$61/PI())^(0.5)</f>
        <v>8.1758838114662584</v>
      </c>
      <c r="D62" s="1003"/>
      <c r="E62" s="1003"/>
      <c r="F62" s="1003" t="s">
        <v>84</v>
      </c>
      <c r="G62" s="252" t="s">
        <v>629</v>
      </c>
      <c r="H62" s="1003" t="s">
        <v>2432</v>
      </c>
      <c r="I62" s="1003" t="s">
        <v>1897</v>
      </c>
      <c r="J62" s="1003"/>
      <c r="K62" s="1003"/>
    </row>
    <row r="63" spans="1:11" x14ac:dyDescent="0.3">
      <c r="A63" s="1422"/>
      <c r="B63" s="1020" t="s">
        <v>2206</v>
      </c>
      <c r="C63" s="329">
        <f>ROUND(2*$C$61+2*PI()*$C$60*$C$62,-2)</f>
        <v>2900</v>
      </c>
      <c r="D63" s="1003"/>
      <c r="E63" s="1003"/>
      <c r="F63" s="1003" t="s">
        <v>699</v>
      </c>
      <c r="G63" s="252" t="s">
        <v>629</v>
      </c>
      <c r="H63" s="1003" t="s">
        <v>2299</v>
      </c>
      <c r="I63" s="1003" t="s">
        <v>1897</v>
      </c>
      <c r="J63" s="1003"/>
      <c r="K63" s="1003"/>
    </row>
    <row r="64" spans="1:11" x14ac:dyDescent="0.3">
      <c r="A64" s="1422"/>
      <c r="B64" s="1020" t="s">
        <v>2186</v>
      </c>
      <c r="C64" s="329">
        <f>ROUND($C$3*$C$58*$C$63,-6)</f>
        <v>183000000</v>
      </c>
      <c r="D64" s="1003"/>
      <c r="E64" s="1003"/>
      <c r="F64" s="1003" t="s">
        <v>699</v>
      </c>
      <c r="G64" s="252" t="s">
        <v>629</v>
      </c>
      <c r="H64" s="1003"/>
      <c r="I64" s="1003"/>
      <c r="J64" s="1003"/>
      <c r="K64" s="1003"/>
    </row>
    <row r="65" spans="1:11" ht="15.65" thickBot="1" x14ac:dyDescent="0.35">
      <c r="A65" s="1423"/>
      <c r="B65" s="1020" t="s">
        <v>2185</v>
      </c>
      <c r="C65" s="329">
        <f>ROUND($C$64/$C$3,-4)</f>
        <v>1510000</v>
      </c>
      <c r="D65" s="1003"/>
      <c r="E65" s="1003"/>
      <c r="F65" s="1003" t="s">
        <v>2087</v>
      </c>
      <c r="G65" s="252" t="s">
        <v>629</v>
      </c>
      <c r="H65" s="1003"/>
      <c r="I65" s="1003"/>
      <c r="J65" s="1003"/>
      <c r="K65" s="1003"/>
    </row>
    <row r="66" spans="1:11" ht="15.65" thickBot="1" x14ac:dyDescent="0.35">
      <c r="B66" s="302"/>
      <c r="C66" s="1011"/>
      <c r="K66" s="1003"/>
    </row>
    <row r="67" spans="1:11" ht="15.65" customHeight="1" x14ac:dyDescent="0.3">
      <c r="A67" s="1424" t="s">
        <v>2098</v>
      </c>
      <c r="B67" s="543" t="s">
        <v>2107</v>
      </c>
      <c r="C67" s="980"/>
      <c r="D67" s="49"/>
      <c r="E67" s="49"/>
      <c r="F67" s="49"/>
      <c r="G67" s="49"/>
      <c r="H67" s="49"/>
      <c r="I67" s="49"/>
      <c r="J67" s="49"/>
    </row>
    <row r="68" spans="1:11" ht="15.65" thickBot="1" x14ac:dyDescent="0.35">
      <c r="A68" s="1433"/>
      <c r="B68" s="478" t="s">
        <v>2083</v>
      </c>
      <c r="C68" s="203">
        <f>'Table S1.1 (complete_data)'!$D$72*1000</f>
        <v>100000</v>
      </c>
      <c r="D68" s="49"/>
      <c r="E68" s="49"/>
      <c r="F68" s="49" t="s">
        <v>26</v>
      </c>
      <c r="G68" s="50" t="s">
        <v>629</v>
      </c>
      <c r="H68" s="49" t="s">
        <v>2362</v>
      </c>
      <c r="I68" s="49"/>
      <c r="J68" s="49"/>
      <c r="K68" s="49"/>
    </row>
    <row r="69" spans="1:11" ht="15.65" thickBot="1" x14ac:dyDescent="0.35">
      <c r="A69" s="1433"/>
      <c r="B69" s="478" t="s">
        <v>2085</v>
      </c>
      <c r="C69" s="1128">
        <v>50</v>
      </c>
      <c r="D69" s="49"/>
      <c r="E69" s="49"/>
      <c r="F69" s="49" t="s">
        <v>84</v>
      </c>
      <c r="G69" s="50" t="s">
        <v>629</v>
      </c>
      <c r="H69" s="49" t="s">
        <v>1985</v>
      </c>
      <c r="I69" s="49"/>
      <c r="J69" s="49"/>
      <c r="K69" s="49"/>
    </row>
    <row r="70" spans="1:11" ht="15.65" thickBot="1" x14ac:dyDescent="0.35">
      <c r="A70" s="1433"/>
      <c r="B70" s="478" t="s">
        <v>2359</v>
      </c>
      <c r="C70" s="1128">
        <v>5</v>
      </c>
      <c r="D70" s="49"/>
      <c r="E70" s="49"/>
      <c r="F70" s="49" t="s">
        <v>84</v>
      </c>
      <c r="G70" s="50" t="s">
        <v>629</v>
      </c>
      <c r="H70" s="49" t="s">
        <v>2358</v>
      </c>
      <c r="I70" s="49"/>
      <c r="J70" s="49"/>
      <c r="K70" s="49"/>
    </row>
    <row r="71" spans="1:11" ht="15.05" customHeight="1" thickBot="1" x14ac:dyDescent="0.35">
      <c r="A71" s="1433"/>
      <c r="B71" s="931" t="s">
        <v>2361</v>
      </c>
      <c r="C71" s="1128">
        <f>($C$68/(PI()*($C$69+4/3*$C$70)))^0.5</f>
        <v>23.700703123739402</v>
      </c>
      <c r="D71" s="478"/>
      <c r="E71" s="478"/>
      <c r="F71" s="49" t="s">
        <v>84</v>
      </c>
      <c r="G71" s="50" t="s">
        <v>1875</v>
      </c>
      <c r="H71" s="49" t="s">
        <v>2360</v>
      </c>
      <c r="I71" s="49"/>
      <c r="J71" s="49"/>
      <c r="K71" s="49"/>
    </row>
    <row r="72" spans="1:11" x14ac:dyDescent="0.3">
      <c r="A72" s="1433"/>
      <c r="B72" s="478" t="s">
        <v>1984</v>
      </c>
      <c r="C72" s="203">
        <f>ROUND(4*PI()*((($C$71^1.6075*$C$71^1.6075+2*$C$71^1.6075*$C$70^1.6075)/3)^(1/1.6075)),-2)</f>
        <v>3900</v>
      </c>
      <c r="D72" s="49"/>
      <c r="E72" s="49"/>
      <c r="F72" s="49" t="s">
        <v>699</v>
      </c>
      <c r="G72" s="50" t="s">
        <v>629</v>
      </c>
      <c r="H72" s="49" t="s">
        <v>1986</v>
      </c>
      <c r="I72" s="49"/>
      <c r="J72" s="49"/>
      <c r="K72" s="49"/>
    </row>
    <row r="73" spans="1:11" x14ac:dyDescent="0.3">
      <c r="A73" s="1433"/>
      <c r="B73" s="478" t="s">
        <v>2189</v>
      </c>
      <c r="C73" s="203">
        <f>ROUND($C$72+2*PI()*$C$71*$C$69,-2)</f>
        <v>11300</v>
      </c>
      <c r="D73" s="49"/>
      <c r="E73" s="49"/>
      <c r="F73" s="49" t="s">
        <v>699</v>
      </c>
      <c r="G73" s="50" t="s">
        <v>629</v>
      </c>
      <c r="H73" s="49" t="s">
        <v>1987</v>
      </c>
      <c r="I73" s="49"/>
      <c r="J73" s="49"/>
      <c r="K73" s="49"/>
    </row>
    <row r="74" spans="1:11" x14ac:dyDescent="0.3">
      <c r="A74" s="1433"/>
      <c r="B74" s="325" t="s">
        <v>1968</v>
      </c>
      <c r="C74" s="325">
        <f>'Table S1.1 (complete_data)'!$D$28</f>
        <v>1280</v>
      </c>
      <c r="D74" s="49">
        <v>100</v>
      </c>
      <c r="E74" s="49"/>
      <c r="F74" s="49" t="s">
        <v>22</v>
      </c>
      <c r="G74" s="49" t="s">
        <v>633</v>
      </c>
      <c r="H74" s="49" t="s">
        <v>1821</v>
      </c>
      <c r="I74" s="49"/>
      <c r="J74" s="49"/>
      <c r="K74" s="49"/>
    </row>
    <row r="75" spans="1:11" x14ac:dyDescent="0.3">
      <c r="A75" s="1433"/>
      <c r="B75" s="478" t="s">
        <v>2187</v>
      </c>
      <c r="C75" s="203">
        <f>ROUND($C$3*$C$74*$C$73,-6)</f>
        <v>1750000000</v>
      </c>
      <c r="D75" s="49"/>
      <c r="E75" s="49"/>
      <c r="F75" s="49" t="s">
        <v>699</v>
      </c>
      <c r="G75" s="50" t="s">
        <v>629</v>
      </c>
      <c r="H75" s="49"/>
      <c r="I75" s="49"/>
      <c r="J75" s="49"/>
      <c r="K75" s="49"/>
    </row>
    <row r="76" spans="1:11" ht="15.65" thickBot="1" x14ac:dyDescent="0.35">
      <c r="A76" s="1434"/>
      <c r="B76" s="478" t="s">
        <v>2188</v>
      </c>
      <c r="C76" s="203">
        <f>ROUND($C$75/($C$3),-5)</f>
        <v>14500000</v>
      </c>
      <c r="D76" s="49"/>
      <c r="E76" s="49"/>
      <c r="F76" s="49" t="s">
        <v>2087</v>
      </c>
      <c r="G76" s="50" t="s">
        <v>629</v>
      </c>
      <c r="H76" s="49"/>
      <c r="I76" s="49"/>
      <c r="J76" s="49"/>
      <c r="K76" s="49"/>
    </row>
    <row r="77" spans="1:11" ht="15.65" thickBot="1" x14ac:dyDescent="0.35">
      <c r="B77" s="1005"/>
      <c r="C77" s="1011"/>
    </row>
    <row r="78" spans="1:11" x14ac:dyDescent="0.3">
      <c r="A78" s="1424" t="s">
        <v>2099</v>
      </c>
      <c r="B78" s="543" t="s">
        <v>2084</v>
      </c>
      <c r="C78" s="50"/>
      <c r="D78" s="49"/>
      <c r="E78" s="49"/>
      <c r="F78" s="49"/>
      <c r="G78" s="49"/>
      <c r="H78" s="49"/>
      <c r="I78" s="49"/>
      <c r="J78" s="49"/>
      <c r="K78" s="49"/>
    </row>
    <row r="79" spans="1:11" x14ac:dyDescent="0.3">
      <c r="A79" s="1425"/>
      <c r="B79" s="478" t="s">
        <v>106</v>
      </c>
      <c r="C79" s="203">
        <f>'Table S1.1 (complete_data)'!D76*1000</f>
        <v>60000</v>
      </c>
      <c r="D79" s="49"/>
      <c r="E79" s="49"/>
      <c r="F79" s="49" t="s">
        <v>26</v>
      </c>
      <c r="G79" s="49" t="s">
        <v>633</v>
      </c>
      <c r="H79" s="49" t="s">
        <v>2352</v>
      </c>
      <c r="I79" s="49"/>
      <c r="J79" s="49"/>
      <c r="K79" s="49"/>
    </row>
    <row r="80" spans="1:11" x14ac:dyDescent="0.3">
      <c r="A80" s="1425"/>
      <c r="B80" s="478" t="s">
        <v>1971</v>
      </c>
      <c r="C80" s="1023">
        <f>(3*$C$79/(4*PI()))^(1/3)</f>
        <v>24.285900630052815</v>
      </c>
      <c r="D80" s="49"/>
      <c r="E80" s="49"/>
      <c r="F80" s="49" t="s">
        <v>84</v>
      </c>
      <c r="G80" s="50" t="s">
        <v>629</v>
      </c>
      <c r="H80" s="49" t="s">
        <v>1983</v>
      </c>
      <c r="I80" s="49"/>
      <c r="J80" s="49"/>
      <c r="K80" s="49"/>
    </row>
    <row r="81" spans="1:11" x14ac:dyDescent="0.3">
      <c r="A81" s="1425"/>
      <c r="B81" s="478" t="s">
        <v>2190</v>
      </c>
      <c r="C81" s="1023">
        <f>ROUND(4*PI()*$C$80^2,-2)</f>
        <v>7400</v>
      </c>
      <c r="D81" s="49"/>
      <c r="E81" s="49"/>
      <c r="F81" s="49" t="s">
        <v>699</v>
      </c>
      <c r="G81" s="50" t="s">
        <v>629</v>
      </c>
      <c r="H81" s="49" t="s">
        <v>1982</v>
      </c>
      <c r="I81" s="49"/>
      <c r="J81" s="49"/>
      <c r="K81" s="49"/>
    </row>
    <row r="82" spans="1:11" x14ac:dyDescent="0.3">
      <c r="A82" s="1425"/>
      <c r="B82" s="49" t="s">
        <v>335</v>
      </c>
      <c r="C82" s="325">
        <f>'Table S1.1 (complete_data)'!$D$32</f>
        <v>620</v>
      </c>
      <c r="D82" s="325">
        <v>110</v>
      </c>
      <c r="E82" s="325"/>
      <c r="F82" s="49" t="s">
        <v>22</v>
      </c>
      <c r="G82" s="49" t="s">
        <v>633</v>
      </c>
      <c r="H82" s="49" t="s">
        <v>1821</v>
      </c>
      <c r="I82" s="49"/>
      <c r="J82" s="49"/>
      <c r="K82" s="49"/>
    </row>
    <row r="83" spans="1:11" x14ac:dyDescent="0.3">
      <c r="A83" s="1425"/>
      <c r="B83" s="478" t="s">
        <v>2086</v>
      </c>
      <c r="C83" s="203">
        <f>ROUND($C$3*$C$81*$C$82,-6)</f>
        <v>555000000</v>
      </c>
      <c r="D83" s="49"/>
      <c r="E83" s="49"/>
      <c r="F83" s="49" t="s">
        <v>699</v>
      </c>
      <c r="G83" s="50" t="s">
        <v>629</v>
      </c>
      <c r="H83" s="49"/>
      <c r="I83" s="49"/>
      <c r="J83" s="49"/>
      <c r="K83" s="49"/>
    </row>
    <row r="84" spans="1:11" ht="15.65" thickBot="1" x14ac:dyDescent="0.35">
      <c r="A84" s="1426"/>
      <c r="B84" s="478" t="s">
        <v>2091</v>
      </c>
      <c r="C84" s="203">
        <f>ROUND($C$83/$C$3,-5)</f>
        <v>4600000</v>
      </c>
      <c r="D84" s="49"/>
      <c r="E84" s="49"/>
      <c r="F84" s="49" t="s">
        <v>2087</v>
      </c>
      <c r="G84" s="50" t="s">
        <v>629</v>
      </c>
      <c r="H84" s="49"/>
      <c r="I84" s="49"/>
      <c r="J84" s="49"/>
      <c r="K84" s="49"/>
    </row>
    <row r="86" spans="1:11" ht="15.65" thickBot="1" x14ac:dyDescent="0.35"/>
    <row r="87" spans="1:11" ht="15.05" customHeight="1" x14ac:dyDescent="0.3">
      <c r="A87" s="1307" t="s">
        <v>2181</v>
      </c>
      <c r="B87" s="112" t="s">
        <v>2447</v>
      </c>
    </row>
    <row r="88" spans="1:11" ht="15.05" customHeight="1" x14ac:dyDescent="0.3">
      <c r="A88" s="1308"/>
      <c r="B88" s="488" t="s">
        <v>683</v>
      </c>
      <c r="C88" s="488">
        <f>'Table S1.2 (veins data)'!$D$27</f>
        <v>85</v>
      </c>
      <c r="D88" s="488"/>
      <c r="E88" s="488"/>
      <c r="F88" s="53" t="s">
        <v>84</v>
      </c>
      <c r="G88" s="53" t="s">
        <v>684</v>
      </c>
      <c r="H88" s="53" t="s">
        <v>2103</v>
      </c>
      <c r="I88" s="53"/>
      <c r="J88" s="53"/>
      <c r="K88" s="53"/>
    </row>
    <row r="89" spans="1:11" x14ac:dyDescent="0.3">
      <c r="A89" s="1308"/>
      <c r="B89" s="519" t="s">
        <v>687</v>
      </c>
      <c r="C89" s="519">
        <f>'Table S1.2 (veins data)'!$D$28</f>
        <v>43</v>
      </c>
      <c r="D89" s="166">
        <v>18</v>
      </c>
      <c r="E89" s="166"/>
      <c r="F89" s="166" t="s">
        <v>84</v>
      </c>
      <c r="G89" s="166" t="s">
        <v>688</v>
      </c>
      <c r="H89" s="166" t="s">
        <v>2103</v>
      </c>
      <c r="I89" s="166"/>
      <c r="J89" s="166"/>
      <c r="K89" s="166"/>
    </row>
    <row r="90" spans="1:11" ht="15.65" thickBot="1" x14ac:dyDescent="0.35">
      <c r="A90" s="1308"/>
      <c r="B90" s="504" t="s">
        <v>692</v>
      </c>
      <c r="C90" s="504">
        <f>'Table S1.2 (veins data)'!$D$29</f>
        <v>120</v>
      </c>
      <c r="D90" s="391"/>
      <c r="E90" s="391"/>
      <c r="F90" s="391" t="s">
        <v>84</v>
      </c>
      <c r="G90" s="391" t="s">
        <v>684</v>
      </c>
      <c r="H90" s="375" t="s">
        <v>2103</v>
      </c>
      <c r="I90" s="391"/>
      <c r="J90" s="391"/>
      <c r="K90" s="391"/>
    </row>
    <row r="91" spans="1:11" ht="15.65" thickBot="1" x14ac:dyDescent="0.35">
      <c r="A91" s="1308"/>
      <c r="B91" s="522" t="s">
        <v>694</v>
      </c>
      <c r="C91" s="1021">
        <f>'Table S1.2 (veins data)'!$D$30</f>
        <v>25</v>
      </c>
      <c r="D91" s="473">
        <v>5</v>
      </c>
      <c r="E91" s="473"/>
      <c r="F91" s="52" t="s">
        <v>84</v>
      </c>
      <c r="G91" s="52" t="s">
        <v>695</v>
      </c>
      <c r="H91" s="3" t="s">
        <v>2103</v>
      </c>
      <c r="I91" s="3"/>
      <c r="J91" s="3"/>
      <c r="K91" s="3"/>
    </row>
    <row r="92" spans="1:11" ht="15.65" thickBot="1" x14ac:dyDescent="0.35">
      <c r="A92" s="1308"/>
      <c r="B92" s="585" t="s">
        <v>698</v>
      </c>
      <c r="C92" s="1022">
        <f>'Table S1.2 (veins data)'!$D$31</f>
        <v>50</v>
      </c>
      <c r="D92" s="483">
        <v>15</v>
      </c>
      <c r="E92" s="483"/>
      <c r="F92" s="381" t="s">
        <v>84</v>
      </c>
      <c r="G92" s="381" t="s">
        <v>695</v>
      </c>
      <c r="H92" s="376" t="s">
        <v>2103</v>
      </c>
      <c r="I92" s="376"/>
      <c r="J92" s="376"/>
      <c r="K92" s="376"/>
    </row>
    <row r="93" spans="1:11" x14ac:dyDescent="0.3">
      <c r="A93" s="1308"/>
      <c r="B93" s="1019"/>
      <c r="C93" s="1019"/>
      <c r="D93" s="1019"/>
      <c r="E93" s="1019"/>
      <c r="F93" s="1019"/>
      <c r="G93" s="1019"/>
      <c r="H93" s="1019"/>
      <c r="I93" s="1019"/>
      <c r="J93" s="1019"/>
      <c r="K93" s="1019"/>
    </row>
    <row r="94" spans="1:11" s="1019" customFormat="1" x14ac:dyDescent="0.3">
      <c r="A94" s="1308"/>
      <c r="B94" s="280" t="s">
        <v>2224</v>
      </c>
      <c r="C94" s="1012"/>
      <c r="D94" s="11"/>
      <c r="E94" s="11"/>
      <c r="F94" s="11"/>
      <c r="G94" s="11"/>
      <c r="H94" s="11"/>
      <c r="I94" s="11"/>
      <c r="J94" s="11"/>
      <c r="K94" s="11"/>
    </row>
    <row r="95" spans="1:11" x14ac:dyDescent="0.3">
      <c r="A95" s="1308"/>
      <c r="B95" s="488" t="s">
        <v>2096</v>
      </c>
      <c r="C95" s="53">
        <f>'Table S1.2 (veins data)'!$D$82</f>
        <v>10</v>
      </c>
      <c r="D95" s="53">
        <v>3.9</v>
      </c>
      <c r="E95" s="53"/>
      <c r="F95" s="53" t="s">
        <v>699</v>
      </c>
      <c r="G95" s="53" t="s">
        <v>706</v>
      </c>
      <c r="H95" s="53" t="s">
        <v>2103</v>
      </c>
      <c r="I95" s="53"/>
      <c r="J95" s="53"/>
      <c r="K95" s="53"/>
    </row>
    <row r="96" spans="1:11" x14ac:dyDescent="0.3">
      <c r="A96" s="1308"/>
      <c r="B96" s="519" t="s">
        <v>2092</v>
      </c>
      <c r="C96" s="166">
        <f>'Table S1.2 (veins data)'!$D$83</f>
        <v>14.7</v>
      </c>
      <c r="D96" s="166">
        <v>5.6</v>
      </c>
      <c r="E96" s="166"/>
      <c r="F96" s="166" t="s">
        <v>699</v>
      </c>
      <c r="G96" s="166" t="s">
        <v>706</v>
      </c>
      <c r="H96" s="166" t="s">
        <v>2103</v>
      </c>
      <c r="I96" s="166"/>
      <c r="J96" s="166"/>
      <c r="K96" s="166"/>
    </row>
    <row r="97" spans="1:16" x14ac:dyDescent="0.3">
      <c r="A97" s="1308"/>
      <c r="B97" s="504" t="s">
        <v>2093</v>
      </c>
      <c r="C97" s="405">
        <f>'Table S1.2 (veins data)'!$D$84</f>
        <v>1.17</v>
      </c>
      <c r="D97" s="405">
        <v>0.32</v>
      </c>
      <c r="E97" s="405"/>
      <c r="F97" s="375" t="s">
        <v>699</v>
      </c>
      <c r="G97" s="391" t="s">
        <v>706</v>
      </c>
      <c r="H97" s="375" t="s">
        <v>2103</v>
      </c>
      <c r="I97" s="391"/>
      <c r="J97" s="391"/>
      <c r="K97" s="391"/>
    </row>
    <row r="98" spans="1:16" x14ac:dyDescent="0.3">
      <c r="A98" s="1308"/>
      <c r="B98" s="522" t="s">
        <v>2094</v>
      </c>
      <c r="C98" s="408">
        <f>'Table S1.2 (veins data)'!$D$85</f>
        <v>21.28</v>
      </c>
      <c r="D98" s="336">
        <v>11.4</v>
      </c>
      <c r="E98" s="336"/>
      <c r="F98" s="3" t="s">
        <v>699</v>
      </c>
      <c r="G98" s="3" t="s">
        <v>706</v>
      </c>
      <c r="H98" s="3" t="s">
        <v>2103</v>
      </c>
      <c r="I98" s="3"/>
      <c r="J98" s="3"/>
      <c r="K98" s="3"/>
    </row>
    <row r="99" spans="1:16" x14ac:dyDescent="0.3">
      <c r="A99" s="1308"/>
      <c r="B99" s="587" t="s">
        <v>2095</v>
      </c>
      <c r="C99" s="384">
        <f>'Table S1.2 (veins data)'!$D$86</f>
        <v>7.46</v>
      </c>
      <c r="D99" s="376">
        <v>4</v>
      </c>
      <c r="E99" s="376"/>
      <c r="F99" s="376" t="s">
        <v>699</v>
      </c>
      <c r="G99" s="376" t="s">
        <v>706</v>
      </c>
      <c r="H99" s="376" t="s">
        <v>2103</v>
      </c>
      <c r="I99" s="376"/>
      <c r="J99" s="376"/>
      <c r="K99" s="376"/>
    </row>
    <row r="100" spans="1:16" x14ac:dyDescent="0.3">
      <c r="A100" s="1308"/>
      <c r="B100" s="1057"/>
      <c r="C100" s="1054"/>
      <c r="D100" s="1054"/>
      <c r="E100" s="1054"/>
      <c r="F100" s="1054"/>
      <c r="G100" s="1054"/>
      <c r="H100" s="1054"/>
      <c r="I100" s="1054"/>
      <c r="J100" s="1054"/>
      <c r="K100" s="1054"/>
    </row>
    <row r="101" spans="1:16" s="1054" customFormat="1" x14ac:dyDescent="0.3">
      <c r="A101" s="1308"/>
      <c r="B101" s="112" t="s">
        <v>2169</v>
      </c>
      <c r="C101"/>
      <c r="D101"/>
      <c r="E101"/>
      <c r="F101"/>
      <c r="G101"/>
      <c r="H101"/>
      <c r="I101"/>
      <c r="J101"/>
      <c r="K101"/>
    </row>
    <row r="102" spans="1:16" x14ac:dyDescent="0.3">
      <c r="A102" s="1308"/>
      <c r="B102" s="488" t="s">
        <v>1990</v>
      </c>
      <c r="C102" s="1129">
        <f>($C$95/PI())^0.5</f>
        <v>1.7841241161527712</v>
      </c>
      <c r="D102" s="488"/>
      <c r="E102" s="488"/>
      <c r="F102" s="488" t="s">
        <v>84</v>
      </c>
      <c r="G102" s="121" t="s">
        <v>629</v>
      </c>
      <c r="H102" s="488"/>
      <c r="I102" s="488"/>
      <c r="J102" s="488"/>
      <c r="K102" s="488"/>
    </row>
    <row r="103" spans="1:16" x14ac:dyDescent="0.3">
      <c r="A103" s="1308"/>
      <c r="B103" s="519" t="s">
        <v>1991</v>
      </c>
      <c r="C103" s="1130">
        <f>($C$96/PI())^0.5</f>
        <v>2.1631355313298619</v>
      </c>
      <c r="D103" s="519"/>
      <c r="E103" s="519"/>
      <c r="F103" s="519" t="s">
        <v>84</v>
      </c>
      <c r="G103" s="165" t="s">
        <v>629</v>
      </c>
      <c r="H103" s="519"/>
      <c r="I103" s="519"/>
      <c r="J103" s="519"/>
      <c r="K103" s="519"/>
    </row>
    <row r="104" spans="1:16" x14ac:dyDescent="0.3">
      <c r="A104" s="1308"/>
      <c r="B104" s="504" t="s">
        <v>1993</v>
      </c>
      <c r="C104" s="1131">
        <f>($C$97/PI())^0.5</f>
        <v>0.61026434176923283</v>
      </c>
      <c r="D104" s="391"/>
      <c r="E104" s="391"/>
      <c r="F104" s="391" t="s">
        <v>84</v>
      </c>
      <c r="G104" s="422" t="s">
        <v>629</v>
      </c>
      <c r="H104" s="391"/>
      <c r="I104" s="391"/>
      <c r="J104" s="391"/>
      <c r="K104" s="391"/>
    </row>
    <row r="105" spans="1:16" x14ac:dyDescent="0.3">
      <c r="A105" s="1308"/>
      <c r="B105" s="522" t="s">
        <v>1992</v>
      </c>
      <c r="C105" s="1132">
        <f>($C$98/PI())^0.5</f>
        <v>2.6026206750102996</v>
      </c>
      <c r="D105" s="3"/>
      <c r="E105" s="3"/>
      <c r="F105" s="3" t="s">
        <v>84</v>
      </c>
      <c r="G105" s="58" t="s">
        <v>629</v>
      </c>
      <c r="H105" s="3"/>
      <c r="I105" s="3"/>
      <c r="J105" s="3"/>
      <c r="K105" s="3"/>
    </row>
    <row r="106" spans="1:16" s="5" customFormat="1" x14ac:dyDescent="0.3">
      <c r="A106" s="1308"/>
      <c r="B106" s="585" t="s">
        <v>1994</v>
      </c>
      <c r="C106" s="1133">
        <f>($C$99/PI())^0.5</f>
        <v>1.5409710415614819</v>
      </c>
      <c r="D106" s="376"/>
      <c r="E106" s="376"/>
      <c r="F106" s="376" t="s">
        <v>84</v>
      </c>
      <c r="G106" s="383" t="s">
        <v>629</v>
      </c>
      <c r="H106" s="376"/>
      <c r="I106" s="376"/>
      <c r="J106" s="376"/>
      <c r="K106" s="376"/>
      <c r="L106"/>
      <c r="M106"/>
      <c r="N106"/>
      <c r="O106"/>
      <c r="P106"/>
    </row>
    <row r="107" spans="1:16" s="5" customFormat="1" x14ac:dyDescent="0.3">
      <c r="A107" s="1308"/>
      <c r="B107"/>
      <c r="C107"/>
      <c r="D107"/>
      <c r="E107"/>
      <c r="F107"/>
      <c r="G107"/>
      <c r="H107"/>
      <c r="I107"/>
      <c r="J107"/>
      <c r="K107"/>
      <c r="L107"/>
      <c r="M107"/>
      <c r="N107"/>
      <c r="O107"/>
      <c r="P107"/>
    </row>
    <row r="108" spans="1:16" x14ac:dyDescent="0.3">
      <c r="A108" s="1308"/>
      <c r="B108" s="228" t="s">
        <v>2225</v>
      </c>
    </row>
    <row r="109" spans="1:16" x14ac:dyDescent="0.3">
      <c r="A109" s="1308"/>
      <c r="B109" s="488" t="s">
        <v>2175</v>
      </c>
      <c r="C109" s="187">
        <f>ROUND(2*PI()*$C$88*$C$102+2*$C$95,-1)</f>
        <v>970</v>
      </c>
      <c r="D109" s="53"/>
      <c r="E109" s="53"/>
      <c r="F109" s="53" t="s">
        <v>699</v>
      </c>
      <c r="G109" s="121" t="s">
        <v>629</v>
      </c>
      <c r="H109" s="488" t="s">
        <v>2366</v>
      </c>
      <c r="I109" s="488"/>
      <c r="J109" s="488"/>
      <c r="K109" s="488"/>
    </row>
    <row r="110" spans="1:16" x14ac:dyDescent="0.3">
      <c r="A110" s="1308"/>
      <c r="B110" s="519" t="s">
        <v>2176</v>
      </c>
      <c r="C110" s="415">
        <f>ROUND(2*PI()*$C$89*$C$103+2*$C$96,-1)</f>
        <v>610</v>
      </c>
      <c r="D110" s="166"/>
      <c r="E110" s="166"/>
      <c r="F110" s="166" t="s">
        <v>699</v>
      </c>
      <c r="G110" s="165" t="s">
        <v>629</v>
      </c>
      <c r="H110" s="519" t="s">
        <v>2366</v>
      </c>
      <c r="I110" s="519"/>
      <c r="J110" s="519"/>
      <c r="K110" s="519"/>
    </row>
    <row r="111" spans="1:16" x14ac:dyDescent="0.3">
      <c r="A111" s="1308"/>
      <c r="B111" s="504" t="s">
        <v>2177</v>
      </c>
      <c r="C111" s="423">
        <f>ROUND(2*PI()*$C$90*$C$104+2*$C$97,-1)</f>
        <v>460</v>
      </c>
      <c r="D111" s="405"/>
      <c r="E111" s="405"/>
      <c r="F111" s="375" t="s">
        <v>699</v>
      </c>
      <c r="G111" s="422" t="s">
        <v>629</v>
      </c>
      <c r="H111" s="391" t="s">
        <v>2366</v>
      </c>
      <c r="I111" s="391"/>
      <c r="J111" s="391"/>
      <c r="K111" s="391"/>
    </row>
    <row r="112" spans="1:16" x14ac:dyDescent="0.3">
      <c r="A112" s="1308"/>
      <c r="B112" s="522" t="s">
        <v>2178</v>
      </c>
      <c r="C112" s="188">
        <f>ROUND(2*PI()*$C$91*$C$105+2*$C$98,-1)</f>
        <v>450</v>
      </c>
      <c r="D112" s="336"/>
      <c r="E112" s="336"/>
      <c r="F112" s="3" t="s">
        <v>699</v>
      </c>
      <c r="G112" s="58" t="s">
        <v>629</v>
      </c>
      <c r="H112" s="3" t="s">
        <v>2366</v>
      </c>
      <c r="I112" s="3"/>
      <c r="J112" s="3"/>
      <c r="K112" s="3"/>
    </row>
    <row r="113" spans="1:11" x14ac:dyDescent="0.3">
      <c r="A113" s="1308"/>
      <c r="B113" s="585" t="s">
        <v>2179</v>
      </c>
      <c r="C113" s="387">
        <f>ROUND(2*PI()*$C$92*$C$106,-1)</f>
        <v>480</v>
      </c>
      <c r="D113" s="376"/>
      <c r="E113" s="376"/>
      <c r="F113" s="376" t="s">
        <v>699</v>
      </c>
      <c r="G113" s="383" t="s">
        <v>629</v>
      </c>
      <c r="H113" s="1055" t="s">
        <v>2207</v>
      </c>
      <c r="I113" s="1055"/>
      <c r="J113" s="1055"/>
      <c r="K113" s="1055"/>
    </row>
    <row r="114" spans="1:11" x14ac:dyDescent="0.3">
      <c r="A114" s="1308"/>
    </row>
    <row r="115" spans="1:11" x14ac:dyDescent="0.3">
      <c r="A115" s="1308"/>
      <c r="B115" s="280" t="s">
        <v>2168</v>
      </c>
      <c r="C115" s="1049"/>
      <c r="D115" s="11"/>
      <c r="E115" s="11"/>
      <c r="F115" s="11"/>
      <c r="G115" s="4"/>
      <c r="H115" s="11"/>
      <c r="I115" s="11"/>
      <c r="J115" s="11"/>
      <c r="K115" s="11"/>
    </row>
    <row r="116" spans="1:11" s="11" customFormat="1" x14ac:dyDescent="0.3">
      <c r="A116" s="1308"/>
      <c r="B116" s="488" t="s">
        <v>781</v>
      </c>
      <c r="C116" s="201">
        <f>'Table S1.2 (veins data)'!$D$191</f>
        <v>49000</v>
      </c>
      <c r="D116" s="187"/>
      <c r="E116" s="187"/>
      <c r="F116" s="53" t="s">
        <v>27</v>
      </c>
      <c r="G116" s="53" t="s">
        <v>2103</v>
      </c>
      <c r="H116" s="53"/>
      <c r="I116" s="53"/>
      <c r="J116" s="53"/>
      <c r="K116" s="53"/>
    </row>
    <row r="117" spans="1:11" x14ac:dyDescent="0.3">
      <c r="A117" s="1308"/>
      <c r="B117" s="519" t="s">
        <v>782</v>
      </c>
      <c r="C117" s="343">
        <f>'Table S1.2 (veins data)'!$D$192</f>
        <v>78000</v>
      </c>
      <c r="D117" s="415"/>
      <c r="E117" s="415"/>
      <c r="F117" s="166" t="s">
        <v>27</v>
      </c>
      <c r="G117" s="166" t="s">
        <v>2103</v>
      </c>
      <c r="H117" s="166"/>
      <c r="I117" s="166"/>
      <c r="J117" s="166"/>
      <c r="K117" s="166"/>
    </row>
    <row r="118" spans="1:11" x14ac:dyDescent="0.3">
      <c r="A118" s="1308"/>
      <c r="B118" s="472" t="s">
        <v>783</v>
      </c>
      <c r="C118" s="345">
        <f>'Table S1.2 (veins data)'!$D$193</f>
        <v>23000</v>
      </c>
      <c r="D118" s="423"/>
      <c r="E118" s="423"/>
      <c r="F118" s="375" t="s">
        <v>27</v>
      </c>
      <c r="G118" s="375" t="s">
        <v>2103</v>
      </c>
      <c r="H118" s="375"/>
      <c r="I118" s="375"/>
      <c r="J118" s="375"/>
      <c r="K118" s="375"/>
    </row>
    <row r="119" spans="1:11" x14ac:dyDescent="0.3">
      <c r="A119" s="1308"/>
      <c r="B119" s="522" t="s">
        <v>784</v>
      </c>
      <c r="C119" s="206">
        <f>'Table S1.2 (veins data)'!$D$194</f>
        <v>104000</v>
      </c>
      <c r="D119" s="188"/>
      <c r="E119" s="188"/>
      <c r="F119" s="3" t="s">
        <v>27</v>
      </c>
      <c r="G119" s="3" t="s">
        <v>2103</v>
      </c>
      <c r="H119" s="3"/>
      <c r="I119" s="3"/>
      <c r="J119" s="3"/>
      <c r="K119" s="3"/>
    </row>
    <row r="120" spans="1:11" x14ac:dyDescent="0.3">
      <c r="A120" s="1308"/>
      <c r="B120" s="585" t="s">
        <v>785</v>
      </c>
      <c r="C120" s="350">
        <f>'Table S1.2 (veins data)'!$D$195</f>
        <v>32000</v>
      </c>
      <c r="D120" s="387"/>
      <c r="E120" s="387"/>
      <c r="F120" s="376" t="s">
        <v>27</v>
      </c>
      <c r="G120" s="376" t="s">
        <v>2103</v>
      </c>
      <c r="H120" s="376"/>
      <c r="I120" s="376"/>
      <c r="J120" s="376"/>
      <c r="K120" s="376"/>
    </row>
    <row r="121" spans="1:11" x14ac:dyDescent="0.3">
      <c r="A121" s="1308"/>
      <c r="B121" s="1019"/>
      <c r="C121" s="1019"/>
      <c r="D121" s="1019"/>
      <c r="E121" s="1019"/>
      <c r="F121" s="1019"/>
      <c r="G121" s="1019"/>
      <c r="H121" s="1019"/>
      <c r="I121" s="1019"/>
      <c r="J121" s="1019"/>
      <c r="K121" s="1019"/>
    </row>
    <row r="122" spans="1:11" s="1019" customFormat="1" x14ac:dyDescent="0.3">
      <c r="A122" s="1308"/>
      <c r="B122" s="599" t="s">
        <v>2180</v>
      </c>
      <c r="C122"/>
      <c r="D122"/>
      <c r="E122"/>
      <c r="F122"/>
      <c r="G122"/>
      <c r="H122"/>
      <c r="I122"/>
      <c r="J122"/>
      <c r="K122"/>
    </row>
    <row r="123" spans="1:11" x14ac:dyDescent="0.3">
      <c r="A123" s="1308"/>
      <c r="B123" s="488" t="s">
        <v>2191</v>
      </c>
      <c r="C123" s="1050">
        <f>ROUND($C$109*$C$116,-5)</f>
        <v>47500000</v>
      </c>
      <c r="D123" s="121"/>
      <c r="E123" s="121"/>
      <c r="F123" s="53" t="s">
        <v>699</v>
      </c>
      <c r="G123" s="121" t="s">
        <v>629</v>
      </c>
      <c r="H123" s="121"/>
      <c r="I123" s="121"/>
      <c r="J123" s="121"/>
      <c r="K123" s="121"/>
    </row>
    <row r="124" spans="1:11" x14ac:dyDescent="0.3">
      <c r="A124" s="1308"/>
      <c r="B124" s="1031" t="s">
        <v>2192</v>
      </c>
      <c r="C124" s="1051">
        <f>ROUND($C$110*$C$117,-5)</f>
        <v>47600000</v>
      </c>
      <c r="D124" s="165"/>
      <c r="E124" s="165"/>
      <c r="F124" s="166" t="s">
        <v>699</v>
      </c>
      <c r="G124" s="165" t="s">
        <v>629</v>
      </c>
      <c r="H124" s="165"/>
      <c r="I124" s="165"/>
      <c r="J124" s="165"/>
      <c r="K124" s="165"/>
    </row>
    <row r="125" spans="1:11" x14ac:dyDescent="0.3">
      <c r="A125" s="1308"/>
      <c r="B125" s="504" t="s">
        <v>2193</v>
      </c>
      <c r="C125" s="1052">
        <f>ROUND($C$111*$C$118,-5)</f>
        <v>10600000</v>
      </c>
      <c r="D125" s="422"/>
      <c r="E125" s="422"/>
      <c r="F125" s="375" t="s">
        <v>699</v>
      </c>
      <c r="G125" s="422" t="s">
        <v>629</v>
      </c>
      <c r="H125" s="391"/>
      <c r="I125" s="391"/>
      <c r="J125" s="391"/>
      <c r="K125" s="391"/>
    </row>
    <row r="126" spans="1:11" x14ac:dyDescent="0.3">
      <c r="A126" s="1308"/>
      <c r="B126" s="522" t="s">
        <v>2194</v>
      </c>
      <c r="C126" s="1053">
        <f>ROUND($C$112*$C$119,-5)</f>
        <v>46800000</v>
      </c>
      <c r="D126" s="58"/>
      <c r="E126" s="58"/>
      <c r="F126" s="3" t="s">
        <v>699</v>
      </c>
      <c r="G126" s="58" t="s">
        <v>629</v>
      </c>
      <c r="H126" s="58"/>
      <c r="I126" s="58"/>
      <c r="J126" s="58"/>
      <c r="K126" s="58"/>
    </row>
    <row r="127" spans="1:11" x14ac:dyDescent="0.3">
      <c r="A127" s="1308"/>
      <c r="B127" s="587" t="s">
        <v>2195</v>
      </c>
      <c r="C127" s="1056">
        <f>ROUND($C$113*$C$120,-5)</f>
        <v>15400000</v>
      </c>
      <c r="D127" s="383"/>
      <c r="E127" s="383"/>
      <c r="F127" s="376" t="s">
        <v>699</v>
      </c>
      <c r="G127" s="383" t="s">
        <v>629</v>
      </c>
      <c r="H127" s="381" t="s">
        <v>2101</v>
      </c>
      <c r="I127" s="383"/>
      <c r="J127" s="383"/>
      <c r="K127" s="383"/>
    </row>
    <row r="128" spans="1:11" x14ac:dyDescent="0.3">
      <c r="A128" s="1308"/>
    </row>
    <row r="129" spans="1:11" x14ac:dyDescent="0.3">
      <c r="A129" s="1308"/>
      <c r="B129" s="112" t="s">
        <v>2226</v>
      </c>
    </row>
    <row r="130" spans="1:11" x14ac:dyDescent="0.3">
      <c r="A130" s="1308"/>
      <c r="B130" s="488" t="s">
        <v>2196</v>
      </c>
      <c r="C130" s="201">
        <f>ROUND($C$123/$C$3,-4)</f>
        <v>390000</v>
      </c>
      <c r="D130" s="121"/>
      <c r="E130" s="121"/>
      <c r="F130" s="53" t="s">
        <v>699</v>
      </c>
      <c r="G130" s="121" t="s">
        <v>629</v>
      </c>
      <c r="H130" s="121"/>
      <c r="I130" s="121"/>
      <c r="J130" s="121"/>
      <c r="K130" s="121"/>
    </row>
    <row r="131" spans="1:11" x14ac:dyDescent="0.3">
      <c r="A131" s="1308"/>
      <c r="B131" s="519" t="s">
        <v>2197</v>
      </c>
      <c r="C131" s="343">
        <f>ROUND($C$124/$C$3,-4)</f>
        <v>390000</v>
      </c>
      <c r="D131" s="165"/>
      <c r="E131" s="165"/>
      <c r="F131" s="166" t="s">
        <v>699</v>
      </c>
      <c r="G131" s="165" t="s">
        <v>629</v>
      </c>
      <c r="H131" s="165"/>
      <c r="I131" s="165"/>
      <c r="J131" s="165"/>
      <c r="K131" s="165"/>
    </row>
    <row r="132" spans="1:11" x14ac:dyDescent="0.3">
      <c r="A132" s="1308"/>
      <c r="B132" s="504" t="s">
        <v>2198</v>
      </c>
      <c r="C132" s="345">
        <f>ROUND($C$125/$C$3,-2)</f>
        <v>87600</v>
      </c>
      <c r="D132" s="422"/>
      <c r="E132" s="422"/>
      <c r="F132" s="375" t="s">
        <v>699</v>
      </c>
      <c r="G132" s="422" t="s">
        <v>629</v>
      </c>
      <c r="H132" s="391"/>
      <c r="I132" s="391"/>
      <c r="J132" s="391"/>
      <c r="K132" s="391"/>
    </row>
    <row r="133" spans="1:11" x14ac:dyDescent="0.3">
      <c r="A133" s="1308"/>
      <c r="B133" s="522" t="s">
        <v>2199</v>
      </c>
      <c r="C133" s="206">
        <f>ROUND($C$126/$C$3,-4)</f>
        <v>390000</v>
      </c>
      <c r="D133" s="58"/>
      <c r="E133" s="58"/>
      <c r="F133" s="3" t="s">
        <v>699</v>
      </c>
      <c r="G133" s="58" t="s">
        <v>629</v>
      </c>
      <c r="H133" s="58"/>
      <c r="I133" s="58"/>
      <c r="J133" s="58"/>
      <c r="K133" s="58"/>
    </row>
    <row r="134" spans="1:11" ht="15.65" thickBot="1" x14ac:dyDescent="0.35">
      <c r="A134" s="1309"/>
      <c r="B134" s="587" t="s">
        <v>2200</v>
      </c>
      <c r="C134" s="350">
        <f>ROUND($C$127/$C$3,-4)</f>
        <v>130000</v>
      </c>
      <c r="D134" s="383"/>
      <c r="E134" s="383"/>
      <c r="F134" s="376" t="s">
        <v>699</v>
      </c>
      <c r="G134" s="383" t="s">
        <v>629</v>
      </c>
      <c r="H134" s="381" t="s">
        <v>2101</v>
      </c>
      <c r="I134" s="383"/>
      <c r="J134" s="383"/>
      <c r="K134" s="383"/>
    </row>
    <row r="138" spans="1:11" s="302" customFormat="1" ht="15.65" thickBot="1" x14ac:dyDescent="0.35">
      <c r="A138"/>
      <c r="B138" s="599" t="s">
        <v>2256</v>
      </c>
    </row>
    <row r="139" spans="1:11" ht="15.05" customHeight="1" x14ac:dyDescent="0.3">
      <c r="A139" s="1307" t="s">
        <v>2210</v>
      </c>
      <c r="B139" s="269" t="s">
        <v>2170</v>
      </c>
      <c r="C139" s="466">
        <f>ROUND($C$4*$C$43,-1)</f>
        <v>740</v>
      </c>
      <c r="D139" s="110"/>
      <c r="E139" s="110"/>
      <c r="F139" s="110" t="s">
        <v>26</v>
      </c>
      <c r="G139" s="41" t="s">
        <v>629</v>
      </c>
      <c r="H139" s="110"/>
      <c r="I139" s="110"/>
      <c r="J139" s="110"/>
      <c r="K139" s="110"/>
    </row>
    <row r="140" spans="1:11" x14ac:dyDescent="0.3">
      <c r="A140" s="1308"/>
      <c r="B140" s="269" t="s">
        <v>2171</v>
      </c>
      <c r="C140" s="466">
        <f>ROUND($C$5*$C$53,-2)</f>
        <v>1100</v>
      </c>
      <c r="D140" s="110"/>
      <c r="E140" s="110"/>
      <c r="F140" s="110" t="s">
        <v>26</v>
      </c>
      <c r="G140" s="41" t="s">
        <v>629</v>
      </c>
      <c r="H140" s="110"/>
      <c r="I140" s="110"/>
      <c r="J140" s="110"/>
      <c r="K140" s="110"/>
    </row>
    <row r="141" spans="1:11" x14ac:dyDescent="0.3">
      <c r="A141" s="1308"/>
      <c r="B141" s="269" t="s">
        <v>2288</v>
      </c>
      <c r="C141" s="466">
        <f>$C$15*$C$26</f>
        <v>250</v>
      </c>
      <c r="D141" s="110"/>
      <c r="E141" s="110"/>
      <c r="F141" s="110" t="s">
        <v>26</v>
      </c>
      <c r="G141" s="41" t="s">
        <v>629</v>
      </c>
      <c r="H141" s="110"/>
      <c r="I141" s="110"/>
      <c r="J141" s="110"/>
      <c r="K141" s="110"/>
    </row>
    <row r="142" spans="1:11" x14ac:dyDescent="0.3">
      <c r="A142" s="1308"/>
      <c r="B142" s="476" t="s">
        <v>2172</v>
      </c>
      <c r="C142" s="329">
        <f>ROUND($C$7*$C$63,-1)</f>
        <v>440</v>
      </c>
      <c r="D142" s="55"/>
      <c r="E142" s="55"/>
      <c r="F142" s="55" t="s">
        <v>26</v>
      </c>
      <c r="G142" s="212" t="s">
        <v>629</v>
      </c>
      <c r="H142" s="55"/>
      <c r="I142" s="55"/>
      <c r="J142" s="55"/>
      <c r="K142" s="55"/>
    </row>
    <row r="143" spans="1:11" x14ac:dyDescent="0.3">
      <c r="A143" s="1308"/>
      <c r="B143" s="478" t="s">
        <v>2173</v>
      </c>
      <c r="C143" s="203">
        <f>ROUND($C$10*$C$73,-1)</f>
        <v>1700</v>
      </c>
      <c r="D143" s="49"/>
      <c r="E143" s="49"/>
      <c r="F143" s="49" t="s">
        <v>26</v>
      </c>
      <c r="G143" s="50" t="s">
        <v>629</v>
      </c>
      <c r="H143" s="49"/>
      <c r="I143" s="49"/>
      <c r="J143" s="49"/>
      <c r="K143" s="49"/>
    </row>
    <row r="144" spans="1:11" x14ac:dyDescent="0.3">
      <c r="A144" s="1308"/>
      <c r="B144" s="478" t="s">
        <v>2174</v>
      </c>
      <c r="C144" s="203">
        <f>ROUND($C$14*$C$81,-2)</f>
        <v>1100</v>
      </c>
      <c r="D144" s="49"/>
      <c r="E144" s="49"/>
      <c r="F144" s="49" t="s">
        <v>26</v>
      </c>
      <c r="G144" s="50" t="s">
        <v>629</v>
      </c>
      <c r="H144" s="49"/>
      <c r="I144" s="49"/>
      <c r="J144" s="49"/>
      <c r="K144" s="49"/>
    </row>
    <row r="145" spans="1:21" x14ac:dyDescent="0.3">
      <c r="A145" s="1308"/>
      <c r="B145" s="488" t="s">
        <v>2201</v>
      </c>
      <c r="C145" s="1134">
        <f>ROUND($C$11*$C$109,-1)</f>
        <v>150</v>
      </c>
      <c r="D145" s="177"/>
      <c r="E145" s="177"/>
      <c r="F145" s="177" t="s">
        <v>26</v>
      </c>
      <c r="G145" s="178" t="s">
        <v>629</v>
      </c>
      <c r="H145" s="177"/>
      <c r="I145" s="177"/>
      <c r="J145" s="177"/>
      <c r="K145" s="53"/>
    </row>
    <row r="146" spans="1:21" s="282" customFormat="1" x14ac:dyDescent="0.3">
      <c r="A146" s="1308"/>
      <c r="B146" s="519" t="s">
        <v>2202</v>
      </c>
      <c r="C146" s="415">
        <f>ROUND($C$12*$C$110,-1)</f>
        <v>90</v>
      </c>
      <c r="D146" s="166"/>
      <c r="E146" s="166"/>
      <c r="F146" s="166" t="s">
        <v>26</v>
      </c>
      <c r="G146" s="165" t="s">
        <v>629</v>
      </c>
      <c r="H146" s="166"/>
      <c r="I146" s="166"/>
      <c r="J146" s="166"/>
      <c r="K146" s="166"/>
      <c r="L146"/>
      <c r="M146"/>
      <c r="N146"/>
      <c r="O146"/>
      <c r="P146"/>
      <c r="Q146"/>
      <c r="R146"/>
      <c r="S146"/>
      <c r="T146"/>
      <c r="U146"/>
    </row>
    <row r="147" spans="1:21" s="282" customFormat="1" x14ac:dyDescent="0.3">
      <c r="A147" s="1308"/>
      <c r="B147" s="504" t="s">
        <v>2203</v>
      </c>
      <c r="C147" s="423">
        <f>ROUND($C$13*$C$111,-1)</f>
        <v>140</v>
      </c>
      <c r="D147" s="391"/>
      <c r="E147" s="391"/>
      <c r="F147" s="391" t="s">
        <v>26</v>
      </c>
      <c r="G147" s="422" t="s">
        <v>629</v>
      </c>
      <c r="H147" s="391"/>
      <c r="I147" s="391"/>
      <c r="J147" s="391"/>
      <c r="K147" s="391"/>
      <c r="L147"/>
      <c r="M147"/>
      <c r="N147"/>
      <c r="O147"/>
      <c r="P147"/>
      <c r="Q147"/>
      <c r="R147"/>
      <c r="S147"/>
      <c r="T147"/>
      <c r="U147"/>
    </row>
    <row r="148" spans="1:21" s="282" customFormat="1" x14ac:dyDescent="0.3">
      <c r="A148" s="1308"/>
      <c r="B148" s="522" t="s">
        <v>2204</v>
      </c>
      <c r="C148" s="188">
        <f>ROUND($C$18*$C$112,-1)</f>
        <v>70</v>
      </c>
      <c r="D148" s="3"/>
      <c r="E148" s="3"/>
      <c r="F148" s="3" t="s">
        <v>26</v>
      </c>
      <c r="G148" s="58" t="s">
        <v>629</v>
      </c>
      <c r="H148" s="3"/>
      <c r="I148" s="3"/>
      <c r="J148" s="3"/>
      <c r="K148" s="3"/>
      <c r="L148"/>
      <c r="M148"/>
      <c r="N148"/>
      <c r="O148"/>
      <c r="P148"/>
      <c r="Q148"/>
      <c r="R148"/>
      <c r="S148"/>
      <c r="T148"/>
      <c r="U148"/>
    </row>
    <row r="149" spans="1:21" s="282" customFormat="1" ht="15.65" thickBot="1" x14ac:dyDescent="0.35">
      <c r="A149" s="1309"/>
      <c r="B149" s="587" t="s">
        <v>2205</v>
      </c>
      <c r="C149" s="387">
        <f>$C$19*$C$113</f>
        <v>480</v>
      </c>
      <c r="D149" s="381"/>
      <c r="E149" s="381"/>
      <c r="F149" s="381" t="s">
        <v>26</v>
      </c>
      <c r="G149" s="383" t="s">
        <v>629</v>
      </c>
      <c r="H149" s="381"/>
      <c r="I149" s="381"/>
      <c r="J149" s="381"/>
      <c r="K149" s="381"/>
      <c r="L149"/>
      <c r="M149"/>
      <c r="N149"/>
      <c r="O149"/>
      <c r="P149"/>
      <c r="Q149"/>
      <c r="R149"/>
      <c r="S149"/>
      <c r="T149"/>
      <c r="U149"/>
    </row>
    <row r="150" spans="1:21" s="302" customFormat="1" x14ac:dyDescent="0.3">
      <c r="A150"/>
    </row>
    <row r="151" spans="1:21" ht="15.65" thickBot="1" x14ac:dyDescent="0.35"/>
    <row r="152" spans="1:21" ht="15.05" customHeight="1" x14ac:dyDescent="0.3">
      <c r="A152" s="1372" t="s">
        <v>2218</v>
      </c>
      <c r="B152" s="269" t="s">
        <v>2257</v>
      </c>
      <c r="C152" s="466">
        <f>($C$139/('Table S1.1 (complete_data)'!$D$66*1000))*100</f>
        <v>3.9153439153439153</v>
      </c>
      <c r="D152" s="110"/>
      <c r="E152" s="110"/>
      <c r="F152" s="110" t="s">
        <v>4</v>
      </c>
      <c r="G152" s="41" t="s">
        <v>629</v>
      </c>
      <c r="H152" s="110"/>
      <c r="I152" s="110"/>
      <c r="J152" s="110"/>
      <c r="K152" s="110"/>
    </row>
    <row r="153" spans="1:21" x14ac:dyDescent="0.3">
      <c r="A153" s="1373"/>
      <c r="B153" s="269" t="s">
        <v>2258</v>
      </c>
      <c r="C153" s="466">
        <f>($C$140/('Table S1.1 (complete_data)'!$D$67*1000))*100</f>
        <v>2.8205128205128207</v>
      </c>
      <c r="D153" s="110"/>
      <c r="E153" s="110"/>
      <c r="F153" s="110" t="s">
        <v>4</v>
      </c>
      <c r="G153" s="41" t="s">
        <v>629</v>
      </c>
      <c r="H153" s="110"/>
      <c r="I153" s="110"/>
      <c r="J153" s="110"/>
      <c r="K153" s="110"/>
    </row>
    <row r="154" spans="1:21" x14ac:dyDescent="0.3">
      <c r="A154" s="1373"/>
      <c r="B154" s="269" t="s">
        <v>2211</v>
      </c>
      <c r="C154" s="466">
        <f>($C$141/('Table S1.1 (complete_data)'!$D$77*1000))*100</f>
        <v>31.928480204342275</v>
      </c>
      <c r="D154" s="110"/>
      <c r="E154" s="110"/>
      <c r="F154" s="110" t="s">
        <v>4</v>
      </c>
      <c r="G154" s="41" t="s">
        <v>629</v>
      </c>
      <c r="H154" s="110"/>
      <c r="I154" s="110"/>
      <c r="J154" s="110"/>
      <c r="K154" s="110"/>
    </row>
    <row r="155" spans="1:21" x14ac:dyDescent="0.3">
      <c r="A155" s="1373"/>
      <c r="B155" s="476" t="s">
        <v>2259</v>
      </c>
      <c r="C155" s="329">
        <f>($C$142/('Table S1.1 (complete_data)'!$D$69*1000))*100</f>
        <v>4.3023369512075877</v>
      </c>
      <c r="D155" s="55"/>
      <c r="E155" s="55"/>
      <c r="F155" s="55" t="s">
        <v>4</v>
      </c>
      <c r="G155" s="212" t="s">
        <v>629</v>
      </c>
      <c r="H155" s="55"/>
      <c r="I155" s="55"/>
      <c r="J155" s="55"/>
      <c r="K155" s="55"/>
    </row>
    <row r="156" spans="1:21" x14ac:dyDescent="0.3">
      <c r="A156" s="1373"/>
      <c r="B156" s="478" t="s">
        <v>2260</v>
      </c>
      <c r="C156" s="203">
        <f>($C$143/('Table S1.1 (complete_data)'!$D$72*1000))*100</f>
        <v>1.7000000000000002</v>
      </c>
      <c r="D156" s="49"/>
      <c r="E156" s="49"/>
      <c r="F156" s="49" t="s">
        <v>4</v>
      </c>
      <c r="G156" s="50" t="s">
        <v>629</v>
      </c>
      <c r="H156" s="49"/>
      <c r="I156" s="49"/>
      <c r="J156" s="49"/>
      <c r="K156" s="49"/>
    </row>
    <row r="157" spans="1:21" x14ac:dyDescent="0.3">
      <c r="A157" s="1373"/>
      <c r="B157" s="478" t="s">
        <v>2261</v>
      </c>
      <c r="C157" s="203">
        <f>($C$144/('Table S1.1 (complete_data)'!$D$76*1000))*100</f>
        <v>1.8333333333333333</v>
      </c>
      <c r="D157" s="49"/>
      <c r="E157" s="49"/>
      <c r="F157" s="49" t="s">
        <v>4</v>
      </c>
      <c r="G157" s="50" t="s">
        <v>629</v>
      </c>
      <c r="H157" s="49"/>
      <c r="I157" s="49"/>
      <c r="J157" s="49"/>
      <c r="K157" s="49"/>
    </row>
    <row r="158" spans="1:21" x14ac:dyDescent="0.3">
      <c r="A158" s="1373"/>
      <c r="B158" s="488" t="s">
        <v>2262</v>
      </c>
      <c r="C158" s="1134">
        <f>($C$145/('Table S1.1 (complete_data)'!$D$73*1000))*100</f>
        <v>17.647058823529413</v>
      </c>
      <c r="D158" s="177"/>
      <c r="E158" s="177"/>
      <c r="F158" s="177" t="s">
        <v>4</v>
      </c>
      <c r="G158" s="178" t="s">
        <v>629</v>
      </c>
      <c r="H158" s="177"/>
      <c r="I158" s="177"/>
      <c r="J158" s="177"/>
      <c r="K158" s="53"/>
    </row>
    <row r="159" spans="1:21" s="282" customFormat="1" x14ac:dyDescent="0.3">
      <c r="A159" s="1373"/>
      <c r="B159" s="519" t="s">
        <v>2263</v>
      </c>
      <c r="C159" s="415">
        <f>($C$146/('Table S1.1 (complete_data)'!$D$74*1000))*100</f>
        <v>14.238253440911247</v>
      </c>
      <c r="D159" s="166"/>
      <c r="E159" s="166"/>
      <c r="F159" s="166" t="s">
        <v>4</v>
      </c>
      <c r="G159" s="165" t="s">
        <v>629</v>
      </c>
      <c r="H159" s="166"/>
      <c r="I159" s="166"/>
      <c r="J159" s="166"/>
      <c r="K159" s="166"/>
      <c r="L159"/>
      <c r="M159"/>
      <c r="N159"/>
      <c r="O159"/>
      <c r="P159"/>
      <c r="Q159"/>
      <c r="R159"/>
      <c r="S159"/>
      <c r="T159"/>
      <c r="U159"/>
    </row>
    <row r="160" spans="1:21" s="282" customFormat="1" x14ac:dyDescent="0.3">
      <c r="A160" s="1373"/>
      <c r="B160" s="504" t="s">
        <v>2264</v>
      </c>
      <c r="C160" s="423">
        <f>($C$147/('Table S1.1 (complete_data)'!$D$75*1000))*100</f>
        <v>99.715099715099726</v>
      </c>
      <c r="D160" s="391"/>
      <c r="E160" s="391"/>
      <c r="F160" s="391" t="s">
        <v>4</v>
      </c>
      <c r="G160" s="422" t="s">
        <v>629</v>
      </c>
      <c r="H160" s="391"/>
      <c r="I160" s="391"/>
      <c r="J160" s="391"/>
      <c r="K160" s="391"/>
      <c r="L160"/>
      <c r="M160"/>
      <c r="N160"/>
      <c r="O160"/>
      <c r="P160"/>
      <c r="Q160"/>
      <c r="R160"/>
      <c r="S160"/>
      <c r="T160"/>
      <c r="U160"/>
    </row>
    <row r="161" spans="1:21" s="282" customFormat="1" x14ac:dyDescent="0.3">
      <c r="A161" s="1373"/>
      <c r="B161" s="522" t="s">
        <v>2265</v>
      </c>
      <c r="C161" s="188">
        <f>($C$148/('Table S1.1 (complete_data)'!$D$79*1000))*100</f>
        <v>13.157894736842104</v>
      </c>
      <c r="D161" s="3"/>
      <c r="E161" s="3"/>
      <c r="F161" s="3" t="s">
        <v>4</v>
      </c>
      <c r="G161" s="58" t="s">
        <v>629</v>
      </c>
      <c r="H161" s="3"/>
      <c r="I161" s="3"/>
      <c r="J161" s="3"/>
      <c r="K161" s="3"/>
      <c r="L161"/>
      <c r="M161"/>
      <c r="N161"/>
      <c r="O161"/>
      <c r="P161"/>
      <c r="Q161"/>
      <c r="R161"/>
      <c r="S161"/>
      <c r="T161"/>
      <c r="U161"/>
    </row>
    <row r="162" spans="1:21" s="282" customFormat="1" ht="15.65" thickBot="1" x14ac:dyDescent="0.35">
      <c r="A162" s="1374"/>
      <c r="B162" s="587" t="s">
        <v>2266</v>
      </c>
      <c r="C162" s="387">
        <f>($C$149/('Table S1.1 (complete_data)'!$D$80*1000))*100</f>
        <v>128.68632707774799</v>
      </c>
      <c r="D162" s="381"/>
      <c r="E162" s="381"/>
      <c r="F162" s="381" t="s">
        <v>4</v>
      </c>
      <c r="G162" s="383" t="s">
        <v>629</v>
      </c>
      <c r="H162" s="381"/>
      <c r="I162" s="381"/>
      <c r="J162" s="381"/>
      <c r="K162" s="381"/>
      <c r="L162"/>
      <c r="M162"/>
      <c r="N162"/>
      <c r="O162"/>
      <c r="P162"/>
      <c r="Q162"/>
      <c r="R162"/>
      <c r="S162"/>
      <c r="T162"/>
      <c r="U162"/>
    </row>
    <row r="163" spans="1:21" s="302" customFormat="1" x14ac:dyDescent="0.3">
      <c r="A163"/>
    </row>
    <row r="164" spans="1:21" s="302" customFormat="1" ht="15.65" thickBot="1" x14ac:dyDescent="0.35">
      <c r="A164"/>
    </row>
    <row r="165" spans="1:21" x14ac:dyDescent="0.3">
      <c r="A165" s="1437" t="s">
        <v>2209</v>
      </c>
      <c r="B165" s="269" t="s">
        <v>2267</v>
      </c>
      <c r="C165" s="91">
        <f>$C$139*'Table S1.1 (complete_data)'!$D$41/1000000000</f>
        <v>4.3290000000000002E-2</v>
      </c>
      <c r="D165" s="110"/>
      <c r="E165" s="110"/>
      <c r="F165" s="110" t="s">
        <v>2208</v>
      </c>
      <c r="G165" s="41" t="s">
        <v>629</v>
      </c>
      <c r="H165" s="110" t="s">
        <v>2353</v>
      </c>
      <c r="I165" s="110"/>
      <c r="J165" s="110"/>
      <c r="K165" s="110"/>
    </row>
    <row r="166" spans="1:21" x14ac:dyDescent="0.3">
      <c r="A166" s="1385"/>
      <c r="B166" s="269" t="s">
        <v>2268</v>
      </c>
      <c r="C166" s="91">
        <f>$C$140*'Table S1.1 (complete_data)'!$D$42/1000000000</f>
        <v>4.7190000000000003E-2</v>
      </c>
      <c r="D166" s="110"/>
      <c r="E166" s="110"/>
      <c r="F166" s="110" t="s">
        <v>2208</v>
      </c>
      <c r="G166" s="41" t="s">
        <v>629</v>
      </c>
      <c r="H166" s="110" t="s">
        <v>2353</v>
      </c>
      <c r="I166" s="110"/>
      <c r="J166" s="110"/>
      <c r="K166" s="110"/>
    </row>
    <row r="167" spans="1:21" x14ac:dyDescent="0.3">
      <c r="A167" s="1385"/>
      <c r="B167" s="269" t="s">
        <v>2269</v>
      </c>
      <c r="C167" s="91">
        <f>$C$141*'Table S1.1 (complete_data)'!$D$52/1000000000</f>
        <v>2.0025000000000001E-2</v>
      </c>
      <c r="D167" s="110"/>
      <c r="E167" s="110"/>
      <c r="F167" s="110" t="s">
        <v>2208</v>
      </c>
      <c r="G167" s="41" t="s">
        <v>629</v>
      </c>
      <c r="H167" s="110" t="s">
        <v>2353</v>
      </c>
      <c r="I167" s="110"/>
      <c r="J167" s="110"/>
      <c r="K167" s="110"/>
    </row>
    <row r="168" spans="1:21" x14ac:dyDescent="0.3">
      <c r="A168" s="1385"/>
      <c r="B168" s="476" t="s">
        <v>2270</v>
      </c>
      <c r="C168" s="214">
        <f>$C$63*'Table S1.1 (complete_data)'!$D$44/1000000000</f>
        <v>0.1827</v>
      </c>
      <c r="D168" s="55"/>
      <c r="E168" s="55"/>
      <c r="F168" s="55" t="s">
        <v>2208</v>
      </c>
      <c r="G168" s="212" t="s">
        <v>629</v>
      </c>
      <c r="H168" s="55" t="s">
        <v>2353</v>
      </c>
      <c r="I168" s="55"/>
      <c r="J168" s="55"/>
      <c r="K168" s="55"/>
    </row>
    <row r="169" spans="1:21" x14ac:dyDescent="0.3">
      <c r="A169" s="1385"/>
      <c r="B169" s="478" t="s">
        <v>2271</v>
      </c>
      <c r="C169" s="144">
        <f>$C$143*'Table S1.1 (complete_data)'!$D$47/1000000000</f>
        <v>0.26774999999999999</v>
      </c>
      <c r="D169" s="49"/>
      <c r="E169" s="49"/>
      <c r="F169" s="49" t="s">
        <v>2208</v>
      </c>
      <c r="G169" s="50" t="s">
        <v>629</v>
      </c>
      <c r="H169" s="49" t="s">
        <v>2353</v>
      </c>
      <c r="I169" s="49"/>
      <c r="J169" s="49"/>
      <c r="K169" s="49"/>
    </row>
    <row r="170" spans="1:21" x14ac:dyDescent="0.3">
      <c r="A170" s="1385"/>
      <c r="B170" s="478" t="s">
        <v>2272</v>
      </c>
      <c r="C170" s="86">
        <f>$C$144*'Table S1.1 (complete_data)'!$D$51/1000000000</f>
        <v>8.2323999999999994E-2</v>
      </c>
      <c r="D170" s="49"/>
      <c r="E170" s="49"/>
      <c r="F170" s="49" t="s">
        <v>2208</v>
      </c>
      <c r="G170" s="50" t="s">
        <v>629</v>
      </c>
      <c r="H170" s="49" t="s">
        <v>2353</v>
      </c>
      <c r="I170" s="49"/>
      <c r="J170" s="49"/>
      <c r="K170" s="49"/>
    </row>
    <row r="171" spans="1:21" s="282" customFormat="1" x14ac:dyDescent="0.3">
      <c r="A171" s="1385"/>
      <c r="B171" s="488" t="s">
        <v>2273</v>
      </c>
      <c r="C171" s="1058">
        <f>$C$145*'Table S1.1 (complete_data)'!$D$48/1000000000</f>
        <v>7.3499999999999998E-3</v>
      </c>
      <c r="D171" s="177"/>
      <c r="E171" s="177"/>
      <c r="F171" s="177" t="s">
        <v>2208</v>
      </c>
      <c r="G171" s="178" t="s">
        <v>629</v>
      </c>
      <c r="H171" s="177" t="s">
        <v>2353</v>
      </c>
      <c r="I171" s="177"/>
      <c r="J171" s="177"/>
      <c r="K171" s="53"/>
      <c r="L171"/>
      <c r="M171"/>
      <c r="N171"/>
      <c r="O171"/>
      <c r="P171"/>
      <c r="Q171"/>
      <c r="R171"/>
      <c r="S171"/>
      <c r="T171"/>
      <c r="U171"/>
    </row>
    <row r="172" spans="1:21" s="282" customFormat="1" x14ac:dyDescent="0.3">
      <c r="A172" s="1385"/>
      <c r="B172" s="519" t="s">
        <v>2274</v>
      </c>
      <c r="C172" s="393">
        <f>$C$146*'Table S1.1 (complete_data)'!$D$49/1000000000</f>
        <v>7.0200000000000002E-3</v>
      </c>
      <c r="D172" s="166"/>
      <c r="E172" s="166"/>
      <c r="F172" s="166" t="s">
        <v>2208</v>
      </c>
      <c r="G172" s="165" t="s">
        <v>629</v>
      </c>
      <c r="H172" s="166" t="s">
        <v>2353</v>
      </c>
      <c r="I172" s="166"/>
      <c r="J172" s="166"/>
      <c r="K172" s="166"/>
      <c r="L172"/>
      <c r="M172"/>
      <c r="N172"/>
      <c r="O172"/>
      <c r="P172"/>
      <c r="Q172"/>
      <c r="R172"/>
      <c r="S172"/>
      <c r="T172"/>
      <c r="U172"/>
    </row>
    <row r="173" spans="1:21" s="282" customFormat="1" x14ac:dyDescent="0.3">
      <c r="A173" s="1385"/>
      <c r="B173" s="504" t="s">
        <v>2275</v>
      </c>
      <c r="C173" s="430">
        <f>$C$147*'Table S1.1 (complete_data)'!$D$50/1000000000</f>
        <v>3.2200000000000002E-3</v>
      </c>
      <c r="D173" s="391"/>
      <c r="E173" s="391"/>
      <c r="F173" s="391" t="s">
        <v>2208</v>
      </c>
      <c r="G173" s="422" t="s">
        <v>629</v>
      </c>
      <c r="H173" s="391" t="s">
        <v>2353</v>
      </c>
      <c r="I173" s="391"/>
      <c r="J173" s="391"/>
      <c r="K173" s="391"/>
      <c r="L173"/>
      <c r="M173"/>
      <c r="N173"/>
      <c r="O173"/>
      <c r="P173"/>
      <c r="Q173"/>
      <c r="R173"/>
      <c r="S173"/>
      <c r="T173"/>
      <c r="U173"/>
    </row>
    <row r="174" spans="1:21" s="282" customFormat="1" x14ac:dyDescent="0.3">
      <c r="A174" s="1385"/>
      <c r="B174" s="522" t="s">
        <v>2276</v>
      </c>
      <c r="C174" s="84">
        <f>$C$148*'Table S1.1 (complete_data)'!$D$54/1000000000</f>
        <v>7.28E-3</v>
      </c>
      <c r="D174" s="3"/>
      <c r="E174" s="3"/>
      <c r="F174" s="3" t="s">
        <v>2208</v>
      </c>
      <c r="G174" s="58" t="s">
        <v>629</v>
      </c>
      <c r="H174" s="3" t="s">
        <v>2353</v>
      </c>
      <c r="I174" s="3"/>
      <c r="J174" s="3"/>
      <c r="K174" s="3"/>
      <c r="L174"/>
      <c r="M174"/>
      <c r="N174"/>
      <c r="O174"/>
      <c r="P174"/>
      <c r="Q174"/>
      <c r="R174"/>
      <c r="S174"/>
      <c r="T174"/>
      <c r="U174"/>
    </row>
    <row r="175" spans="1:21" s="282" customFormat="1" ht="15.65" thickBot="1" x14ac:dyDescent="0.35">
      <c r="A175" s="1386"/>
      <c r="B175" s="587" t="s">
        <v>2277</v>
      </c>
      <c r="C175" s="432">
        <f>$C$149*'Table S1.1 (complete_data)'!$D$55/1000000000</f>
        <v>1.536E-2</v>
      </c>
      <c r="D175" s="381"/>
      <c r="E175" s="381"/>
      <c r="F175" s="381" t="s">
        <v>2208</v>
      </c>
      <c r="G175" s="383" t="s">
        <v>629</v>
      </c>
      <c r="H175" s="381" t="s">
        <v>2353</v>
      </c>
      <c r="I175" s="381"/>
      <c r="J175" s="381"/>
      <c r="K175" s="381"/>
      <c r="L175"/>
      <c r="M175"/>
      <c r="N175"/>
      <c r="O175"/>
      <c r="P175"/>
      <c r="Q175"/>
      <c r="R175"/>
      <c r="S175"/>
      <c r="T175"/>
      <c r="U175"/>
    </row>
    <row r="177" spans="1:21" ht="15.05" customHeight="1" x14ac:dyDescent="0.3">
      <c r="A177" s="1060"/>
      <c r="B177" s="1" t="s">
        <v>2448</v>
      </c>
      <c r="C177" s="147">
        <f>SUM($C$165:$C$175)</f>
        <v>0.68350899999999992</v>
      </c>
      <c r="D177" s="2"/>
      <c r="E177" s="2"/>
      <c r="F177" s="2" t="s">
        <v>2108</v>
      </c>
      <c r="G177" s="1" t="s">
        <v>794</v>
      </c>
      <c r="H177" s="2"/>
      <c r="I177" s="2"/>
      <c r="J177" s="2"/>
      <c r="K177" s="2"/>
    </row>
    <row r="178" spans="1:21" ht="15.05" customHeight="1" x14ac:dyDescent="0.3">
      <c r="A178" s="1059"/>
      <c r="B178" s="1" t="s">
        <v>2319</v>
      </c>
      <c r="C178" s="207">
        <f>C177*'Table S1.1 (complete_data)'!D17</f>
        <v>31.068590909090904</v>
      </c>
      <c r="D178" s="2"/>
      <c r="E178" s="2"/>
      <c r="F178" s="2" t="s">
        <v>948</v>
      </c>
      <c r="G178" s="1" t="s">
        <v>794</v>
      </c>
      <c r="H178" s="2"/>
      <c r="I178" s="2"/>
      <c r="J178" s="2"/>
      <c r="K178" s="2"/>
    </row>
    <row r="179" spans="1:21" x14ac:dyDescent="0.3">
      <c r="B179" s="2" t="s">
        <v>2213</v>
      </c>
      <c r="C179" s="197">
        <f>100*$C$177/($C$177+'Table S1.1 (complete_data)'!$D$110)</f>
        <v>2.6775654674039009</v>
      </c>
      <c r="D179" s="2"/>
      <c r="E179" s="2"/>
      <c r="F179" s="2" t="s">
        <v>4</v>
      </c>
      <c r="G179" s="1" t="s">
        <v>794</v>
      </c>
      <c r="H179" s="2" t="s">
        <v>2354</v>
      </c>
      <c r="I179" s="2" t="s">
        <v>1897</v>
      </c>
      <c r="J179" s="2"/>
      <c r="K179" s="2"/>
    </row>
    <row r="180" spans="1:21" ht="15.05" customHeight="1" thickBot="1" x14ac:dyDescent="0.35">
      <c r="A180" s="1059"/>
      <c r="B180" s="599"/>
      <c r="C180" s="1011"/>
      <c r="D180" s="302"/>
      <c r="E180" s="302"/>
      <c r="F180" s="302"/>
      <c r="G180" s="302"/>
      <c r="H180" s="302"/>
      <c r="I180" s="302"/>
      <c r="J180" s="302"/>
      <c r="K180" s="302"/>
    </row>
    <row r="181" spans="1:21" x14ac:dyDescent="0.3">
      <c r="A181" s="1376" t="s">
        <v>2219</v>
      </c>
      <c r="B181" s="269" t="s">
        <v>2278</v>
      </c>
      <c r="C181" s="278">
        <f>$C$165/$C$3*1000</f>
        <v>0.3577685950413223</v>
      </c>
      <c r="D181" s="110"/>
      <c r="E181" s="110"/>
      <c r="F181" s="110" t="s">
        <v>2212</v>
      </c>
      <c r="G181" s="41" t="s">
        <v>629</v>
      </c>
      <c r="H181" s="110"/>
      <c r="I181" s="110"/>
      <c r="J181" s="110"/>
      <c r="K181" s="110"/>
    </row>
    <row r="182" spans="1:21" x14ac:dyDescent="0.3">
      <c r="A182" s="1385"/>
      <c r="B182" s="269" t="s">
        <v>2279</v>
      </c>
      <c r="C182" s="278">
        <f>$C$166/$C$3*1000</f>
        <v>0.39000000000000007</v>
      </c>
      <c r="D182" s="110"/>
      <c r="E182" s="110"/>
      <c r="F182" s="110" t="s">
        <v>2212</v>
      </c>
      <c r="G182" s="41" t="s">
        <v>629</v>
      </c>
      <c r="H182" s="110"/>
      <c r="I182" s="110"/>
      <c r="J182" s="110"/>
      <c r="K182" s="110"/>
    </row>
    <row r="183" spans="1:21" x14ac:dyDescent="0.3">
      <c r="A183" s="1385"/>
      <c r="B183" s="269" t="s">
        <v>2215</v>
      </c>
      <c r="C183" s="278">
        <f>$C$167/$C$3*1000</f>
        <v>0.16549586776859507</v>
      </c>
      <c r="D183" s="110"/>
      <c r="E183" s="110"/>
      <c r="F183" s="110" t="s">
        <v>2212</v>
      </c>
      <c r="G183" s="41" t="s">
        <v>629</v>
      </c>
      <c r="H183" s="110"/>
      <c r="I183" s="110"/>
      <c r="J183" s="110"/>
      <c r="K183" s="110"/>
    </row>
    <row r="184" spans="1:21" x14ac:dyDescent="0.3">
      <c r="A184" s="1385"/>
      <c r="B184" s="476" t="s">
        <v>2280</v>
      </c>
      <c r="C184" s="252">
        <f>$C$168/$C$3*1000</f>
        <v>1.509917355371901</v>
      </c>
      <c r="D184" s="55"/>
      <c r="E184" s="55"/>
      <c r="F184" s="55" t="s">
        <v>2212</v>
      </c>
      <c r="G184" s="212" t="s">
        <v>629</v>
      </c>
      <c r="H184" s="55"/>
      <c r="I184" s="55"/>
      <c r="J184" s="55"/>
      <c r="K184" s="55"/>
    </row>
    <row r="185" spans="1:21" x14ac:dyDescent="0.3">
      <c r="A185" s="1385"/>
      <c r="B185" s="478" t="s">
        <v>2281</v>
      </c>
      <c r="C185" s="330">
        <f>$C$169/$C$3*1000</f>
        <v>2.2128099173553717</v>
      </c>
      <c r="D185" s="49"/>
      <c r="E185" s="49"/>
      <c r="F185" s="49" t="s">
        <v>2212</v>
      </c>
      <c r="G185" s="50" t="s">
        <v>629</v>
      </c>
      <c r="H185" s="49"/>
      <c r="I185" s="49"/>
      <c r="J185" s="49"/>
      <c r="K185" s="49"/>
    </row>
    <row r="186" spans="1:21" x14ac:dyDescent="0.3">
      <c r="A186" s="1385"/>
      <c r="B186" s="478" t="s">
        <v>2282</v>
      </c>
      <c r="C186" s="330">
        <f>$C$170/$C$3*1000</f>
        <v>0.68036363636363628</v>
      </c>
      <c r="D186" s="49"/>
      <c r="E186" s="49"/>
      <c r="F186" s="49" t="s">
        <v>2212</v>
      </c>
      <c r="G186" s="50" t="s">
        <v>629</v>
      </c>
      <c r="H186" s="49"/>
      <c r="I186" s="49"/>
      <c r="J186" s="49"/>
      <c r="K186" s="49"/>
    </row>
    <row r="187" spans="1:21" s="282" customFormat="1" x14ac:dyDescent="0.3">
      <c r="A187" s="1385"/>
      <c r="B187" s="488" t="s">
        <v>2283</v>
      </c>
      <c r="C187" s="976">
        <f>$C$171/$C$3*1000</f>
        <v>6.074380165289256E-2</v>
      </c>
      <c r="D187" s="177"/>
      <c r="E187" s="177"/>
      <c r="F187" s="177" t="s">
        <v>2212</v>
      </c>
      <c r="G187" s="178" t="s">
        <v>629</v>
      </c>
      <c r="H187" s="177"/>
      <c r="I187" s="177"/>
      <c r="J187" s="177"/>
      <c r="K187" s="53"/>
      <c r="L187"/>
      <c r="M187"/>
      <c r="N187"/>
      <c r="O187"/>
      <c r="P187"/>
      <c r="Q187"/>
      <c r="R187"/>
      <c r="S187"/>
      <c r="T187"/>
      <c r="U187"/>
    </row>
    <row r="188" spans="1:21" s="282" customFormat="1" x14ac:dyDescent="0.3">
      <c r="A188" s="1385"/>
      <c r="B188" s="519" t="s">
        <v>2284</v>
      </c>
      <c r="C188" s="467">
        <f>$C$172/$C$3*1000</f>
        <v>5.8016528925619835E-2</v>
      </c>
      <c r="D188" s="166"/>
      <c r="E188" s="166"/>
      <c r="F188" s="166" t="s">
        <v>2212</v>
      </c>
      <c r="G188" s="165" t="s">
        <v>629</v>
      </c>
      <c r="H188" s="166"/>
      <c r="I188" s="166"/>
      <c r="J188" s="166"/>
      <c r="K188" s="166"/>
      <c r="L188"/>
      <c r="M188"/>
      <c r="N188"/>
      <c r="O188"/>
      <c r="P188"/>
      <c r="Q188"/>
      <c r="R188"/>
      <c r="S188"/>
      <c r="T188"/>
      <c r="U188"/>
    </row>
    <row r="189" spans="1:21" s="282" customFormat="1" x14ac:dyDescent="0.3">
      <c r="A189" s="1385"/>
      <c r="B189" s="504" t="s">
        <v>2285</v>
      </c>
      <c r="C189" s="430">
        <f>$C$173/$C$3*1000</f>
        <v>2.6611570247933886E-2</v>
      </c>
      <c r="D189" s="391"/>
      <c r="E189" s="391"/>
      <c r="F189" s="391" t="s">
        <v>2212</v>
      </c>
      <c r="G189" s="422" t="s">
        <v>629</v>
      </c>
      <c r="H189" s="391"/>
      <c r="I189" s="391"/>
      <c r="J189" s="391"/>
      <c r="K189" s="391"/>
      <c r="L189"/>
      <c r="M189"/>
      <c r="N189"/>
      <c r="O189"/>
      <c r="P189"/>
      <c r="Q189"/>
      <c r="R189"/>
      <c r="S189"/>
      <c r="T189"/>
      <c r="U189"/>
    </row>
    <row r="190" spans="1:21" s="282" customFormat="1" x14ac:dyDescent="0.3">
      <c r="A190" s="1385"/>
      <c r="B190" s="522" t="s">
        <v>2286</v>
      </c>
      <c r="C190" s="84">
        <f>$C$174/$C$3*1000</f>
        <v>6.0165289256198351E-2</v>
      </c>
      <c r="D190" s="3"/>
      <c r="E190" s="3"/>
      <c r="F190" s="3" t="s">
        <v>2212</v>
      </c>
      <c r="G190" s="58" t="s">
        <v>629</v>
      </c>
      <c r="H190" s="3"/>
      <c r="I190" s="3"/>
      <c r="J190" s="3"/>
      <c r="K190" s="3"/>
      <c r="L190"/>
      <c r="M190"/>
      <c r="N190"/>
      <c r="O190"/>
      <c r="P190"/>
      <c r="Q190"/>
      <c r="R190"/>
      <c r="S190"/>
      <c r="T190"/>
      <c r="U190"/>
    </row>
    <row r="191" spans="1:21" s="282" customFormat="1" ht="15.65" thickBot="1" x14ac:dyDescent="0.35">
      <c r="A191" s="1386"/>
      <c r="B191" s="587" t="s">
        <v>2287</v>
      </c>
      <c r="C191" s="988">
        <f>$C$175/$C$3*1000</f>
        <v>0.12694214876033058</v>
      </c>
      <c r="D191" s="381"/>
      <c r="E191" s="381"/>
      <c r="F191" s="381" t="s">
        <v>2212</v>
      </c>
      <c r="G191" s="383" t="s">
        <v>629</v>
      </c>
      <c r="H191" s="381"/>
      <c r="I191" s="381"/>
      <c r="J191" s="381"/>
      <c r="K191" s="381"/>
      <c r="L191"/>
      <c r="M191"/>
      <c r="N191"/>
      <c r="O191"/>
      <c r="P191"/>
      <c r="Q191"/>
      <c r="R191"/>
      <c r="S191"/>
      <c r="T191"/>
      <c r="U191"/>
    </row>
    <row r="193" spans="1:11" ht="15.05" customHeight="1" x14ac:dyDescent="0.3">
      <c r="A193" s="1060"/>
      <c r="B193" s="1" t="s">
        <v>2216</v>
      </c>
      <c r="C193" s="284">
        <f>SUM($C$181:$C$191)</f>
        <v>5.6488347107438024</v>
      </c>
      <c r="D193" s="2"/>
      <c r="E193" s="2"/>
      <c r="F193" s="2" t="s">
        <v>2212</v>
      </c>
      <c r="G193" s="1" t="s">
        <v>794</v>
      </c>
      <c r="H193" s="2"/>
      <c r="I193" s="2"/>
      <c r="J193" s="2"/>
      <c r="K193" s="2"/>
    </row>
    <row r="194" spans="1:11" s="302" customFormat="1" x14ac:dyDescent="0.3">
      <c r="C194" s="366"/>
      <c r="G194" s="599"/>
    </row>
    <row r="195" spans="1:11" ht="18.2" x14ac:dyDescent="0.35">
      <c r="A195" s="1047" t="s">
        <v>2325</v>
      </c>
    </row>
    <row r="196" spans="1:11" ht="15.65" thickBot="1" x14ac:dyDescent="0.35">
      <c r="B196" s="228"/>
    </row>
    <row r="197" spans="1:11" ht="15.05" customHeight="1" x14ac:dyDescent="0.3">
      <c r="A197" s="1420" t="s">
        <v>2228</v>
      </c>
      <c r="B197" s="269" t="s">
        <v>2326</v>
      </c>
      <c r="C197" s="466">
        <f>$C$44+$C$54</f>
        <v>590000000</v>
      </c>
      <c r="D197" s="110"/>
      <c r="E197" s="110"/>
      <c r="F197" s="110" t="s">
        <v>2100</v>
      </c>
      <c r="G197" s="41" t="s">
        <v>629</v>
      </c>
      <c r="H197" s="110"/>
      <c r="I197" s="110"/>
      <c r="J197" s="110"/>
      <c r="K197" s="110"/>
    </row>
    <row r="198" spans="1:11" x14ac:dyDescent="0.3">
      <c r="A198" s="1396"/>
      <c r="B198" s="269" t="s">
        <v>2327</v>
      </c>
      <c r="C198" s="466">
        <f>ROUND(C26*'Table S1.1 (complete_data)'!D52,-5)</f>
        <v>40100000</v>
      </c>
      <c r="D198" s="110"/>
      <c r="E198" s="110"/>
      <c r="F198" s="110" t="s">
        <v>2100</v>
      </c>
      <c r="G198" s="41" t="s">
        <v>629</v>
      </c>
      <c r="H198" s="110"/>
      <c r="I198" s="110"/>
      <c r="J198" s="110"/>
      <c r="K198" s="110"/>
    </row>
    <row r="199" spans="1:11" x14ac:dyDescent="0.3">
      <c r="A199" s="1396"/>
      <c r="B199" s="476" t="s">
        <v>2328</v>
      </c>
      <c r="C199" s="329">
        <f>$C$64</f>
        <v>183000000</v>
      </c>
      <c r="D199" s="55"/>
      <c r="E199" s="55"/>
      <c r="F199" s="55" t="s">
        <v>2100</v>
      </c>
      <c r="G199" s="212" t="s">
        <v>629</v>
      </c>
      <c r="H199" s="55"/>
      <c r="I199" s="55"/>
      <c r="J199" s="55"/>
      <c r="K199" s="55"/>
    </row>
    <row r="200" spans="1:11" x14ac:dyDescent="0.3">
      <c r="A200" s="1396"/>
      <c r="B200" s="478" t="s">
        <v>2329</v>
      </c>
      <c r="C200" s="203">
        <f>$C$75</f>
        <v>1750000000</v>
      </c>
      <c r="D200" s="49"/>
      <c r="E200" s="49"/>
      <c r="F200" s="49" t="s">
        <v>2100</v>
      </c>
      <c r="G200" s="50" t="s">
        <v>629</v>
      </c>
      <c r="H200" s="49"/>
      <c r="I200" s="49"/>
      <c r="J200" s="49"/>
      <c r="K200" s="49"/>
    </row>
    <row r="201" spans="1:11" x14ac:dyDescent="0.3">
      <c r="A201" s="1396"/>
      <c r="B201" s="478" t="s">
        <v>2330</v>
      </c>
      <c r="C201" s="203">
        <f>$C$83</f>
        <v>555000000</v>
      </c>
      <c r="D201" s="49"/>
      <c r="E201" s="49"/>
      <c r="F201" s="49" t="s">
        <v>2100</v>
      </c>
      <c r="G201" s="50" t="s">
        <v>629</v>
      </c>
      <c r="H201" s="49"/>
      <c r="I201" s="49"/>
      <c r="J201" s="49"/>
      <c r="K201" s="49"/>
    </row>
    <row r="202" spans="1:11" x14ac:dyDescent="0.3">
      <c r="A202" s="1396"/>
      <c r="B202" s="488" t="s">
        <v>2331</v>
      </c>
      <c r="C202" s="201">
        <f>$C$123</f>
        <v>47500000</v>
      </c>
      <c r="D202" s="53"/>
      <c r="E202" s="53"/>
      <c r="F202" s="53" t="s">
        <v>2100</v>
      </c>
      <c r="G202" s="121" t="s">
        <v>629</v>
      </c>
      <c r="H202" s="53"/>
      <c r="I202" s="53"/>
      <c r="J202" s="53"/>
      <c r="K202" s="53"/>
    </row>
    <row r="203" spans="1:11" x14ac:dyDescent="0.3">
      <c r="A203" s="1396"/>
      <c r="B203" s="519" t="s">
        <v>2332</v>
      </c>
      <c r="C203" s="343">
        <f>$C$124</f>
        <v>47600000</v>
      </c>
      <c r="D203" s="166"/>
      <c r="E203" s="166"/>
      <c r="F203" s="166" t="s">
        <v>2100</v>
      </c>
      <c r="G203" s="165" t="s">
        <v>629</v>
      </c>
      <c r="H203" s="166"/>
      <c r="I203" s="166"/>
      <c r="J203" s="166"/>
      <c r="K203" s="166"/>
    </row>
    <row r="204" spans="1:11" x14ac:dyDescent="0.3">
      <c r="A204" s="1396"/>
      <c r="B204" s="504" t="s">
        <v>2333</v>
      </c>
      <c r="C204" s="345">
        <f>$C$125</f>
        <v>10600000</v>
      </c>
      <c r="D204" s="375"/>
      <c r="E204" s="375"/>
      <c r="F204" s="375" t="s">
        <v>2100</v>
      </c>
      <c r="G204" s="422" t="s">
        <v>629</v>
      </c>
      <c r="H204" s="375"/>
      <c r="I204" s="375"/>
      <c r="J204" s="375"/>
      <c r="K204" s="375"/>
    </row>
    <row r="205" spans="1:11" x14ac:dyDescent="0.3">
      <c r="A205" s="1396"/>
      <c r="B205" s="522" t="s">
        <v>2334</v>
      </c>
      <c r="C205" s="206">
        <f>$C$126</f>
        <v>46800000</v>
      </c>
      <c r="D205" s="3"/>
      <c r="E205" s="3"/>
      <c r="F205" s="3" t="s">
        <v>2100</v>
      </c>
      <c r="G205" s="58" t="s">
        <v>629</v>
      </c>
      <c r="H205" s="3"/>
      <c r="I205" s="3"/>
      <c r="J205" s="3"/>
      <c r="K205" s="3"/>
    </row>
    <row r="206" spans="1:11" x14ac:dyDescent="0.3">
      <c r="A206" s="1396"/>
      <c r="B206" s="587" t="s">
        <v>2335</v>
      </c>
      <c r="C206" s="1032">
        <f>$C$127</f>
        <v>15400000</v>
      </c>
      <c r="D206" s="376"/>
      <c r="E206" s="376"/>
      <c r="F206" s="376" t="s">
        <v>2100</v>
      </c>
      <c r="G206" s="383"/>
      <c r="H206" s="376" t="s">
        <v>2101</v>
      </c>
      <c r="I206" s="376"/>
      <c r="J206" s="376"/>
      <c r="K206" s="376"/>
    </row>
    <row r="207" spans="1:11" x14ac:dyDescent="0.3">
      <c r="A207" s="1396"/>
      <c r="B207" s="728"/>
    </row>
    <row r="208" spans="1:11" x14ac:dyDescent="0.3">
      <c r="A208" s="1396"/>
      <c r="B208" s="112" t="s">
        <v>2336</v>
      </c>
      <c r="C208" s="207">
        <f>ROUND(SUM($C$197:$C$206),-8)</f>
        <v>3300000000</v>
      </c>
      <c r="D208" s="2"/>
      <c r="E208" s="2"/>
      <c r="F208" s="2" t="s">
        <v>699</v>
      </c>
      <c r="G208" s="1" t="s">
        <v>629</v>
      </c>
      <c r="H208" s="2"/>
      <c r="I208" s="2"/>
      <c r="J208" s="2"/>
      <c r="K208" s="2"/>
    </row>
    <row r="209" spans="1:11" x14ac:dyDescent="0.3">
      <c r="A209" s="1396"/>
      <c r="B209" s="29" t="s">
        <v>2337</v>
      </c>
      <c r="C209" s="1024">
        <f>ROUND($C$208/1000000,-2)</f>
        <v>3300</v>
      </c>
      <c r="D209" s="2"/>
      <c r="E209" s="2"/>
      <c r="F209" s="2" t="s">
        <v>21</v>
      </c>
      <c r="G209" s="1" t="s">
        <v>629</v>
      </c>
      <c r="H209" s="2"/>
      <c r="I209" s="2"/>
      <c r="J209" s="2"/>
      <c r="K209" s="2"/>
    </row>
    <row r="210" spans="1:11" x14ac:dyDescent="0.3">
      <c r="A210" s="1396"/>
      <c r="B210" s="29" t="s">
        <v>2338</v>
      </c>
      <c r="C210" s="1024">
        <f>$C$209/100</f>
        <v>33</v>
      </c>
      <c r="D210" s="2"/>
      <c r="E210" s="2"/>
      <c r="F210" s="2" t="s">
        <v>1972</v>
      </c>
      <c r="G210" s="1" t="s">
        <v>629</v>
      </c>
      <c r="H210" s="2"/>
      <c r="I210" s="2"/>
      <c r="J210" s="2"/>
      <c r="K210" s="2"/>
    </row>
    <row r="211" spans="1:11" ht="15.65" thickBot="1" x14ac:dyDescent="0.35">
      <c r="A211" s="1397"/>
      <c r="B211" s="29" t="s">
        <v>2339</v>
      </c>
      <c r="C211" s="1024">
        <f>$C$209/$C$3</f>
        <v>27.272727272727273</v>
      </c>
      <c r="D211" s="2"/>
      <c r="E211" s="2"/>
      <c r="F211" s="2" t="s">
        <v>44</v>
      </c>
      <c r="G211" s="1" t="s">
        <v>629</v>
      </c>
      <c r="H211" s="2"/>
      <c r="I211" s="2"/>
      <c r="J211" s="2"/>
      <c r="K211" s="2"/>
    </row>
    <row r="212" spans="1:11" x14ac:dyDescent="0.3">
      <c r="A212" s="1018"/>
      <c r="B212" s="302"/>
      <c r="C212" s="1033"/>
      <c r="D212" s="302"/>
      <c r="E212" s="302"/>
      <c r="F212" s="302"/>
      <c r="G212" s="599"/>
      <c r="H212" s="302"/>
      <c r="I212" s="302"/>
      <c r="J212" s="302"/>
      <c r="K212" s="302"/>
    </row>
    <row r="213" spans="1:11" ht="15.65" thickBot="1" x14ac:dyDescent="0.35">
      <c r="A213" s="1018"/>
      <c r="B213" s="302"/>
      <c r="C213" s="1033"/>
      <c r="D213" s="302"/>
      <c r="E213" s="302"/>
      <c r="F213" s="302"/>
      <c r="G213" s="599"/>
      <c r="H213" s="302"/>
      <c r="I213" s="302"/>
      <c r="J213" s="302"/>
      <c r="K213" s="302"/>
    </row>
    <row r="214" spans="1:11" s="282" customFormat="1" ht="15.65" customHeight="1" thickBot="1" x14ac:dyDescent="0.35">
      <c r="A214" s="1417" t="s">
        <v>2229</v>
      </c>
      <c r="B214" s="1048" t="s">
        <v>2340</v>
      </c>
      <c r="C214" s="1061">
        <f>$C$197</f>
        <v>590000000</v>
      </c>
      <c r="D214" s="327"/>
      <c r="E214" s="327"/>
      <c r="F214" s="11" t="s">
        <v>2100</v>
      </c>
      <c r="G214" s="5" t="s">
        <v>2153</v>
      </c>
      <c r="H214" s="11" t="s">
        <v>2227</v>
      </c>
      <c r="I214" s="11" t="s">
        <v>1897</v>
      </c>
      <c r="J214" s="11"/>
      <c r="K214" s="11"/>
    </row>
    <row r="215" spans="1:11" s="282" customFormat="1" x14ac:dyDescent="0.3">
      <c r="A215" s="1418"/>
      <c r="B215" s="327"/>
      <c r="C215" s="1062"/>
      <c r="D215" s="11"/>
      <c r="E215" s="11"/>
      <c r="F215" s="11"/>
      <c r="G215" s="4"/>
      <c r="H215" s="11"/>
      <c r="I215" s="11"/>
      <c r="J215" s="11"/>
      <c r="K215" s="11"/>
    </row>
    <row r="216" spans="1:11" s="830" customFormat="1" x14ac:dyDescent="0.3">
      <c r="A216" s="1418"/>
      <c r="B216" s="327" t="s">
        <v>2341</v>
      </c>
      <c r="C216" s="1062">
        <f>ROUND($C$214/$C$3, -5)</f>
        <v>4900000</v>
      </c>
      <c r="D216" s="11"/>
      <c r="E216" s="11"/>
      <c r="F216" s="11" t="s">
        <v>2087</v>
      </c>
      <c r="G216" s="4"/>
      <c r="H216" s="11"/>
      <c r="I216" s="11"/>
      <c r="J216" s="11"/>
      <c r="K216" s="11"/>
    </row>
    <row r="217" spans="1:11" s="302" customFormat="1" x14ac:dyDescent="0.3">
      <c r="A217" s="1418"/>
    </row>
    <row r="218" spans="1:11" s="302" customFormat="1" ht="15.65" thickBot="1" x14ac:dyDescent="0.35">
      <c r="A218" s="1419"/>
    </row>
    <row r="219" spans="1:11" s="1018" customFormat="1" ht="15.65" thickBot="1" x14ac:dyDescent="0.35"/>
    <row r="220" spans="1:11" ht="15.05" customHeight="1" x14ac:dyDescent="0.3">
      <c r="A220" s="1405" t="s">
        <v>2230</v>
      </c>
      <c r="B220" s="327" t="s">
        <v>2147</v>
      </c>
      <c r="C220" s="251">
        <v>22.218</v>
      </c>
      <c r="D220" s="11"/>
      <c r="E220" s="11"/>
      <c r="F220" s="11" t="s">
        <v>84</v>
      </c>
      <c r="G220" s="4" t="s">
        <v>1875</v>
      </c>
      <c r="H220" s="11" t="s">
        <v>1985</v>
      </c>
      <c r="I220" s="11"/>
      <c r="J220" s="11"/>
      <c r="K220" s="11"/>
    </row>
    <row r="221" spans="1:11" x14ac:dyDescent="0.3">
      <c r="A221" s="1406"/>
      <c r="B221" s="327" t="s">
        <v>2148</v>
      </c>
      <c r="C221" s="942">
        <v>4.4000000000000004</v>
      </c>
      <c r="D221" s="11"/>
      <c r="E221" s="11"/>
      <c r="F221" s="11" t="s">
        <v>84</v>
      </c>
      <c r="G221" s="4" t="s">
        <v>629</v>
      </c>
      <c r="H221" s="11" t="s">
        <v>1985</v>
      </c>
      <c r="I221" s="11"/>
      <c r="J221" s="11"/>
      <c r="K221" s="11"/>
    </row>
    <row r="222" spans="1:11" x14ac:dyDescent="0.3">
      <c r="A222" s="1406"/>
      <c r="B222" s="327" t="s">
        <v>2085</v>
      </c>
      <c r="C222" s="251">
        <v>48.5</v>
      </c>
      <c r="D222" s="11"/>
      <c r="E222" s="11"/>
      <c r="F222" s="11" t="s">
        <v>84</v>
      </c>
      <c r="G222" s="4" t="s">
        <v>629</v>
      </c>
      <c r="H222" s="11" t="s">
        <v>1985</v>
      </c>
      <c r="I222" s="11"/>
      <c r="J222" s="11"/>
      <c r="K222" s="11"/>
    </row>
    <row r="223" spans="1:11" x14ac:dyDescent="0.3">
      <c r="A223" s="1406"/>
      <c r="B223" s="327" t="s">
        <v>2144</v>
      </c>
      <c r="C223" s="251">
        <f>ROUND(PI()*$C$220^2*($C$222+(4/3)*$C$221),-2)</f>
        <v>84300</v>
      </c>
      <c r="D223" s="11"/>
      <c r="E223" s="11"/>
      <c r="F223" s="11" t="s">
        <v>26</v>
      </c>
      <c r="G223" s="4" t="s">
        <v>629</v>
      </c>
      <c r="H223" s="11" t="s">
        <v>2146</v>
      </c>
      <c r="I223" s="11" t="s">
        <v>2145</v>
      </c>
      <c r="J223" s="11"/>
      <c r="K223" s="11"/>
    </row>
    <row r="224" spans="1:11" x14ac:dyDescent="0.3">
      <c r="A224" s="1406"/>
      <c r="B224" s="327" t="s">
        <v>2342</v>
      </c>
      <c r="C224" s="251">
        <f>ROUND(4*PI()*((($C$220^1.6075*$C$220^1.6075+2*$C$220^1.6075*$C$221^1.6075)/3)^(1/1.6075)),-2)</f>
        <v>3400</v>
      </c>
      <c r="D224" s="11"/>
      <c r="E224" s="11"/>
      <c r="F224" s="11" t="s">
        <v>699</v>
      </c>
      <c r="G224" s="4" t="s">
        <v>629</v>
      </c>
      <c r="H224" s="11" t="s">
        <v>1986</v>
      </c>
      <c r="I224" s="11"/>
      <c r="J224" s="11"/>
      <c r="K224" s="11"/>
    </row>
    <row r="225" spans="1:11" x14ac:dyDescent="0.3">
      <c r="A225" s="1406"/>
      <c r="B225" s="327" t="s">
        <v>2343</v>
      </c>
      <c r="C225" s="251">
        <f>ROUND($C$224+2*PI()*$C$220*$C$222,-2)</f>
        <v>10200</v>
      </c>
      <c r="D225" s="11"/>
      <c r="E225" s="11"/>
      <c r="F225" s="11" t="s">
        <v>699</v>
      </c>
      <c r="G225" s="4" t="s">
        <v>629</v>
      </c>
      <c r="H225" s="11" t="s">
        <v>1987</v>
      </c>
      <c r="I225" s="11"/>
      <c r="J225" s="11"/>
      <c r="K225" s="11"/>
    </row>
    <row r="226" spans="1:11" x14ac:dyDescent="0.3">
      <c r="A226" s="1406"/>
      <c r="B226" s="1044" t="s">
        <v>1968</v>
      </c>
      <c r="C226" s="1045">
        <f>'Table S1.1 (complete_data)'!$D$28</f>
        <v>1280</v>
      </c>
      <c r="D226" s="11">
        <v>100</v>
      </c>
      <c r="E226" s="11"/>
      <c r="F226" s="11" t="s">
        <v>22</v>
      </c>
      <c r="G226" s="11" t="s">
        <v>633</v>
      </c>
      <c r="H226" s="11" t="s">
        <v>1821</v>
      </c>
      <c r="I226" s="11"/>
      <c r="J226" s="11"/>
      <c r="K226" s="11"/>
    </row>
    <row r="227" spans="1:11" x14ac:dyDescent="0.3">
      <c r="A227" s="1406"/>
      <c r="B227" s="327" t="s">
        <v>2347</v>
      </c>
      <c r="C227" s="251">
        <f>ROUND($C$3*$C$74*$C$73,-6)</f>
        <v>1750000000</v>
      </c>
      <c r="D227" s="11"/>
      <c r="E227" s="11"/>
      <c r="F227" s="11" t="s">
        <v>699</v>
      </c>
      <c r="G227" s="4" t="s">
        <v>629</v>
      </c>
      <c r="H227" s="11"/>
      <c r="I227" s="11"/>
      <c r="J227" s="11"/>
      <c r="K227" s="11"/>
    </row>
    <row r="228" spans="1:11" ht="15.65" thickBot="1" x14ac:dyDescent="0.35">
      <c r="A228" s="1407"/>
      <c r="B228" s="492" t="s">
        <v>2348</v>
      </c>
      <c r="C228" s="1046">
        <f>ROUND($C$75/($C$3),-5)</f>
        <v>14500000</v>
      </c>
      <c r="D228" s="115"/>
      <c r="E228" s="115"/>
      <c r="F228" s="115" t="s">
        <v>2087</v>
      </c>
      <c r="G228" s="286" t="s">
        <v>629</v>
      </c>
      <c r="H228" s="115"/>
      <c r="I228" s="115"/>
      <c r="J228" s="115"/>
      <c r="K228" s="115"/>
    </row>
    <row r="229" spans="1:11" s="374" customFormat="1" ht="15.65" thickBot="1" x14ac:dyDescent="0.35"/>
    <row r="230" spans="1:11" s="302" customFormat="1" ht="15.05" customHeight="1" x14ac:dyDescent="0.3">
      <c r="A230" s="1405" t="s">
        <v>2231</v>
      </c>
      <c r="B230" s="274" t="s">
        <v>2149</v>
      </c>
      <c r="C230" s="1045">
        <v>47500</v>
      </c>
      <c r="D230" s="11"/>
      <c r="E230" s="11"/>
      <c r="F230" s="11" t="s">
        <v>26</v>
      </c>
      <c r="G230" s="4" t="s">
        <v>1821</v>
      </c>
      <c r="H230" s="11" t="s">
        <v>2150</v>
      </c>
      <c r="I230" s="11"/>
      <c r="J230" s="11"/>
      <c r="K230" s="11"/>
    </row>
    <row r="231" spans="1:11" x14ac:dyDescent="0.3">
      <c r="A231" s="1406"/>
      <c r="B231" s="327" t="s">
        <v>2151</v>
      </c>
      <c r="C231" s="251">
        <f>(3*$C$230/(4*PI()))^(1/3)</f>
        <v>22.466478276751182</v>
      </c>
      <c r="D231" s="11"/>
      <c r="E231" s="11"/>
      <c r="F231" s="11" t="s">
        <v>26</v>
      </c>
      <c r="G231" s="4" t="s">
        <v>629</v>
      </c>
      <c r="H231" s="11"/>
      <c r="I231" s="11"/>
      <c r="J231" s="11"/>
      <c r="K231" s="11"/>
    </row>
    <row r="232" spans="1:11" x14ac:dyDescent="0.3">
      <c r="A232" s="1406"/>
      <c r="B232" s="327" t="s">
        <v>2349</v>
      </c>
      <c r="C232" s="251">
        <f>ROUND(4*PI()*$C$231^2,-2)</f>
        <v>6300</v>
      </c>
      <c r="D232" s="11"/>
      <c r="E232" s="11"/>
      <c r="F232" s="11" t="s">
        <v>699</v>
      </c>
      <c r="G232" s="4" t="s">
        <v>629</v>
      </c>
      <c r="H232" s="11"/>
      <c r="I232" s="11"/>
      <c r="J232" s="11"/>
      <c r="K232" s="11"/>
    </row>
    <row r="233" spans="1:11" x14ac:dyDescent="0.3">
      <c r="A233" s="1406"/>
      <c r="B233" s="327" t="s">
        <v>2152</v>
      </c>
      <c r="C233" s="323">
        <f>'Table S1.1 (complete_data)'!$D$32</f>
        <v>620</v>
      </c>
      <c r="D233" s="11"/>
      <c r="E233" s="11"/>
      <c r="F233" s="11" t="s">
        <v>22</v>
      </c>
      <c r="G233" s="4" t="s">
        <v>1821</v>
      </c>
      <c r="H233" s="11"/>
      <c r="I233" s="11"/>
      <c r="J233" s="11"/>
      <c r="K233" s="11"/>
    </row>
    <row r="234" spans="1:11" x14ac:dyDescent="0.3">
      <c r="A234" s="1406"/>
      <c r="B234" s="492" t="s">
        <v>2351</v>
      </c>
      <c r="C234" s="1046">
        <f>ROUND($C$232*$C$233*$C$3,-6)</f>
        <v>473000000</v>
      </c>
      <c r="D234" s="115"/>
      <c r="E234" s="115"/>
      <c r="F234" s="115" t="s">
        <v>2100</v>
      </c>
      <c r="G234" s="286" t="s">
        <v>629</v>
      </c>
      <c r="H234" s="115"/>
      <c r="I234" s="115"/>
      <c r="J234" s="115"/>
      <c r="K234" s="115"/>
    </row>
    <row r="235" spans="1:11" s="302" customFormat="1" ht="15.65" thickBot="1" x14ac:dyDescent="0.35">
      <c r="A235" s="1407"/>
      <c r="B235" s="11" t="s">
        <v>2350</v>
      </c>
      <c r="C235" s="251">
        <f>ROUND(C234/$C$3,-5)</f>
        <v>3900000</v>
      </c>
      <c r="D235" s="11"/>
      <c r="E235" s="11"/>
      <c r="F235" s="11" t="s">
        <v>2087</v>
      </c>
      <c r="G235" s="4" t="s">
        <v>629</v>
      </c>
      <c r="H235" s="11"/>
      <c r="I235" s="11"/>
      <c r="J235" s="11"/>
      <c r="K235" s="11"/>
    </row>
    <row r="236" spans="1:11" s="302" customFormat="1" ht="15.65" thickBot="1" x14ac:dyDescent="0.35"/>
    <row r="237" spans="1:11" s="302" customFormat="1" ht="18.2" customHeight="1" x14ac:dyDescent="0.3">
      <c r="A237" s="1414" t="s">
        <v>2232</v>
      </c>
      <c r="B237" s="327" t="s">
        <v>2344</v>
      </c>
      <c r="C237" s="207">
        <f>ROUND(C234+C227+C214,-7)</f>
        <v>2810000000</v>
      </c>
      <c r="D237" s="2"/>
      <c r="E237" s="2"/>
      <c r="F237" s="11" t="s">
        <v>699</v>
      </c>
      <c r="G237" s="2"/>
      <c r="H237" s="2"/>
      <c r="I237" s="2"/>
      <c r="J237" s="2"/>
      <c r="K237" s="2"/>
    </row>
    <row r="238" spans="1:11" s="302" customFormat="1" ht="18.2" customHeight="1" x14ac:dyDescent="0.3">
      <c r="A238" s="1415"/>
      <c r="B238" s="327"/>
      <c r="C238" s="207"/>
      <c r="D238" s="2"/>
      <c r="E238" s="2"/>
      <c r="F238" s="11"/>
      <c r="G238" s="2"/>
      <c r="H238" s="2"/>
      <c r="I238" s="2"/>
      <c r="J238" s="2"/>
      <c r="K238" s="2"/>
    </row>
    <row r="239" spans="1:11" s="302" customFormat="1" ht="18.2" customHeight="1" x14ac:dyDescent="0.3">
      <c r="A239" s="1415"/>
      <c r="B239" s="327" t="s">
        <v>2345</v>
      </c>
      <c r="C239" s="377">
        <f>ROUND(C237/1000000,-2)</f>
        <v>2800</v>
      </c>
      <c r="D239" s="2"/>
      <c r="E239" s="2"/>
      <c r="F239" s="11" t="s">
        <v>21</v>
      </c>
      <c r="G239" s="2"/>
      <c r="H239" s="2"/>
      <c r="I239" s="2"/>
      <c r="J239" s="2"/>
      <c r="K239" s="2"/>
    </row>
    <row r="240" spans="1:11" s="302" customFormat="1" ht="18.2" customHeight="1" x14ac:dyDescent="0.3">
      <c r="A240" s="1415"/>
      <c r="B240" s="327"/>
      <c r="C240" s="377"/>
      <c r="D240" s="2"/>
      <c r="E240" s="2"/>
      <c r="F240" s="11"/>
      <c r="G240" s="2"/>
      <c r="H240" s="2"/>
      <c r="I240" s="2"/>
      <c r="J240" s="2"/>
      <c r="K240" s="2"/>
    </row>
    <row r="241" spans="1:11" s="302" customFormat="1" ht="15.05" customHeight="1" thickBot="1" x14ac:dyDescent="0.35">
      <c r="A241" s="1416"/>
      <c r="B241" s="327" t="s">
        <v>2346</v>
      </c>
      <c r="C241" s="377">
        <f>C239/100</f>
        <v>28</v>
      </c>
      <c r="D241" s="2"/>
      <c r="E241" s="2"/>
      <c r="F241" s="11" t="s">
        <v>1972</v>
      </c>
      <c r="G241" s="2"/>
      <c r="H241" s="2"/>
      <c r="I241" s="2"/>
      <c r="J241" s="2"/>
      <c r="K241" s="2"/>
    </row>
    <row r="242" spans="1:11" s="302" customFormat="1" ht="15.05" customHeight="1" x14ac:dyDescent="0.3"/>
    <row r="243" spans="1:11" s="302" customFormat="1" ht="15.65" thickBot="1" x14ac:dyDescent="0.35"/>
    <row r="244" spans="1:11" s="302" customFormat="1" ht="15.05" customHeight="1" x14ac:dyDescent="0.3">
      <c r="A244" s="1408" t="s">
        <v>2234</v>
      </c>
      <c r="B244" s="1042" t="s">
        <v>2235</v>
      </c>
      <c r="C244" s="1040"/>
      <c r="D244" s="1040"/>
      <c r="E244" s="1040"/>
      <c r="F244" s="1040"/>
      <c r="G244" s="1040"/>
      <c r="H244" s="1040"/>
      <c r="I244" s="1040"/>
      <c r="J244" s="1040"/>
      <c r="K244" s="509"/>
    </row>
    <row r="245" spans="1:11" s="302" customFormat="1" x14ac:dyDescent="0.3">
      <c r="A245" s="1409"/>
      <c r="C245" s="366"/>
      <c r="F245" s="1005"/>
      <c r="G245" s="599"/>
    </row>
    <row r="246" spans="1:11" s="302" customFormat="1" x14ac:dyDescent="0.3">
      <c r="A246" s="1409"/>
      <c r="B246" s="274" t="s">
        <v>2433</v>
      </c>
      <c r="C246" s="284">
        <f>('Table S1.1 (complete_data)'!$D$582+'Table S1.1 (complete_data)'!$D$586)/2</f>
        <v>2.165</v>
      </c>
      <c r="D246" s="2"/>
      <c r="E246" s="2"/>
      <c r="F246" s="2" t="s">
        <v>26</v>
      </c>
      <c r="G246" s="6" t="s">
        <v>1821</v>
      </c>
      <c r="H246" s="2" t="s">
        <v>2434</v>
      </c>
      <c r="I246" s="2" t="s">
        <v>1897</v>
      </c>
      <c r="J246" s="2"/>
      <c r="K246" s="2"/>
    </row>
    <row r="247" spans="1:11" s="302" customFormat="1" x14ac:dyDescent="0.3">
      <c r="A247" s="1409"/>
      <c r="B247" s="274" t="s">
        <v>2164</v>
      </c>
      <c r="C247" s="284">
        <f>((3*$C$246)/(4*PI()))^(1/3)</f>
        <v>0.80252104586178108</v>
      </c>
      <c r="D247" s="2"/>
      <c r="E247" s="2"/>
      <c r="F247" s="2" t="s">
        <v>84</v>
      </c>
      <c r="G247" s="1" t="s">
        <v>794</v>
      </c>
      <c r="H247" s="2" t="s">
        <v>2161</v>
      </c>
      <c r="I247" s="2" t="s">
        <v>1897</v>
      </c>
      <c r="J247" s="2"/>
      <c r="K247" s="2"/>
    </row>
    <row r="248" spans="1:11" s="302" customFormat="1" ht="15.65" thickBot="1" x14ac:dyDescent="0.35">
      <c r="A248" s="1409"/>
      <c r="B248" s="327" t="s">
        <v>2236</v>
      </c>
      <c r="C248" s="284">
        <f>4*PI()*$C$247^2</f>
        <v>8.0932456955386058</v>
      </c>
      <c r="D248" s="2"/>
      <c r="E248" s="2"/>
      <c r="F248" s="2" t="s">
        <v>699</v>
      </c>
      <c r="G248" s="1" t="s">
        <v>794</v>
      </c>
      <c r="H248" s="2"/>
      <c r="I248" s="2"/>
      <c r="J248" s="2"/>
      <c r="K248" s="2"/>
    </row>
    <row r="249" spans="1:11" s="302" customFormat="1" ht="15.65" thickBot="1" x14ac:dyDescent="0.35">
      <c r="A249" s="1409"/>
      <c r="B249" s="545" t="s">
        <v>2237</v>
      </c>
      <c r="C249" s="867">
        <v>6</v>
      </c>
      <c r="D249" s="2"/>
      <c r="E249" s="2"/>
      <c r="F249" s="2" t="s">
        <v>44</v>
      </c>
      <c r="G249" s="6" t="s">
        <v>392</v>
      </c>
      <c r="H249" s="2" t="s">
        <v>2160</v>
      </c>
      <c r="I249" s="2" t="s">
        <v>1897</v>
      </c>
      <c r="J249" s="2" t="s">
        <v>2162</v>
      </c>
      <c r="K249" s="2"/>
    </row>
    <row r="250" spans="1:11" s="302" customFormat="1" x14ac:dyDescent="0.3">
      <c r="A250" s="1409"/>
      <c r="B250" s="1048" t="s">
        <v>2238</v>
      </c>
      <c r="C250" s="207">
        <f>$C$248*$C$249</f>
        <v>48.559474173231635</v>
      </c>
      <c r="D250" s="2"/>
      <c r="E250" s="2"/>
      <c r="F250" s="2" t="s">
        <v>699</v>
      </c>
      <c r="G250" s="1" t="s">
        <v>794</v>
      </c>
      <c r="H250" s="2"/>
      <c r="I250" s="2"/>
    </row>
    <row r="251" spans="1:11" s="302" customFormat="1" x14ac:dyDescent="0.3">
      <c r="A251" s="1409"/>
      <c r="B251" s="1048"/>
      <c r="C251" s="207"/>
      <c r="D251" s="2"/>
      <c r="E251" s="2"/>
      <c r="F251" s="2" t="s">
        <v>699</v>
      </c>
      <c r="G251" s="1"/>
      <c r="H251" s="2"/>
      <c r="I251" s="2"/>
      <c r="J251" s="2"/>
      <c r="K251" s="2"/>
    </row>
    <row r="252" spans="1:11" s="302" customFormat="1" x14ac:dyDescent="0.3">
      <c r="A252" s="1409"/>
      <c r="B252" s="2" t="s">
        <v>2239</v>
      </c>
      <c r="C252" s="207">
        <f>ROUND($C$248*('Table S1.1 (complete_data)'!$D$608+'Table S1.1 (complete_data)'!$D$612),-8)</f>
        <v>1500000000</v>
      </c>
      <c r="D252" s="2"/>
      <c r="E252" s="2"/>
      <c r="F252" s="2" t="s">
        <v>2100</v>
      </c>
      <c r="G252" s="2"/>
      <c r="H252" s="2"/>
      <c r="I252" s="2"/>
      <c r="J252" s="2"/>
      <c r="K252" s="2"/>
    </row>
    <row r="253" spans="1:11" s="302" customFormat="1" x14ac:dyDescent="0.3">
      <c r="A253" s="1409"/>
      <c r="B253" s="2" t="s">
        <v>2240</v>
      </c>
      <c r="C253" s="207">
        <f>ROUND($C$252*$C$249,-5)</f>
        <v>9000000000</v>
      </c>
      <c r="D253" s="2"/>
      <c r="E253" s="2"/>
      <c r="F253" s="2" t="s">
        <v>2100</v>
      </c>
      <c r="G253" s="2"/>
      <c r="H253" s="2"/>
      <c r="I253" s="2"/>
      <c r="J253" s="2"/>
      <c r="K253" s="2"/>
    </row>
    <row r="254" spans="1:11" s="302" customFormat="1" x14ac:dyDescent="0.3">
      <c r="A254" s="1409"/>
      <c r="B254" s="2"/>
      <c r="C254" s="2"/>
      <c r="D254" s="2"/>
      <c r="E254" s="2"/>
      <c r="F254" s="2"/>
      <c r="G254" s="2"/>
      <c r="H254" s="2"/>
      <c r="I254" s="2"/>
      <c r="J254" s="2"/>
      <c r="K254" s="2"/>
    </row>
    <row r="255" spans="1:11" s="302" customFormat="1" x14ac:dyDescent="0.3">
      <c r="A255" s="1409"/>
      <c r="B255" s="2" t="s">
        <v>2241</v>
      </c>
      <c r="C255" s="207">
        <f>$C$252/1000000</f>
        <v>1500</v>
      </c>
      <c r="D255" s="2"/>
      <c r="E255" s="2"/>
      <c r="F255" s="2" t="s">
        <v>2100</v>
      </c>
      <c r="G255" s="2"/>
      <c r="H255" s="2"/>
      <c r="I255" s="2"/>
      <c r="J255" s="2"/>
      <c r="K255" s="2"/>
    </row>
    <row r="256" spans="1:11" s="302" customFormat="1" x14ac:dyDescent="0.3">
      <c r="A256" s="1409"/>
      <c r="B256" s="2" t="s">
        <v>2242</v>
      </c>
      <c r="C256" s="207">
        <f>$C$253/1000000</f>
        <v>9000</v>
      </c>
      <c r="D256" s="2"/>
      <c r="E256" s="2"/>
      <c r="F256" s="2" t="s">
        <v>2100</v>
      </c>
      <c r="G256" s="2"/>
      <c r="H256" s="2"/>
      <c r="I256" s="2"/>
      <c r="J256" s="2"/>
      <c r="K256" s="2"/>
    </row>
    <row r="257" spans="1:11" s="302" customFormat="1" x14ac:dyDescent="0.3">
      <c r="A257" s="1409"/>
      <c r="B257" s="327"/>
      <c r="C257" s="207"/>
      <c r="D257" s="2"/>
      <c r="E257" s="2"/>
      <c r="F257" s="2"/>
      <c r="G257" s="2"/>
      <c r="H257" s="2"/>
      <c r="I257" s="2"/>
      <c r="J257" s="2"/>
      <c r="K257" s="2"/>
    </row>
    <row r="258" spans="1:11" s="302" customFormat="1" x14ac:dyDescent="0.3">
      <c r="A258" s="1409"/>
      <c r="B258" s="2" t="s">
        <v>2243</v>
      </c>
      <c r="C258" s="207">
        <f>$C$255/100</f>
        <v>15</v>
      </c>
      <c r="D258" s="2"/>
      <c r="E258" s="2"/>
      <c r="F258" s="2" t="s">
        <v>2163</v>
      </c>
      <c r="G258" s="2"/>
      <c r="H258" s="2"/>
      <c r="I258" s="2"/>
      <c r="J258" s="2"/>
      <c r="K258" s="2"/>
    </row>
    <row r="259" spans="1:11" s="302" customFormat="1" ht="15.65" thickBot="1" x14ac:dyDescent="0.35">
      <c r="A259" s="1410"/>
      <c r="B259" s="2" t="s">
        <v>2244</v>
      </c>
      <c r="C259" s="377">
        <f>$C$256/100</f>
        <v>90</v>
      </c>
      <c r="D259" s="2"/>
      <c r="E259" s="2"/>
      <c r="F259" s="2" t="s">
        <v>2163</v>
      </c>
      <c r="G259" s="2"/>
      <c r="H259" s="2"/>
      <c r="I259" s="2"/>
      <c r="J259" s="2"/>
      <c r="K259" s="2"/>
    </row>
    <row r="260" spans="1:11" s="302" customFormat="1" x14ac:dyDescent="0.3">
      <c r="C260" s="366"/>
      <c r="F260" s="1005"/>
      <c r="G260" s="599"/>
    </row>
    <row r="261" spans="1:11" s="302" customFormat="1" ht="15.65" thickBot="1" x14ac:dyDescent="0.35">
      <c r="B261" s="1005"/>
      <c r="C261" s="1064"/>
      <c r="F261" s="1005"/>
    </row>
    <row r="262" spans="1:11" s="302" customFormat="1" ht="15.05" customHeight="1" x14ac:dyDescent="0.3">
      <c r="A262" s="1411" t="s">
        <v>2245</v>
      </c>
      <c r="B262" s="1043" t="s">
        <v>2246</v>
      </c>
      <c r="F262" s="1005"/>
    </row>
    <row r="263" spans="1:11" s="302" customFormat="1" ht="15.05" customHeight="1" x14ac:dyDescent="0.3">
      <c r="A263" s="1412"/>
      <c r="B263" s="1039" t="s">
        <v>2297</v>
      </c>
      <c r="C263" s="158">
        <v>150</v>
      </c>
      <c r="D263" s="71"/>
      <c r="E263" s="71"/>
      <c r="F263" s="2" t="s">
        <v>699</v>
      </c>
      <c r="G263" s="11" t="s">
        <v>395</v>
      </c>
      <c r="H263" s="2" t="s">
        <v>1856</v>
      </c>
      <c r="I263" s="11" t="s">
        <v>817</v>
      </c>
      <c r="J263" s="2" t="s">
        <v>1370</v>
      </c>
      <c r="K263" s="2" t="s">
        <v>396</v>
      </c>
    </row>
    <row r="264" spans="1:11" s="302" customFormat="1" x14ac:dyDescent="0.3">
      <c r="A264" s="1412"/>
      <c r="B264" s="274" t="s">
        <v>2247</v>
      </c>
      <c r="C264" s="293">
        <v>4172</v>
      </c>
      <c r="D264" s="293">
        <v>788</v>
      </c>
      <c r="E264" s="293"/>
      <c r="F264" s="2" t="s">
        <v>699</v>
      </c>
      <c r="G264" s="11" t="s">
        <v>395</v>
      </c>
      <c r="H264" s="2" t="s">
        <v>2159</v>
      </c>
      <c r="I264" s="11" t="s">
        <v>817</v>
      </c>
      <c r="J264" s="2" t="s">
        <v>1370</v>
      </c>
      <c r="K264" s="2" t="s">
        <v>396</v>
      </c>
    </row>
    <row r="265" spans="1:11" s="302" customFormat="1" x14ac:dyDescent="0.3">
      <c r="A265" s="1412"/>
      <c r="B265" s="1039" t="s">
        <v>2248</v>
      </c>
      <c r="C265" s="207">
        <f>ROUND($C$263*('Table S1.1 (complete_data)'!$D$233+'Table S1.1 (complete_data)'!$D$237),-8)</f>
        <v>3500000000</v>
      </c>
      <c r="D265" s="2"/>
      <c r="E265" s="2"/>
      <c r="F265" s="232" t="s">
        <v>699</v>
      </c>
      <c r="G265" s="2"/>
      <c r="H265" s="2" t="s">
        <v>2158</v>
      </c>
      <c r="I265" s="11"/>
      <c r="J265" s="2"/>
      <c r="K265" s="2"/>
    </row>
    <row r="266" spans="1:11" s="302" customFormat="1" x14ac:dyDescent="0.3">
      <c r="A266" s="1412"/>
      <c r="B266" s="1039" t="s">
        <v>2249</v>
      </c>
      <c r="C266" s="377">
        <f>$C$265/1000000</f>
        <v>3500</v>
      </c>
      <c r="D266" s="2"/>
      <c r="E266" s="2"/>
      <c r="F266" s="232" t="s">
        <v>21</v>
      </c>
      <c r="G266" s="2"/>
      <c r="H266" s="2"/>
      <c r="I266" s="2"/>
      <c r="J266" s="2"/>
      <c r="K266" s="2"/>
    </row>
    <row r="267" spans="1:11" s="302" customFormat="1" x14ac:dyDescent="0.3">
      <c r="A267" s="1412"/>
      <c r="B267" s="1039" t="s">
        <v>2250</v>
      </c>
      <c r="C267" s="377">
        <f>$C$266/100</f>
        <v>35</v>
      </c>
      <c r="D267" s="2"/>
      <c r="E267" s="2"/>
      <c r="F267" s="232" t="s">
        <v>1972</v>
      </c>
      <c r="G267" s="2"/>
      <c r="H267" s="2"/>
      <c r="I267" s="2"/>
      <c r="J267" s="2"/>
      <c r="K267" s="2"/>
    </row>
    <row r="268" spans="1:11" s="302" customFormat="1" x14ac:dyDescent="0.3">
      <c r="A268" s="1412"/>
      <c r="B268" s="1039" t="s">
        <v>2251</v>
      </c>
      <c r="C268" s="197">
        <f>$C$266/$C$3</f>
        <v>28.925619834710744</v>
      </c>
      <c r="D268" s="2"/>
      <c r="E268" s="2"/>
      <c r="F268" s="232" t="s">
        <v>44</v>
      </c>
      <c r="G268" s="2"/>
      <c r="I268" s="2" t="s">
        <v>1897</v>
      </c>
      <c r="J268" s="2"/>
      <c r="K268" s="2"/>
    </row>
    <row r="269" spans="1:11" s="302" customFormat="1" x14ac:dyDescent="0.3">
      <c r="A269" s="1412"/>
      <c r="B269" s="1039"/>
      <c r="C269" s="197"/>
      <c r="D269" s="2"/>
      <c r="E269" s="2"/>
      <c r="F269" s="232"/>
      <c r="G269" s="2"/>
      <c r="H269" s="2"/>
      <c r="I269" s="2"/>
      <c r="J269" s="2"/>
      <c r="K269" s="2"/>
    </row>
    <row r="270" spans="1:11" s="302" customFormat="1" x14ac:dyDescent="0.3">
      <c r="A270" s="1412"/>
      <c r="B270" s="1039" t="s">
        <v>2252</v>
      </c>
      <c r="C270" s="207">
        <f>ROUND($C$264*('Table S1.1 (complete_data)'!$D$233+'Table S1.1 (complete_data)'!$D$237),-9)</f>
        <v>97000000000</v>
      </c>
      <c r="D270" s="2"/>
      <c r="E270" s="2"/>
      <c r="F270" s="232" t="s">
        <v>699</v>
      </c>
      <c r="G270" s="2" t="s">
        <v>2155</v>
      </c>
      <c r="H270" s="2" t="s">
        <v>2165</v>
      </c>
      <c r="I270" s="2"/>
      <c r="J270" s="2"/>
      <c r="K270" s="2"/>
    </row>
    <row r="271" spans="1:11" s="302" customFormat="1" x14ac:dyDescent="0.3">
      <c r="A271" s="1412"/>
      <c r="B271" s="1039" t="s">
        <v>2253</v>
      </c>
      <c r="C271" s="377">
        <f>$C$270/1000000</f>
        <v>97000</v>
      </c>
      <c r="D271" s="2"/>
      <c r="E271" s="2"/>
      <c r="F271" s="232" t="s">
        <v>21</v>
      </c>
      <c r="G271" s="2"/>
      <c r="H271" s="2"/>
      <c r="I271" s="2"/>
      <c r="J271" s="2"/>
      <c r="K271" s="2"/>
    </row>
    <row r="272" spans="1:11" s="302" customFormat="1" x14ac:dyDescent="0.3">
      <c r="A272" s="1412"/>
      <c r="B272" s="1039" t="s">
        <v>2254</v>
      </c>
      <c r="C272" s="377">
        <f>$C$271/100</f>
        <v>970</v>
      </c>
      <c r="D272" s="2"/>
      <c r="E272" s="2"/>
      <c r="F272" s="232" t="s">
        <v>1972</v>
      </c>
      <c r="G272" s="2"/>
      <c r="H272" s="2"/>
      <c r="I272" s="2"/>
      <c r="J272" s="2"/>
      <c r="K272" s="2"/>
    </row>
    <row r="273" spans="1:11" s="302" customFormat="1" x14ac:dyDescent="0.3">
      <c r="A273" s="1412"/>
      <c r="B273" s="1039" t="s">
        <v>2298</v>
      </c>
      <c r="C273" s="377">
        <f>$C$270/$C$265</f>
        <v>27.714285714285715</v>
      </c>
      <c r="D273" s="2"/>
      <c r="E273" s="2"/>
      <c r="F273" s="232" t="s">
        <v>44</v>
      </c>
      <c r="G273" s="2"/>
      <c r="I273" s="2" t="s">
        <v>1897</v>
      </c>
      <c r="J273" s="2"/>
      <c r="K273" s="2"/>
    </row>
    <row r="274" spans="1:11" s="302" customFormat="1" ht="15.65" thickBot="1" x14ac:dyDescent="0.35">
      <c r="A274" s="1413"/>
      <c r="B274" s="1039" t="s">
        <v>2255</v>
      </c>
      <c r="C274" s="377">
        <f>ROUND($C$271/$C$3,-1)</f>
        <v>800</v>
      </c>
      <c r="D274" s="2"/>
      <c r="E274" s="2"/>
      <c r="F274" s="232" t="s">
        <v>44</v>
      </c>
      <c r="G274" s="1"/>
      <c r="H274" s="2"/>
      <c r="I274" s="2"/>
      <c r="J274" s="2"/>
      <c r="K274" s="2"/>
    </row>
    <row r="275" spans="1:11" s="302" customFormat="1" ht="15.65" thickBot="1" x14ac:dyDescent="0.35">
      <c r="H275"/>
      <c r="I275"/>
      <c r="J275"/>
      <c r="K275"/>
    </row>
    <row r="276" spans="1:11" s="302" customFormat="1" ht="15.05" customHeight="1" x14ac:dyDescent="0.3">
      <c r="A276" s="1435" t="s">
        <v>2296</v>
      </c>
      <c r="B276" s="1063" t="s">
        <v>2289</v>
      </c>
      <c r="F276" s="1005"/>
    </row>
    <row r="277" spans="1:11" s="302" customFormat="1" ht="15.05" customHeight="1" x14ac:dyDescent="0.3">
      <c r="A277" s="1436"/>
      <c r="B277" s="1039" t="s">
        <v>2294</v>
      </c>
      <c r="C277" s="75">
        <f>(3*'Table S1.1 (complete_data)'!$D$792/(4*PI()))*(1/3)</f>
        <v>7.2972541407634012E-2</v>
      </c>
      <c r="D277" s="71"/>
      <c r="E277" s="71"/>
      <c r="F277" s="2" t="s">
        <v>84</v>
      </c>
      <c r="G277" s="4" t="s">
        <v>629</v>
      </c>
      <c r="H277" s="2" t="s">
        <v>2292</v>
      </c>
      <c r="I277" s="11"/>
      <c r="J277" s="2"/>
      <c r="K277" s="2"/>
    </row>
    <row r="278" spans="1:11" s="302" customFormat="1" x14ac:dyDescent="0.3">
      <c r="A278" s="1436"/>
      <c r="B278" s="1039" t="s">
        <v>2293</v>
      </c>
      <c r="C278" s="75">
        <f>4*PI()*$C$277^2</f>
        <v>6.6915820470800386E-2</v>
      </c>
      <c r="D278" s="71"/>
      <c r="E278" s="71"/>
      <c r="F278" s="2" t="s">
        <v>699</v>
      </c>
      <c r="G278" s="4" t="s">
        <v>629</v>
      </c>
      <c r="H278" s="2"/>
      <c r="I278" s="11"/>
      <c r="J278" s="2"/>
      <c r="K278" s="2"/>
    </row>
    <row r="279" spans="1:11" s="302" customFormat="1" x14ac:dyDescent="0.3">
      <c r="A279" s="1436"/>
      <c r="B279" s="1005" t="s">
        <v>2295</v>
      </c>
      <c r="C279" s="284">
        <f>$C$278*'Table S1.1 (complete_data)'!$D$798</f>
        <v>6.1296934782412578</v>
      </c>
      <c r="D279" s="2"/>
      <c r="F279" s="1005" t="s">
        <v>699</v>
      </c>
      <c r="G279" s="4" t="s">
        <v>629</v>
      </c>
      <c r="H279" s="2"/>
      <c r="I279" s="11"/>
      <c r="J279" s="2"/>
      <c r="K279" s="2"/>
    </row>
    <row r="280" spans="1:11" s="302" customFormat="1" x14ac:dyDescent="0.3">
      <c r="A280" s="1436"/>
      <c r="B280" s="1039" t="s">
        <v>2290</v>
      </c>
      <c r="C280" s="207">
        <f>ROUND($C$279*('Table S1.1 (complete_data)'!$D$47+'Table S1.1 (complete_data)'!$D$51),-5)</f>
        <v>1400000</v>
      </c>
      <c r="D280" s="2"/>
      <c r="E280" s="2"/>
      <c r="F280" s="232" t="s">
        <v>699</v>
      </c>
      <c r="G280" s="4" t="s">
        <v>629</v>
      </c>
      <c r="H280" s="2"/>
      <c r="I280" s="2"/>
      <c r="J280" s="2"/>
      <c r="K280" s="2"/>
    </row>
    <row r="281" spans="1:11" s="302" customFormat="1" x14ac:dyDescent="0.3">
      <c r="A281" s="1436"/>
      <c r="B281" s="1039" t="s">
        <v>2291</v>
      </c>
      <c r="C281" s="197">
        <f>$C$280/1000000</f>
        <v>1.4</v>
      </c>
      <c r="D281" s="2"/>
      <c r="E281" s="2"/>
      <c r="F281" s="232" t="s">
        <v>21</v>
      </c>
      <c r="G281" s="4" t="s">
        <v>629</v>
      </c>
      <c r="H281" s="2"/>
      <c r="I281" s="2"/>
      <c r="J281" s="2"/>
      <c r="K281" s="2"/>
    </row>
    <row r="282" spans="1:11" x14ac:dyDescent="0.3">
      <c r="I282" t="s">
        <v>1897</v>
      </c>
    </row>
    <row r="303" spans="3:3" x14ac:dyDescent="0.3">
      <c r="C303" s="1000"/>
    </row>
    <row r="304" spans="3:3" x14ac:dyDescent="0.3">
      <c r="C304" s="1000"/>
    </row>
    <row r="305" spans="1:3" x14ac:dyDescent="0.3">
      <c r="C305" s="1001"/>
    </row>
    <row r="306" spans="1:3" x14ac:dyDescent="0.3">
      <c r="A306" s="1019"/>
    </row>
    <row r="307" spans="1:3" x14ac:dyDescent="0.3">
      <c r="C307" s="999"/>
    </row>
    <row r="308" spans="1:3" x14ac:dyDescent="0.3">
      <c r="C308" s="1002"/>
    </row>
    <row r="309" spans="1:3" x14ac:dyDescent="0.3">
      <c r="C309" s="999"/>
    </row>
  </sheetData>
  <mergeCells count="19">
    <mergeCell ref="A276:A281"/>
    <mergeCell ref="A152:A162"/>
    <mergeCell ref="A181:A191"/>
    <mergeCell ref="A197:A211"/>
    <mergeCell ref="A165:A175"/>
    <mergeCell ref="A87:A134"/>
    <mergeCell ref="A22:A34"/>
    <mergeCell ref="A57:A65"/>
    <mergeCell ref="A78:A84"/>
    <mergeCell ref="A36:A44"/>
    <mergeCell ref="A46:A54"/>
    <mergeCell ref="A67:A76"/>
    <mergeCell ref="A139:A149"/>
    <mergeCell ref="A220:A228"/>
    <mergeCell ref="A230:A235"/>
    <mergeCell ref="A244:A259"/>
    <mergeCell ref="A262:A274"/>
    <mergeCell ref="A237:A241"/>
    <mergeCell ref="A214:A218"/>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6"/>
  <sheetViews>
    <sheetView zoomScale="85" zoomScaleNormal="85" workbookViewId="0">
      <pane ySplit="1" topLeftCell="A2" activePane="bottomLeft" state="frozen"/>
      <selection activeCell="B1" sqref="B1"/>
      <selection pane="bottomLeft" activeCell="B178" sqref="B178"/>
    </sheetView>
  </sheetViews>
  <sheetFormatPr baseColWidth="10" defaultRowHeight="15.05" x14ac:dyDescent="0.3"/>
  <cols>
    <col min="1" max="1" width="90.6640625" bestFit="1" customWidth="1"/>
    <col min="2" max="2" width="39.88671875" bestFit="1" customWidth="1"/>
    <col min="3" max="3" width="16.33203125" bestFit="1" customWidth="1"/>
    <col min="4" max="4" width="16.33203125" customWidth="1"/>
    <col min="5" max="5" width="25.5546875" bestFit="1" customWidth="1"/>
    <col min="6" max="6" width="27.6640625" customWidth="1"/>
    <col min="10" max="10" width="36.77734375" bestFit="1" customWidth="1"/>
    <col min="11" max="11" width="11.5546875" style="40"/>
    <col min="12" max="24" width="11.5546875" style="302"/>
  </cols>
  <sheetData>
    <row r="1" spans="1:24" s="2" customFormat="1" x14ac:dyDescent="0.3">
      <c r="A1" s="161" t="s">
        <v>1120</v>
      </c>
      <c r="B1" s="161" t="s">
        <v>923</v>
      </c>
      <c r="C1" s="161" t="s">
        <v>1832</v>
      </c>
      <c r="D1" s="161" t="s">
        <v>2519</v>
      </c>
      <c r="E1" s="161" t="s">
        <v>924</v>
      </c>
      <c r="F1" s="161" t="s">
        <v>925</v>
      </c>
      <c r="G1" s="161" t="s">
        <v>311</v>
      </c>
      <c r="H1" s="161" t="s">
        <v>642</v>
      </c>
      <c r="I1" s="161" t="s">
        <v>660</v>
      </c>
      <c r="J1" s="1220" t="s">
        <v>643</v>
      </c>
      <c r="K1" s="602"/>
      <c r="L1" s="302"/>
      <c r="M1" s="302"/>
      <c r="N1" s="302"/>
      <c r="O1" s="302"/>
      <c r="P1" s="302"/>
      <c r="Q1" s="302"/>
      <c r="R1" s="302"/>
      <c r="S1" s="302"/>
      <c r="T1" s="302"/>
      <c r="U1" s="302"/>
      <c r="V1" s="302"/>
      <c r="W1" s="302"/>
      <c r="X1" s="302"/>
    </row>
    <row r="2" spans="1:24" s="2" customFormat="1" x14ac:dyDescent="0.3">
      <c r="B2" s="73"/>
      <c r="C2" s="73"/>
      <c r="D2" s="73"/>
      <c r="J2" s="602"/>
      <c r="K2" s="602"/>
      <c r="L2" s="302"/>
      <c r="M2" s="302"/>
      <c r="N2" s="302"/>
      <c r="O2" s="302"/>
      <c r="P2" s="302"/>
      <c r="Q2" s="302"/>
      <c r="R2" s="302"/>
      <c r="S2" s="302"/>
      <c r="T2" s="302"/>
      <c r="U2" s="302"/>
      <c r="V2" s="302"/>
      <c r="W2" s="302"/>
      <c r="X2" s="302"/>
    </row>
    <row r="3" spans="1:24" s="2" customFormat="1" x14ac:dyDescent="0.3">
      <c r="A3" s="41" t="s">
        <v>1345</v>
      </c>
      <c r="B3" s="222"/>
      <c r="C3" s="222"/>
      <c r="D3" s="222"/>
      <c r="E3" s="110"/>
      <c r="F3" s="110"/>
      <c r="G3" s="110"/>
      <c r="H3" s="110"/>
      <c r="I3" s="110"/>
      <c r="J3" s="956"/>
      <c r="K3" s="602"/>
      <c r="L3" s="302"/>
      <c r="M3" s="302"/>
      <c r="N3" s="302"/>
      <c r="O3" s="302"/>
      <c r="P3" s="302"/>
      <c r="Q3" s="302"/>
      <c r="R3" s="302"/>
      <c r="S3" s="302"/>
      <c r="T3" s="302"/>
      <c r="U3" s="302"/>
      <c r="V3" s="302"/>
      <c r="W3" s="302"/>
      <c r="X3" s="302"/>
    </row>
    <row r="4" spans="1:24" s="2" customFormat="1" x14ac:dyDescent="0.3">
      <c r="A4" s="2" t="s">
        <v>1099</v>
      </c>
      <c r="B4" s="995">
        <v>22.8</v>
      </c>
      <c r="C4" s="995">
        <v>0.5</v>
      </c>
      <c r="D4" s="995"/>
      <c r="E4" s="2" t="s">
        <v>54</v>
      </c>
      <c r="F4" s="2" t="s">
        <v>65</v>
      </c>
      <c r="I4" s="2" t="s">
        <v>1367</v>
      </c>
      <c r="J4" s="602" t="s">
        <v>926</v>
      </c>
      <c r="K4" s="602"/>
      <c r="L4" s="302"/>
      <c r="M4" s="302"/>
      <c r="N4" s="302"/>
      <c r="O4" s="302"/>
      <c r="P4" s="302"/>
      <c r="Q4" s="302"/>
      <c r="R4" s="302"/>
      <c r="S4" s="302"/>
      <c r="T4" s="302"/>
      <c r="U4" s="302"/>
      <c r="V4" s="302"/>
      <c r="W4" s="302"/>
      <c r="X4" s="302"/>
    </row>
    <row r="5" spans="1:24" s="2" customFormat="1" x14ac:dyDescent="0.3">
      <c r="A5" s="2" t="s">
        <v>1100</v>
      </c>
      <c r="B5" s="291">
        <v>2.1</v>
      </c>
      <c r="C5" s="291">
        <v>0.1</v>
      </c>
      <c r="D5" s="291"/>
      <c r="E5" s="2" t="s">
        <v>1</v>
      </c>
      <c r="F5" s="2" t="s">
        <v>65</v>
      </c>
      <c r="G5" s="2" t="s">
        <v>929</v>
      </c>
      <c r="I5" s="2" t="s">
        <v>1367</v>
      </c>
      <c r="J5" s="602" t="s">
        <v>926</v>
      </c>
      <c r="K5" s="602"/>
      <c r="L5" s="302"/>
      <c r="M5" s="302"/>
      <c r="N5" s="302"/>
      <c r="O5" s="302"/>
      <c r="P5" s="302"/>
      <c r="Q5" s="302"/>
      <c r="R5" s="302"/>
      <c r="S5" s="302"/>
      <c r="T5" s="302"/>
      <c r="U5" s="302"/>
      <c r="V5" s="302"/>
      <c r="W5" s="302"/>
      <c r="X5" s="302"/>
    </row>
    <row r="6" spans="1:24" s="2" customFormat="1" ht="15.65" customHeight="1" x14ac:dyDescent="0.3">
      <c r="A6" s="2" t="s">
        <v>1100</v>
      </c>
      <c r="B6" s="291">
        <v>1.5</v>
      </c>
      <c r="C6" s="291">
        <v>0.1</v>
      </c>
      <c r="D6" s="291"/>
      <c r="E6" s="2" t="s">
        <v>1040</v>
      </c>
      <c r="F6" s="2" t="s">
        <v>66</v>
      </c>
      <c r="I6" s="2" t="s">
        <v>1367</v>
      </c>
      <c r="J6" s="602"/>
      <c r="K6" s="602"/>
      <c r="L6" s="302"/>
      <c r="M6" s="302"/>
      <c r="N6" s="302"/>
      <c r="O6" s="302"/>
      <c r="P6" s="302"/>
      <c r="Q6" s="302"/>
      <c r="R6" s="302"/>
      <c r="S6" s="302"/>
      <c r="T6" s="302"/>
      <c r="U6" s="302"/>
      <c r="V6" s="302"/>
      <c r="W6" s="302"/>
      <c r="X6" s="302"/>
    </row>
    <row r="7" spans="1:24" s="2" customFormat="1" x14ac:dyDescent="0.3">
      <c r="A7" s="11" t="s">
        <v>3</v>
      </c>
      <c r="B7" s="158">
        <v>91</v>
      </c>
      <c r="C7" s="291">
        <v>0.4</v>
      </c>
      <c r="D7" s="291"/>
      <c r="E7" s="2" t="s">
        <v>4</v>
      </c>
      <c r="F7" s="2" t="s">
        <v>65</v>
      </c>
      <c r="I7" s="2" t="s">
        <v>1367</v>
      </c>
      <c r="J7" s="602" t="s">
        <v>926</v>
      </c>
      <c r="K7" s="602"/>
      <c r="L7" s="302"/>
      <c r="M7" s="302"/>
      <c r="N7" s="302"/>
      <c r="O7" s="302"/>
      <c r="P7" s="302"/>
      <c r="Q7" s="302"/>
      <c r="R7" s="302"/>
      <c r="S7" s="302"/>
      <c r="T7" s="302"/>
      <c r="U7" s="302"/>
      <c r="V7" s="302"/>
      <c r="W7" s="302"/>
      <c r="X7" s="302"/>
    </row>
    <row r="8" spans="1:24" s="2" customFormat="1" x14ac:dyDescent="0.3">
      <c r="A8" s="2" t="s">
        <v>3</v>
      </c>
      <c r="B8" s="158">
        <v>91</v>
      </c>
      <c r="C8" s="291">
        <v>0.4</v>
      </c>
      <c r="D8" s="291"/>
      <c r="E8" s="2" t="s">
        <v>4</v>
      </c>
      <c r="F8" s="2" t="s">
        <v>66</v>
      </c>
      <c r="I8" s="2" t="s">
        <v>1367</v>
      </c>
      <c r="J8" s="602"/>
      <c r="K8" s="602"/>
      <c r="L8" s="302"/>
      <c r="M8" s="302"/>
      <c r="N8" s="302"/>
      <c r="O8" s="302"/>
      <c r="P8" s="302"/>
      <c r="Q8" s="302"/>
      <c r="R8" s="302"/>
      <c r="S8" s="302"/>
      <c r="T8" s="302"/>
      <c r="U8" s="302"/>
      <c r="V8" s="302"/>
      <c r="W8" s="302"/>
      <c r="X8" s="302"/>
    </row>
    <row r="9" spans="1:24" s="2" customFormat="1" x14ac:dyDescent="0.3">
      <c r="A9" s="6" t="s">
        <v>1059</v>
      </c>
      <c r="B9" s="207">
        <f>100/(100-$B$8)</f>
        <v>11.111111111111111</v>
      </c>
      <c r="C9" s="75"/>
      <c r="D9" s="75"/>
      <c r="E9" s="2" t="s">
        <v>44</v>
      </c>
      <c r="F9" s="2" t="s">
        <v>66</v>
      </c>
      <c r="I9" s="2" t="s">
        <v>1367</v>
      </c>
      <c r="J9" s="602"/>
      <c r="K9" s="602"/>
      <c r="L9" s="302"/>
      <c r="M9" s="302"/>
      <c r="N9" s="302"/>
      <c r="O9" s="302"/>
      <c r="P9" s="302"/>
      <c r="Q9" s="302"/>
      <c r="R9" s="302"/>
      <c r="S9" s="302"/>
      <c r="T9" s="302"/>
      <c r="U9" s="302"/>
      <c r="V9" s="302"/>
      <c r="W9" s="302"/>
      <c r="X9" s="302"/>
    </row>
    <row r="10" spans="1:24" s="2" customFormat="1" x14ac:dyDescent="0.3">
      <c r="A10" s="6" t="s">
        <v>1059</v>
      </c>
      <c r="B10" s="284">
        <f>$B$4/$B$5</f>
        <v>10.857142857142858</v>
      </c>
      <c r="C10" s="75"/>
      <c r="D10" s="75"/>
      <c r="E10" s="2" t="s">
        <v>44</v>
      </c>
      <c r="F10" s="2" t="s">
        <v>65</v>
      </c>
      <c r="I10" s="2" t="s">
        <v>1367</v>
      </c>
      <c r="J10" s="602" t="s">
        <v>926</v>
      </c>
      <c r="K10" s="602"/>
      <c r="L10" s="302"/>
      <c r="M10" s="302"/>
      <c r="N10" s="302"/>
      <c r="O10" s="302"/>
      <c r="P10" s="302"/>
      <c r="Q10" s="302"/>
      <c r="R10" s="302"/>
      <c r="S10" s="302"/>
      <c r="T10" s="302"/>
      <c r="U10" s="302"/>
      <c r="V10" s="302"/>
      <c r="W10" s="302"/>
      <c r="X10" s="302"/>
    </row>
    <row r="11" spans="1:24" s="2" customFormat="1" x14ac:dyDescent="0.3">
      <c r="A11" s="2" t="s">
        <v>1101</v>
      </c>
      <c r="B11" s="158">
        <f>1000/1.3</f>
        <v>769.23076923076917</v>
      </c>
      <c r="C11" s="158">
        <v>5</v>
      </c>
      <c r="D11" s="158"/>
      <c r="E11" s="2" t="s">
        <v>1042</v>
      </c>
      <c r="F11" s="2" t="s">
        <v>66</v>
      </c>
      <c r="I11" s="2" t="s">
        <v>1367</v>
      </c>
      <c r="J11" s="602"/>
      <c r="K11" s="602"/>
      <c r="L11" s="302"/>
      <c r="M11" s="302"/>
      <c r="N11" s="302"/>
      <c r="O11" s="302"/>
      <c r="P11" s="302"/>
      <c r="Q11" s="302"/>
      <c r="R11" s="302"/>
      <c r="S11" s="302"/>
      <c r="T11" s="302"/>
      <c r="U11" s="302"/>
      <c r="V11" s="302"/>
      <c r="W11" s="302"/>
      <c r="X11" s="302"/>
    </row>
    <row r="12" spans="1:24" s="2" customFormat="1" x14ac:dyDescent="0.3">
      <c r="B12" s="71"/>
      <c r="C12" s="71"/>
      <c r="D12" s="71"/>
      <c r="J12" s="602"/>
      <c r="K12" s="602"/>
      <c r="L12" s="302"/>
      <c r="M12" s="302"/>
      <c r="N12" s="302"/>
      <c r="O12" s="302"/>
      <c r="P12" s="302"/>
      <c r="Q12" s="302"/>
      <c r="R12" s="302"/>
      <c r="S12" s="302"/>
      <c r="T12" s="302"/>
      <c r="U12" s="302"/>
      <c r="V12" s="302"/>
      <c r="W12" s="302"/>
      <c r="X12" s="302"/>
    </row>
    <row r="13" spans="1:24" s="2" customFormat="1" x14ac:dyDescent="0.3">
      <c r="A13" s="24" t="s">
        <v>1350</v>
      </c>
      <c r="B13" s="72"/>
      <c r="C13" s="72"/>
      <c r="D13" s="72"/>
      <c r="E13" s="72"/>
      <c r="F13" s="21"/>
      <c r="G13" s="24"/>
      <c r="H13" s="21"/>
      <c r="I13" s="21"/>
      <c r="J13" s="1221"/>
      <c r="K13" s="1221"/>
      <c r="L13" s="302"/>
      <c r="M13" s="302"/>
      <c r="N13" s="302"/>
      <c r="O13" s="302"/>
      <c r="P13" s="302"/>
      <c r="Q13" s="302"/>
      <c r="R13" s="302"/>
      <c r="S13" s="302"/>
      <c r="T13" s="302"/>
      <c r="U13" s="302"/>
      <c r="V13" s="302"/>
      <c r="W13" s="302"/>
      <c r="X13" s="302"/>
    </row>
    <row r="14" spans="1:24" s="11" customFormat="1" x14ac:dyDescent="0.3">
      <c r="A14" s="4"/>
      <c r="B14" s="76"/>
      <c r="C14" s="76"/>
      <c r="D14" s="76"/>
      <c r="E14" s="76"/>
      <c r="G14" s="4"/>
      <c r="J14" s="1222"/>
      <c r="K14" s="1222"/>
      <c r="L14" s="830"/>
      <c r="M14" s="830"/>
      <c r="N14" s="830"/>
      <c r="O14" s="830"/>
      <c r="P14" s="830"/>
      <c r="Q14" s="830"/>
      <c r="R14" s="830"/>
      <c r="S14" s="830"/>
      <c r="T14" s="830"/>
      <c r="U14" s="830"/>
      <c r="V14" s="830"/>
      <c r="W14" s="830"/>
      <c r="X14" s="830"/>
    </row>
    <row r="15" spans="1:24" s="2" customFormat="1" x14ac:dyDescent="0.3">
      <c r="A15" s="5" t="s">
        <v>1346</v>
      </c>
      <c r="B15" s="324">
        <v>5.0999999999999996</v>
      </c>
      <c r="C15" s="324">
        <v>0.4</v>
      </c>
      <c r="D15" s="324"/>
      <c r="E15" s="11" t="s">
        <v>1347</v>
      </c>
      <c r="F15" s="2" t="s">
        <v>633</v>
      </c>
      <c r="J15" s="602"/>
      <c r="K15" s="602"/>
      <c r="L15" s="302"/>
      <c r="M15" s="302"/>
      <c r="N15" s="302"/>
      <c r="O15" s="302"/>
      <c r="P15" s="302"/>
      <c r="Q15" s="302"/>
      <c r="R15" s="302"/>
      <c r="S15" s="302"/>
      <c r="T15" s="302"/>
      <c r="U15" s="302"/>
      <c r="V15" s="302"/>
      <c r="W15" s="302"/>
      <c r="X15" s="302"/>
    </row>
    <row r="16" spans="1:24" s="2" customFormat="1" x14ac:dyDescent="0.3">
      <c r="A16" s="5" t="s">
        <v>1348</v>
      </c>
      <c r="B16" s="996">
        <v>124</v>
      </c>
      <c r="C16" s="996">
        <v>21</v>
      </c>
      <c r="D16" s="996"/>
      <c r="E16" s="11" t="s">
        <v>1349</v>
      </c>
      <c r="F16" s="2" t="s">
        <v>633</v>
      </c>
      <c r="J16" s="602"/>
      <c r="K16" s="602"/>
      <c r="L16" s="302"/>
      <c r="M16" s="302"/>
      <c r="N16" s="302"/>
      <c r="O16" s="302"/>
      <c r="P16" s="302"/>
      <c r="Q16" s="302"/>
      <c r="R16" s="302"/>
      <c r="S16" s="302"/>
      <c r="T16" s="302"/>
      <c r="U16" s="302"/>
      <c r="V16" s="302"/>
      <c r="W16" s="302"/>
      <c r="X16" s="302"/>
    </row>
    <row r="17" spans="1:24" s="2" customFormat="1" x14ac:dyDescent="0.3">
      <c r="B17" s="71"/>
      <c r="C17" s="71"/>
      <c r="D17" s="71"/>
      <c r="J17" s="602"/>
      <c r="K17" s="602"/>
      <c r="L17" s="302"/>
      <c r="M17" s="302"/>
      <c r="N17" s="302"/>
      <c r="O17" s="302"/>
      <c r="P17" s="302"/>
      <c r="Q17" s="302"/>
      <c r="R17" s="302"/>
      <c r="S17" s="302"/>
      <c r="T17" s="302"/>
      <c r="U17" s="302"/>
      <c r="V17" s="302"/>
      <c r="W17" s="302"/>
      <c r="X17" s="302"/>
    </row>
    <row r="18" spans="1:24" s="2" customFormat="1" x14ac:dyDescent="0.3">
      <c r="A18" s="50" t="s">
        <v>1119</v>
      </c>
      <c r="B18" s="86"/>
      <c r="C18" s="86"/>
      <c r="D18" s="86"/>
      <c r="E18" s="49"/>
      <c r="F18" s="50"/>
      <c r="G18" s="49"/>
      <c r="H18" s="49"/>
      <c r="I18" s="49"/>
      <c r="J18" s="915"/>
      <c r="K18" s="602"/>
      <c r="L18" s="302"/>
      <c r="M18" s="302"/>
      <c r="N18" s="302"/>
      <c r="O18" s="302"/>
      <c r="P18" s="302"/>
      <c r="Q18" s="302"/>
      <c r="R18" s="302"/>
      <c r="S18" s="302"/>
      <c r="T18" s="302"/>
      <c r="U18" s="302"/>
      <c r="V18" s="302"/>
      <c r="W18" s="302"/>
      <c r="X18" s="302"/>
    </row>
    <row r="19" spans="1:24" s="9" customFormat="1" x14ac:dyDescent="0.3">
      <c r="A19" s="5" t="s">
        <v>942</v>
      </c>
      <c r="B19" s="292">
        <v>52.6</v>
      </c>
      <c r="C19" s="292">
        <v>12.7</v>
      </c>
      <c r="D19" s="292"/>
      <c r="E19" s="2" t="s">
        <v>0</v>
      </c>
      <c r="F19" s="11" t="s">
        <v>395</v>
      </c>
      <c r="G19" s="5" t="s">
        <v>396</v>
      </c>
      <c r="H19" s="11" t="s">
        <v>817</v>
      </c>
      <c r="J19" s="883" t="s">
        <v>396</v>
      </c>
      <c r="K19" s="1226"/>
      <c r="L19" s="1235"/>
      <c r="M19" s="1235"/>
      <c r="N19" s="1235"/>
      <c r="O19" s="1235"/>
      <c r="P19" s="1235"/>
      <c r="Q19" s="1235"/>
      <c r="R19" s="1235"/>
      <c r="S19" s="1235"/>
      <c r="T19" s="1235"/>
      <c r="U19" s="1235"/>
      <c r="V19" s="1235"/>
      <c r="W19" s="1235"/>
      <c r="X19" s="1235"/>
    </row>
    <row r="20" spans="1:24" s="9" customFormat="1" x14ac:dyDescent="0.3">
      <c r="A20" s="5"/>
      <c r="B20" s="95"/>
      <c r="C20" s="95"/>
      <c r="D20" s="95"/>
      <c r="E20" s="2"/>
      <c r="F20" s="11"/>
      <c r="G20" s="5"/>
      <c r="H20" s="11"/>
      <c r="J20" s="883"/>
      <c r="K20" s="1226"/>
      <c r="L20" s="1235"/>
      <c r="M20" s="1235"/>
      <c r="N20" s="1235"/>
      <c r="O20" s="1235"/>
      <c r="P20" s="1235"/>
      <c r="Q20" s="1235"/>
      <c r="R20" s="1235"/>
      <c r="S20" s="1235"/>
      <c r="T20" s="1235"/>
      <c r="U20" s="1235"/>
      <c r="V20" s="1235"/>
      <c r="W20" s="1235"/>
      <c r="X20" s="1235"/>
    </row>
    <row r="21" spans="1:24" s="2" customFormat="1" x14ac:dyDescent="0.3">
      <c r="A21" s="123" t="s">
        <v>48</v>
      </c>
      <c r="B21" s="123"/>
      <c r="C21" s="123"/>
      <c r="D21" s="123"/>
      <c r="E21" s="123"/>
      <c r="F21" s="123"/>
      <c r="G21" s="123"/>
      <c r="H21" s="123"/>
      <c r="I21" s="123"/>
      <c r="J21" s="1223"/>
      <c r="K21" s="602"/>
      <c r="L21" s="302"/>
      <c r="M21" s="302"/>
      <c r="N21" s="302"/>
      <c r="O21" s="302"/>
      <c r="P21" s="302"/>
      <c r="Q21" s="302"/>
      <c r="R21" s="302"/>
      <c r="S21" s="302"/>
      <c r="T21" s="302"/>
      <c r="U21" s="302"/>
      <c r="V21" s="302"/>
      <c r="W21" s="302"/>
      <c r="X21" s="302"/>
    </row>
    <row r="22" spans="1:24" s="2" customFormat="1" x14ac:dyDescent="0.3">
      <c r="A22" s="2" t="s">
        <v>1085</v>
      </c>
      <c r="B22" s="71" t="s">
        <v>49</v>
      </c>
      <c r="C22" s="71"/>
      <c r="D22" s="71"/>
      <c r="E22" s="2" t="s">
        <v>1047</v>
      </c>
      <c r="F22" s="2" t="s">
        <v>868</v>
      </c>
      <c r="I22" s="2" t="s">
        <v>1368</v>
      </c>
      <c r="J22" s="1222" t="s">
        <v>651</v>
      </c>
      <c r="K22" s="602"/>
      <c r="L22" s="302"/>
      <c r="M22" s="302"/>
      <c r="N22" s="302"/>
      <c r="O22" s="302"/>
      <c r="P22" s="302"/>
      <c r="Q22" s="302"/>
      <c r="R22" s="302"/>
      <c r="S22" s="302"/>
      <c r="T22" s="302"/>
      <c r="U22" s="302"/>
      <c r="V22" s="302"/>
      <c r="W22" s="302"/>
      <c r="X22" s="302"/>
    </row>
    <row r="23" spans="1:24" s="2" customFormat="1" x14ac:dyDescent="0.3">
      <c r="A23" s="2" t="s">
        <v>1048</v>
      </c>
      <c r="B23" s="158">
        <v>303.5</v>
      </c>
      <c r="C23" s="158"/>
      <c r="D23" s="158"/>
      <c r="E23" s="2" t="s">
        <v>948</v>
      </c>
      <c r="F23" s="2" t="s">
        <v>868</v>
      </c>
      <c r="I23" s="2" t="s">
        <v>1368</v>
      </c>
      <c r="J23" s="1222" t="s">
        <v>651</v>
      </c>
      <c r="K23" s="602"/>
      <c r="L23" s="302"/>
      <c r="M23" s="302"/>
      <c r="N23" s="302"/>
      <c r="O23" s="302"/>
      <c r="P23" s="302"/>
      <c r="Q23" s="302"/>
      <c r="R23" s="302"/>
      <c r="S23" s="302"/>
      <c r="T23" s="302"/>
      <c r="U23" s="302"/>
      <c r="V23" s="302"/>
      <c r="W23" s="302"/>
      <c r="X23" s="302"/>
    </row>
    <row r="24" spans="1:24" s="2" customFormat="1" x14ac:dyDescent="0.3">
      <c r="A24" s="2" t="s">
        <v>51</v>
      </c>
      <c r="B24" s="158">
        <v>7.03</v>
      </c>
      <c r="C24" s="158"/>
      <c r="D24" s="158"/>
      <c r="E24" s="2" t="s">
        <v>50</v>
      </c>
      <c r="F24" s="2" t="s">
        <v>868</v>
      </c>
      <c r="I24" s="2" t="s">
        <v>1368</v>
      </c>
      <c r="J24" s="1222" t="s">
        <v>651</v>
      </c>
      <c r="K24" s="602"/>
      <c r="L24" s="302"/>
      <c r="M24" s="302"/>
      <c r="N24" s="302"/>
      <c r="O24" s="302"/>
      <c r="P24" s="302"/>
      <c r="Q24" s="302"/>
      <c r="R24" s="302"/>
      <c r="S24" s="302"/>
      <c r="T24" s="302"/>
      <c r="U24" s="302"/>
      <c r="V24" s="302"/>
      <c r="W24" s="302"/>
      <c r="X24" s="302"/>
    </row>
    <row r="25" spans="1:24" s="2" customFormat="1" x14ac:dyDescent="0.3">
      <c r="A25" s="2" t="s">
        <v>52</v>
      </c>
      <c r="B25" s="285">
        <v>0.49</v>
      </c>
      <c r="C25" s="285"/>
      <c r="D25" s="285"/>
      <c r="E25" s="2" t="s">
        <v>50</v>
      </c>
      <c r="F25" s="2" t="s">
        <v>868</v>
      </c>
      <c r="I25" s="2" t="s">
        <v>1368</v>
      </c>
      <c r="J25" s="1222" t="s">
        <v>651</v>
      </c>
      <c r="K25" s="602"/>
      <c r="L25" s="302"/>
      <c r="M25" s="302"/>
      <c r="N25" s="302"/>
      <c r="O25" s="302"/>
      <c r="P25" s="302"/>
      <c r="Q25" s="302"/>
      <c r="R25" s="302"/>
      <c r="S25" s="302"/>
      <c r="T25" s="302"/>
      <c r="U25" s="302"/>
      <c r="V25" s="302"/>
      <c r="W25" s="302"/>
      <c r="X25" s="302"/>
    </row>
    <row r="26" spans="1:24" s="2" customFormat="1" x14ac:dyDescent="0.3">
      <c r="A26" s="2" t="s">
        <v>53</v>
      </c>
      <c r="B26" s="291">
        <v>21.4</v>
      </c>
      <c r="C26" s="291"/>
      <c r="D26" s="291"/>
      <c r="E26" s="2" t="s">
        <v>1086</v>
      </c>
      <c r="F26" s="2" t="s">
        <v>868</v>
      </c>
      <c r="I26" s="2" t="s">
        <v>1368</v>
      </c>
      <c r="J26" s="1222" t="s">
        <v>651</v>
      </c>
      <c r="K26" s="602"/>
      <c r="L26" s="302"/>
      <c r="M26" s="302"/>
      <c r="N26" s="302"/>
      <c r="O26" s="302"/>
      <c r="P26" s="302"/>
      <c r="Q26" s="302"/>
      <c r="R26" s="302"/>
      <c r="S26" s="302"/>
      <c r="T26" s="302"/>
      <c r="U26" s="302"/>
      <c r="V26" s="302"/>
      <c r="W26" s="302"/>
      <c r="X26" s="302"/>
    </row>
    <row r="27" spans="1:24" s="9" customFormat="1" x14ac:dyDescent="0.3">
      <c r="A27" s="5"/>
      <c r="B27" s="95"/>
      <c r="C27" s="95"/>
      <c r="D27" s="95"/>
      <c r="E27" s="2"/>
      <c r="F27" s="11"/>
      <c r="G27" s="5"/>
      <c r="H27" s="11"/>
      <c r="J27" s="883"/>
      <c r="K27" s="1226"/>
      <c r="L27" s="1235"/>
      <c r="M27" s="1235"/>
      <c r="N27" s="1235"/>
      <c r="O27" s="1235"/>
      <c r="P27" s="1235"/>
      <c r="Q27" s="1235"/>
      <c r="R27" s="1235"/>
      <c r="S27" s="1235"/>
      <c r="T27" s="1235"/>
      <c r="U27" s="1235"/>
      <c r="V27" s="1235"/>
      <c r="W27" s="1235"/>
      <c r="X27" s="1235"/>
    </row>
    <row r="28" spans="1:24" s="2" customFormat="1" x14ac:dyDescent="0.3">
      <c r="A28" s="239" t="s">
        <v>1104</v>
      </c>
      <c r="B28" s="246"/>
      <c r="C28" s="246"/>
      <c r="D28" s="246"/>
      <c r="E28" s="239"/>
      <c r="F28" s="239"/>
      <c r="G28" s="239"/>
      <c r="H28" s="239"/>
      <c r="I28" s="239"/>
      <c r="J28" s="1224"/>
      <c r="K28" s="602"/>
      <c r="L28" s="302"/>
      <c r="M28" s="302"/>
      <c r="N28" s="302"/>
      <c r="O28" s="302"/>
      <c r="P28" s="302"/>
      <c r="Q28" s="302"/>
      <c r="R28" s="302"/>
      <c r="S28" s="302"/>
      <c r="T28" s="302"/>
      <c r="U28" s="302"/>
      <c r="V28" s="302"/>
      <c r="W28" s="302"/>
      <c r="X28" s="302"/>
    </row>
    <row r="29" spans="1:24" s="12" customFormat="1" x14ac:dyDescent="0.3">
      <c r="A29" s="6" t="s">
        <v>1079</v>
      </c>
      <c r="B29" s="324">
        <v>77.81</v>
      </c>
      <c r="C29" s="284"/>
      <c r="D29" s="284"/>
      <c r="E29" s="1" t="s">
        <v>4</v>
      </c>
      <c r="F29" s="6" t="s">
        <v>46</v>
      </c>
      <c r="G29" s="6" t="s">
        <v>410</v>
      </c>
      <c r="H29" s="2" t="s">
        <v>845</v>
      </c>
      <c r="I29" s="2" t="s">
        <v>1369</v>
      </c>
      <c r="J29" s="602" t="s">
        <v>866</v>
      </c>
      <c r="K29" s="1238"/>
      <c r="L29" s="1236"/>
      <c r="M29" s="1236"/>
      <c r="N29" s="1236"/>
      <c r="O29" s="1236"/>
      <c r="P29" s="1236"/>
      <c r="Q29" s="1236"/>
      <c r="R29" s="1236"/>
      <c r="S29" s="1236"/>
      <c r="T29" s="1236"/>
      <c r="U29" s="1236"/>
      <c r="V29" s="1236"/>
      <c r="W29" s="1236"/>
      <c r="X29" s="1236"/>
    </row>
    <row r="30" spans="1:24" s="12" customFormat="1" x14ac:dyDescent="0.3">
      <c r="A30" s="6" t="s">
        <v>1080</v>
      </c>
      <c r="B30" s="997">
        <v>0.48</v>
      </c>
      <c r="C30" s="75"/>
      <c r="D30" s="75"/>
      <c r="E30" s="1" t="s">
        <v>4</v>
      </c>
      <c r="F30" s="6" t="s">
        <v>46</v>
      </c>
      <c r="G30" s="6" t="s">
        <v>410</v>
      </c>
      <c r="H30" s="2" t="s">
        <v>845</v>
      </c>
      <c r="I30" s="2" t="s">
        <v>1369</v>
      </c>
      <c r="J30" s="602" t="s">
        <v>866</v>
      </c>
      <c r="K30" s="1238"/>
      <c r="L30" s="1236"/>
      <c r="M30" s="1236"/>
      <c r="N30" s="1236"/>
      <c r="O30" s="1236"/>
      <c r="P30" s="1236"/>
      <c r="Q30" s="1236"/>
      <c r="R30" s="1236"/>
      <c r="S30" s="1236"/>
      <c r="T30" s="1236"/>
      <c r="U30" s="1236"/>
      <c r="V30" s="1236"/>
      <c r="W30" s="1236"/>
      <c r="X30" s="1236"/>
    </row>
    <row r="31" spans="1:24" s="12" customFormat="1" x14ac:dyDescent="0.3">
      <c r="A31" s="6" t="s">
        <v>1081</v>
      </c>
      <c r="B31" s="997">
        <v>17.13</v>
      </c>
      <c r="C31" s="147"/>
      <c r="D31" s="147"/>
      <c r="E31" s="1" t="s">
        <v>4</v>
      </c>
      <c r="F31" s="6" t="s">
        <v>46</v>
      </c>
      <c r="G31" s="6" t="s">
        <v>410</v>
      </c>
      <c r="H31" s="2" t="s">
        <v>845</v>
      </c>
      <c r="I31" s="2" t="s">
        <v>1369</v>
      </c>
      <c r="J31" s="602" t="s">
        <v>866</v>
      </c>
      <c r="K31" s="1238"/>
      <c r="L31" s="1236"/>
      <c r="M31" s="1236"/>
      <c r="N31" s="1236"/>
      <c r="O31" s="1236"/>
      <c r="P31" s="1236"/>
      <c r="Q31" s="1236"/>
      <c r="R31" s="1236"/>
      <c r="S31" s="1236"/>
      <c r="T31" s="1236"/>
      <c r="U31" s="1236"/>
      <c r="V31" s="1236"/>
      <c r="W31" s="1236"/>
      <c r="X31" s="1236"/>
    </row>
    <row r="32" spans="1:24" s="12" customFormat="1" x14ac:dyDescent="0.3">
      <c r="A32" s="6" t="s">
        <v>1082</v>
      </c>
      <c r="B32" s="997">
        <v>0.14000000000000001</v>
      </c>
      <c r="C32" s="147"/>
      <c r="D32" s="147"/>
      <c r="E32" s="1" t="s">
        <v>4</v>
      </c>
      <c r="F32" s="6" t="s">
        <v>46</v>
      </c>
      <c r="G32" s="6" t="s">
        <v>410</v>
      </c>
      <c r="H32" s="2" t="s">
        <v>845</v>
      </c>
      <c r="I32" s="2" t="s">
        <v>1369</v>
      </c>
      <c r="J32" s="602" t="s">
        <v>866</v>
      </c>
      <c r="K32" s="1238"/>
      <c r="L32" s="1236"/>
      <c r="M32" s="1236"/>
      <c r="N32" s="1236"/>
      <c r="O32" s="1236"/>
      <c r="P32" s="1236"/>
      <c r="Q32" s="1236"/>
      <c r="R32" s="1236"/>
      <c r="S32" s="1236"/>
      <c r="T32" s="1236"/>
      <c r="U32" s="1236"/>
      <c r="V32" s="1236"/>
      <c r="W32" s="1236"/>
      <c r="X32" s="1236"/>
    </row>
    <row r="33" spans="1:24" s="12" customFormat="1" x14ac:dyDescent="0.3">
      <c r="A33" s="6" t="s">
        <v>1083</v>
      </c>
      <c r="B33" s="997">
        <v>3.77</v>
      </c>
      <c r="C33" s="147"/>
      <c r="D33" s="147"/>
      <c r="E33" s="1" t="s">
        <v>4</v>
      </c>
      <c r="F33" s="6" t="s">
        <v>46</v>
      </c>
      <c r="G33" s="6" t="s">
        <v>410</v>
      </c>
      <c r="H33" s="2" t="s">
        <v>845</v>
      </c>
      <c r="I33" s="2" t="s">
        <v>1369</v>
      </c>
      <c r="J33" s="602" t="s">
        <v>866</v>
      </c>
      <c r="K33" s="1238"/>
      <c r="L33" s="1236"/>
      <c r="M33" s="1236"/>
      <c r="N33" s="1236"/>
      <c r="O33" s="1236"/>
      <c r="P33" s="1236"/>
      <c r="Q33" s="1236"/>
      <c r="R33" s="1236"/>
      <c r="S33" s="1236"/>
      <c r="T33" s="1236"/>
      <c r="U33" s="1236"/>
      <c r="V33" s="1236"/>
      <c r="W33" s="1236"/>
      <c r="X33" s="1236"/>
    </row>
    <row r="34" spans="1:24" s="12" customFormat="1" x14ac:dyDescent="0.3">
      <c r="A34" s="6" t="s">
        <v>1084</v>
      </c>
      <c r="B34" s="997">
        <v>0.67</v>
      </c>
      <c r="C34" s="147"/>
      <c r="D34" s="147"/>
      <c r="E34" s="1" t="s">
        <v>4</v>
      </c>
      <c r="F34" s="6" t="s">
        <v>46</v>
      </c>
      <c r="G34" s="6" t="s">
        <v>410</v>
      </c>
      <c r="H34" s="2" t="s">
        <v>845</v>
      </c>
      <c r="I34" s="2" t="s">
        <v>1369</v>
      </c>
      <c r="J34" s="602" t="s">
        <v>866</v>
      </c>
      <c r="K34" s="1238"/>
      <c r="L34" s="1236"/>
      <c r="M34" s="1236"/>
      <c r="N34" s="1236"/>
      <c r="O34" s="1236"/>
      <c r="P34" s="1236"/>
      <c r="Q34" s="1236"/>
      <c r="R34" s="1236"/>
      <c r="S34" s="1236"/>
      <c r="T34" s="1236"/>
      <c r="U34" s="1236"/>
      <c r="V34" s="1236"/>
      <c r="W34" s="1236"/>
      <c r="X34" s="1236"/>
    </row>
    <row r="35" spans="1:24" s="2" customFormat="1" x14ac:dyDescent="0.3">
      <c r="B35" s="71"/>
      <c r="C35" s="71"/>
      <c r="D35" s="71"/>
      <c r="J35" s="602"/>
      <c r="K35" s="602"/>
      <c r="L35" s="302"/>
      <c r="M35" s="302"/>
      <c r="N35" s="302"/>
      <c r="O35" s="302"/>
      <c r="P35" s="302"/>
      <c r="Q35" s="302"/>
      <c r="R35" s="302"/>
      <c r="S35" s="302"/>
      <c r="T35" s="302"/>
      <c r="U35" s="302"/>
      <c r="V35" s="302"/>
      <c r="W35" s="302"/>
      <c r="X35" s="302"/>
    </row>
    <row r="36" spans="1:24" s="5" customFormat="1" x14ac:dyDescent="0.3">
      <c r="A36" s="18" t="s">
        <v>867</v>
      </c>
      <c r="B36" s="18"/>
      <c r="C36" s="18"/>
      <c r="D36" s="18"/>
      <c r="E36" s="18"/>
      <c r="F36" s="18"/>
      <c r="G36" s="18"/>
      <c r="H36" s="18"/>
      <c r="I36" s="18"/>
      <c r="J36" s="1225"/>
      <c r="K36" s="883"/>
      <c r="L36" s="456"/>
      <c r="M36" s="456"/>
      <c r="N36" s="456"/>
      <c r="O36" s="456"/>
      <c r="P36" s="456"/>
      <c r="Q36" s="456"/>
      <c r="R36" s="456"/>
      <c r="S36" s="456"/>
      <c r="T36" s="456"/>
      <c r="U36" s="456"/>
      <c r="V36" s="456"/>
      <c r="W36" s="456"/>
      <c r="X36" s="456"/>
    </row>
    <row r="37" spans="1:24" s="2" customFormat="1" x14ac:dyDescent="0.3">
      <c r="A37" s="5" t="s">
        <v>1858</v>
      </c>
      <c r="B37" s="158">
        <v>124</v>
      </c>
      <c r="C37" s="158">
        <v>47</v>
      </c>
      <c r="D37" s="158"/>
      <c r="E37" s="2" t="s">
        <v>699</v>
      </c>
      <c r="F37" s="2" t="s">
        <v>20</v>
      </c>
      <c r="G37" s="2" t="s">
        <v>1857</v>
      </c>
      <c r="I37" s="2" t="s">
        <v>1356</v>
      </c>
      <c r="J37" s="602" t="s">
        <v>1113</v>
      </c>
      <c r="K37" s="602"/>
      <c r="L37" s="302"/>
      <c r="M37" s="302"/>
      <c r="N37" s="302"/>
      <c r="O37" s="302"/>
      <c r="P37" s="302"/>
      <c r="Q37" s="302"/>
      <c r="R37" s="302"/>
      <c r="S37" s="302"/>
      <c r="T37" s="302"/>
      <c r="U37" s="302"/>
      <c r="V37" s="302"/>
      <c r="W37" s="302"/>
      <c r="X37" s="302"/>
    </row>
    <row r="38" spans="1:24" s="2" customFormat="1" x14ac:dyDescent="0.3">
      <c r="A38" s="5" t="s">
        <v>1859</v>
      </c>
      <c r="B38" s="158">
        <v>150</v>
      </c>
      <c r="C38" s="71"/>
      <c r="D38" s="71"/>
      <c r="E38" s="2" t="s">
        <v>699</v>
      </c>
      <c r="F38" s="11" t="s">
        <v>395</v>
      </c>
      <c r="G38" s="2" t="s">
        <v>1856</v>
      </c>
      <c r="H38" s="11" t="s">
        <v>1355</v>
      </c>
      <c r="I38" s="2" t="s">
        <v>1370</v>
      </c>
      <c r="J38" s="602" t="s">
        <v>396</v>
      </c>
      <c r="K38" s="602"/>
      <c r="L38" s="302"/>
      <c r="M38" s="302"/>
      <c r="N38" s="302"/>
      <c r="O38" s="302"/>
      <c r="P38" s="302"/>
      <c r="Q38" s="302"/>
      <c r="R38" s="302"/>
      <c r="S38" s="302"/>
      <c r="T38" s="302"/>
      <c r="U38" s="302"/>
      <c r="V38" s="302"/>
      <c r="W38" s="302"/>
      <c r="X38" s="302"/>
    </row>
    <row r="39" spans="1:24" s="2" customFormat="1" x14ac:dyDescent="0.3">
      <c r="A39" s="5" t="s">
        <v>109</v>
      </c>
      <c r="B39" s="285">
        <v>112.14</v>
      </c>
      <c r="C39" s="291">
        <v>4.3</v>
      </c>
      <c r="D39" s="291"/>
      <c r="E39" s="2" t="s">
        <v>5</v>
      </c>
      <c r="F39" s="2" t="s">
        <v>395</v>
      </c>
      <c r="G39" s="2" t="s">
        <v>1863</v>
      </c>
      <c r="H39" s="11" t="s">
        <v>1355</v>
      </c>
      <c r="I39" s="2" t="s">
        <v>1370</v>
      </c>
      <c r="J39" s="602" t="s">
        <v>396</v>
      </c>
      <c r="K39" s="602"/>
      <c r="L39" s="302"/>
      <c r="M39" s="302"/>
      <c r="N39" s="302"/>
      <c r="O39" s="302"/>
      <c r="P39" s="302"/>
      <c r="Q39" s="302"/>
      <c r="R39" s="302"/>
      <c r="S39" s="302"/>
      <c r="T39" s="302"/>
      <c r="U39" s="302"/>
      <c r="V39" s="302"/>
      <c r="W39" s="302"/>
      <c r="X39" s="302"/>
    </row>
    <row r="40" spans="1:24" s="2" customFormat="1" x14ac:dyDescent="0.3">
      <c r="A40" s="2" t="s">
        <v>397</v>
      </c>
      <c r="B40" s="996">
        <v>112</v>
      </c>
      <c r="C40" s="996">
        <v>29</v>
      </c>
      <c r="D40" s="996"/>
      <c r="E40" s="2" t="s">
        <v>27</v>
      </c>
      <c r="F40" s="11" t="s">
        <v>108</v>
      </c>
      <c r="G40" s="2" t="s">
        <v>396</v>
      </c>
      <c r="H40" s="11" t="s">
        <v>1355</v>
      </c>
      <c r="I40" s="2" t="s">
        <v>1370</v>
      </c>
      <c r="J40" s="602" t="s">
        <v>396</v>
      </c>
      <c r="K40" s="602"/>
      <c r="L40" s="302"/>
      <c r="M40" s="302"/>
      <c r="N40" s="302"/>
      <c r="O40" s="302"/>
      <c r="P40" s="302"/>
      <c r="Q40" s="302"/>
      <c r="R40" s="302"/>
      <c r="S40" s="302"/>
      <c r="T40" s="302"/>
      <c r="U40" s="302"/>
      <c r="V40" s="302"/>
      <c r="W40" s="302"/>
      <c r="X40" s="302"/>
    </row>
    <row r="41" spans="1:24" s="2" customFormat="1" x14ac:dyDescent="0.3">
      <c r="A41" s="2" t="s">
        <v>1109</v>
      </c>
      <c r="B41" s="996">
        <v>73</v>
      </c>
      <c r="C41" s="996">
        <v>15</v>
      </c>
      <c r="D41" s="996"/>
      <c r="E41" s="2" t="s">
        <v>27</v>
      </c>
      <c r="F41" s="2" t="s">
        <v>385</v>
      </c>
      <c r="H41" s="2" t="s">
        <v>943</v>
      </c>
      <c r="J41" s="602"/>
      <c r="K41" s="602"/>
      <c r="L41" s="302"/>
      <c r="M41" s="302"/>
      <c r="N41" s="302"/>
      <c r="O41" s="302"/>
      <c r="P41" s="302"/>
      <c r="Q41" s="302"/>
      <c r="R41" s="302"/>
      <c r="S41" s="302"/>
      <c r="T41" s="302"/>
      <c r="U41" s="302"/>
      <c r="V41" s="302"/>
      <c r="W41" s="302"/>
      <c r="X41" s="302"/>
    </row>
    <row r="42" spans="1:24" s="2" customFormat="1" x14ac:dyDescent="0.3">
      <c r="A42" s="2" t="s">
        <v>1109</v>
      </c>
      <c r="B42" s="324">
        <v>73.099999999999994</v>
      </c>
      <c r="C42" s="996">
        <v>2</v>
      </c>
      <c r="D42" s="996"/>
      <c r="E42" s="2" t="s">
        <v>27</v>
      </c>
      <c r="F42" s="2" t="s">
        <v>386</v>
      </c>
      <c r="H42" s="2" t="s">
        <v>943</v>
      </c>
      <c r="I42" s="2" t="s">
        <v>1371</v>
      </c>
      <c r="J42" s="602" t="s">
        <v>1353</v>
      </c>
      <c r="K42" s="602"/>
      <c r="L42" s="302"/>
      <c r="M42" s="302"/>
      <c r="N42" s="302"/>
      <c r="O42" s="302"/>
      <c r="P42" s="302"/>
      <c r="Q42" s="302"/>
      <c r="R42" s="302"/>
      <c r="S42" s="302"/>
      <c r="T42" s="302"/>
      <c r="U42" s="302"/>
      <c r="V42" s="302"/>
      <c r="W42" s="302"/>
      <c r="X42" s="302"/>
    </row>
    <row r="43" spans="1:24" s="2" customFormat="1" x14ac:dyDescent="0.3">
      <c r="A43" s="2" t="s">
        <v>1109</v>
      </c>
      <c r="B43" s="996">
        <v>83</v>
      </c>
      <c r="C43" s="75"/>
      <c r="D43" s="75"/>
      <c r="E43" s="2" t="s">
        <v>27</v>
      </c>
      <c r="F43" s="2" t="s">
        <v>388</v>
      </c>
      <c r="G43" s="2" t="s">
        <v>928</v>
      </c>
      <c r="J43" s="602" t="s">
        <v>927</v>
      </c>
      <c r="K43" s="602"/>
      <c r="L43" s="302"/>
      <c r="M43" s="302"/>
      <c r="N43" s="302"/>
      <c r="O43" s="302"/>
      <c r="P43" s="302"/>
      <c r="Q43" s="302"/>
      <c r="R43" s="302"/>
      <c r="S43" s="302"/>
      <c r="T43" s="302"/>
      <c r="U43" s="302"/>
      <c r="V43" s="302"/>
      <c r="W43" s="302"/>
      <c r="X43" s="302"/>
    </row>
    <row r="44" spans="1:24" s="2" customFormat="1" x14ac:dyDescent="0.3">
      <c r="A44" s="2" t="s">
        <v>1109</v>
      </c>
      <c r="B44" s="996">
        <v>76</v>
      </c>
      <c r="C44" s="996">
        <v>5</v>
      </c>
      <c r="D44" s="996"/>
      <c r="E44" s="2" t="s">
        <v>27</v>
      </c>
      <c r="F44" s="2" t="s">
        <v>103</v>
      </c>
      <c r="J44" s="602"/>
      <c r="K44" s="602"/>
      <c r="L44" s="302"/>
      <c r="M44" s="302"/>
      <c r="N44" s="302"/>
      <c r="O44" s="302"/>
      <c r="P44" s="302"/>
      <c r="Q44" s="302"/>
      <c r="R44" s="302"/>
      <c r="S44" s="302"/>
      <c r="T44" s="302"/>
      <c r="U44" s="302"/>
      <c r="V44" s="302"/>
      <c r="W44" s="302"/>
      <c r="X44" s="302"/>
    </row>
    <row r="45" spans="1:24" s="2" customFormat="1" x14ac:dyDescent="0.3">
      <c r="A45" s="2" t="s">
        <v>35</v>
      </c>
      <c r="B45" s="158">
        <v>172</v>
      </c>
      <c r="C45" s="71" t="s">
        <v>1833</v>
      </c>
      <c r="D45" s="71"/>
      <c r="E45" s="2" t="s">
        <v>27</v>
      </c>
      <c r="F45" s="2" t="s">
        <v>389</v>
      </c>
      <c r="G45" s="2" t="s">
        <v>1354</v>
      </c>
      <c r="J45" s="602"/>
      <c r="K45" s="602"/>
      <c r="L45" s="302"/>
      <c r="M45" s="302"/>
      <c r="N45" s="302"/>
      <c r="O45" s="302"/>
      <c r="P45" s="302"/>
      <c r="Q45" s="302"/>
      <c r="R45" s="302"/>
      <c r="S45" s="302"/>
      <c r="T45" s="302"/>
      <c r="U45" s="302"/>
      <c r="V45" s="302"/>
      <c r="W45" s="302"/>
      <c r="X45" s="302"/>
    </row>
    <row r="46" spans="1:24" s="2" customFormat="1" x14ac:dyDescent="0.3">
      <c r="A46" s="2" t="s">
        <v>34</v>
      </c>
      <c r="B46" s="158">
        <v>69</v>
      </c>
      <c r="C46" s="71" t="s">
        <v>1833</v>
      </c>
      <c r="D46" s="71"/>
      <c r="E46" s="2" t="s">
        <v>27</v>
      </c>
      <c r="F46" s="2" t="s">
        <v>389</v>
      </c>
      <c r="G46" s="2" t="s">
        <v>1354</v>
      </c>
      <c r="J46" s="602"/>
      <c r="K46" s="602"/>
      <c r="L46" s="302"/>
      <c r="M46" s="302"/>
      <c r="N46" s="302"/>
      <c r="O46" s="302"/>
      <c r="P46" s="302"/>
      <c r="Q46" s="302"/>
      <c r="R46" s="302"/>
      <c r="S46" s="302"/>
      <c r="T46" s="302"/>
      <c r="U46" s="302"/>
      <c r="V46" s="302"/>
      <c r="W46" s="302"/>
      <c r="X46" s="302"/>
    </row>
    <row r="47" spans="1:24" s="2" customFormat="1" x14ac:dyDescent="0.3">
      <c r="A47" s="2" t="s">
        <v>33</v>
      </c>
      <c r="B47" s="158">
        <v>70</v>
      </c>
      <c r="C47" s="71"/>
      <c r="D47" s="71"/>
      <c r="E47" s="2" t="s">
        <v>4</v>
      </c>
      <c r="F47" s="2" t="s">
        <v>2156</v>
      </c>
      <c r="G47" s="2" t="s">
        <v>865</v>
      </c>
      <c r="J47" s="602"/>
      <c r="K47" s="602"/>
      <c r="L47" s="302"/>
      <c r="M47" s="302"/>
      <c r="N47" s="302"/>
      <c r="O47" s="302"/>
      <c r="P47" s="302"/>
      <c r="Q47" s="302"/>
      <c r="R47" s="302"/>
      <c r="S47" s="302"/>
      <c r="T47" s="302"/>
      <c r="U47" s="302"/>
      <c r="V47" s="302"/>
      <c r="W47" s="302"/>
      <c r="X47" s="302"/>
    </row>
    <row r="48" spans="1:24" s="2" customFormat="1" x14ac:dyDescent="0.3">
      <c r="B48" s="71"/>
      <c r="C48" s="71"/>
      <c r="D48" s="71"/>
      <c r="J48" s="602"/>
      <c r="K48" s="602"/>
      <c r="L48" s="302"/>
      <c r="M48" s="302"/>
      <c r="N48" s="302"/>
      <c r="O48" s="302"/>
      <c r="P48" s="302"/>
      <c r="Q48" s="302"/>
      <c r="R48" s="302"/>
      <c r="S48" s="302"/>
      <c r="T48" s="302"/>
      <c r="U48" s="302"/>
      <c r="V48" s="302"/>
      <c r="W48" s="302"/>
      <c r="X48" s="302"/>
    </row>
    <row r="49" spans="1:24" s="9" customFormat="1" x14ac:dyDescent="0.3">
      <c r="A49" s="5" t="s">
        <v>104</v>
      </c>
      <c r="B49" s="293">
        <v>10</v>
      </c>
      <c r="C49" s="293">
        <v>1</v>
      </c>
      <c r="D49" s="293"/>
      <c r="E49" s="10" t="s">
        <v>27</v>
      </c>
      <c r="F49" s="11" t="s">
        <v>390</v>
      </c>
      <c r="J49" s="1226"/>
      <c r="K49" s="1226"/>
      <c r="L49" s="1235"/>
      <c r="M49" s="1235"/>
      <c r="N49" s="1235"/>
      <c r="O49" s="1235"/>
      <c r="P49" s="1235"/>
      <c r="Q49" s="1235"/>
      <c r="R49" s="1235"/>
      <c r="S49" s="1235"/>
      <c r="T49" s="1235"/>
      <c r="U49" s="1235"/>
      <c r="V49" s="1235"/>
      <c r="W49" s="1235"/>
      <c r="X49" s="1235"/>
    </row>
    <row r="50" spans="1:24" s="9" customFormat="1" x14ac:dyDescent="0.3">
      <c r="A50" s="5"/>
      <c r="B50" s="293"/>
      <c r="C50" s="293"/>
      <c r="D50" s="293"/>
      <c r="E50" s="10"/>
      <c r="F50" s="11"/>
      <c r="J50" s="1226"/>
      <c r="K50" s="1226"/>
      <c r="L50" s="1235"/>
      <c r="M50" s="1235"/>
      <c r="N50" s="1235"/>
      <c r="O50" s="1235"/>
      <c r="P50" s="1235"/>
      <c r="Q50" s="1235"/>
      <c r="R50" s="1235"/>
      <c r="S50" s="1235"/>
      <c r="T50" s="1235"/>
      <c r="U50" s="1235"/>
      <c r="V50" s="1235"/>
      <c r="W50" s="1235"/>
      <c r="X50" s="1235"/>
    </row>
    <row r="51" spans="1:24" s="9" customFormat="1" x14ac:dyDescent="0.3">
      <c r="A51" s="5" t="s">
        <v>110</v>
      </c>
      <c r="B51" s="293">
        <v>4172</v>
      </c>
      <c r="C51" s="293">
        <v>788</v>
      </c>
      <c r="D51" s="293"/>
      <c r="E51" s="2" t="s">
        <v>699</v>
      </c>
      <c r="F51" s="11" t="s">
        <v>395</v>
      </c>
      <c r="G51" s="2" t="s">
        <v>1860</v>
      </c>
      <c r="H51" s="11" t="s">
        <v>817</v>
      </c>
      <c r="I51" s="2" t="s">
        <v>1370</v>
      </c>
      <c r="J51" s="602" t="s">
        <v>396</v>
      </c>
      <c r="K51" s="1226"/>
      <c r="L51" s="1235"/>
      <c r="M51" s="1235"/>
      <c r="N51" s="1235"/>
      <c r="O51" s="1235"/>
      <c r="P51" s="1235"/>
      <c r="Q51" s="1235"/>
      <c r="R51" s="1235"/>
      <c r="S51" s="1235"/>
      <c r="T51" s="1235"/>
      <c r="U51" s="1235"/>
      <c r="V51" s="1235"/>
      <c r="W51" s="1235"/>
      <c r="X51" s="1235"/>
    </row>
    <row r="52" spans="1:24" s="9" customFormat="1" x14ac:dyDescent="0.3">
      <c r="A52" s="5" t="s">
        <v>1862</v>
      </c>
      <c r="B52" s="293">
        <v>2086</v>
      </c>
      <c r="C52" s="293">
        <v>394</v>
      </c>
      <c r="D52" s="293"/>
      <c r="E52" s="2" t="s">
        <v>699</v>
      </c>
      <c r="F52" s="11" t="s">
        <v>395</v>
      </c>
      <c r="G52" s="2" t="s">
        <v>1864</v>
      </c>
      <c r="H52" s="11" t="s">
        <v>817</v>
      </c>
      <c r="I52" s="2" t="s">
        <v>1370</v>
      </c>
      <c r="J52" s="602" t="s">
        <v>396</v>
      </c>
      <c r="K52" s="1226"/>
      <c r="L52" s="1235"/>
      <c r="M52" s="1235"/>
      <c r="N52" s="1235"/>
      <c r="O52" s="1235"/>
      <c r="P52" s="1235"/>
      <c r="Q52" s="1235"/>
      <c r="R52" s="1235"/>
      <c r="S52" s="1235"/>
      <c r="T52" s="1235"/>
      <c r="U52" s="1235"/>
      <c r="V52" s="1235"/>
      <c r="W52" s="1235"/>
      <c r="X52" s="1235"/>
    </row>
    <row r="53" spans="1:24" s="9" customFormat="1" x14ac:dyDescent="0.3">
      <c r="A53" s="5"/>
      <c r="B53" s="445"/>
      <c r="C53" s="292"/>
      <c r="D53" s="292"/>
      <c r="E53" s="2"/>
      <c r="F53" s="11"/>
      <c r="G53" s="2"/>
      <c r="H53" s="11"/>
      <c r="I53" s="2"/>
      <c r="J53" s="602"/>
      <c r="K53" s="1226"/>
      <c r="L53" s="1235"/>
      <c r="M53" s="1235"/>
      <c r="N53" s="1235"/>
      <c r="O53" s="1235"/>
      <c r="P53" s="1235"/>
      <c r="Q53" s="1235"/>
      <c r="R53" s="1235"/>
      <c r="S53" s="1235"/>
      <c r="T53" s="1235"/>
      <c r="U53" s="1235"/>
      <c r="V53" s="1235"/>
      <c r="W53" s="1235"/>
      <c r="X53" s="1235"/>
    </row>
    <row r="54" spans="1:24" s="9" customFormat="1" x14ac:dyDescent="0.3">
      <c r="A54" s="5" t="s">
        <v>1865</v>
      </c>
      <c r="B54" s="292">
        <v>29.17</v>
      </c>
      <c r="C54" s="293">
        <v>2</v>
      </c>
      <c r="D54" s="293"/>
      <c r="E54" s="2" t="s">
        <v>26</v>
      </c>
      <c r="F54" s="11" t="s">
        <v>395</v>
      </c>
      <c r="G54" s="2" t="s">
        <v>1861</v>
      </c>
      <c r="H54" s="11" t="s">
        <v>817</v>
      </c>
      <c r="I54" s="2" t="s">
        <v>1370</v>
      </c>
      <c r="J54" s="602" t="s">
        <v>396</v>
      </c>
      <c r="K54" s="1226"/>
      <c r="L54" s="1235"/>
      <c r="M54" s="1235"/>
      <c r="N54" s="1235"/>
      <c r="O54" s="1235"/>
      <c r="P54" s="1235"/>
      <c r="Q54" s="1235"/>
      <c r="R54" s="1235"/>
      <c r="S54" s="1235"/>
      <c r="T54" s="1235"/>
      <c r="U54" s="1235"/>
      <c r="V54" s="1235"/>
      <c r="W54" s="1235"/>
      <c r="X54" s="1235"/>
    </row>
    <row r="55" spans="1:24" x14ac:dyDescent="0.3">
      <c r="A55" s="288" t="s">
        <v>1867</v>
      </c>
      <c r="B55" s="648">
        <v>3.43</v>
      </c>
      <c r="E55" s="647" t="s">
        <v>26</v>
      </c>
      <c r="F55" s="11" t="s">
        <v>395</v>
      </c>
      <c r="G55" t="s">
        <v>1866</v>
      </c>
      <c r="H55" s="11" t="s">
        <v>817</v>
      </c>
      <c r="I55" s="2" t="s">
        <v>1370</v>
      </c>
      <c r="J55" s="602" t="s">
        <v>396</v>
      </c>
    </row>
    <row r="56" spans="1:24" s="9" customFormat="1" x14ac:dyDescent="0.3">
      <c r="A56" s="5" t="s">
        <v>1868</v>
      </c>
      <c r="B56" s="445">
        <f>$B$54-$B$55</f>
        <v>25.740000000000002</v>
      </c>
      <c r="C56" s="292"/>
      <c r="D56" s="292"/>
      <c r="E56" s="2" t="s">
        <v>26</v>
      </c>
      <c r="F56" s="11"/>
      <c r="G56" s="2"/>
      <c r="H56" s="11"/>
      <c r="I56" s="2"/>
      <c r="J56" s="602"/>
      <c r="K56" s="1226"/>
      <c r="L56" s="1235"/>
      <c r="M56" s="1235"/>
      <c r="N56" s="1235"/>
      <c r="O56" s="1235"/>
      <c r="P56" s="1235"/>
      <c r="Q56" s="1235"/>
      <c r="R56" s="1235"/>
      <c r="S56" s="1235"/>
      <c r="T56" s="1235"/>
      <c r="U56" s="1235"/>
      <c r="V56" s="1235"/>
      <c r="W56" s="1235"/>
      <c r="X56" s="1235"/>
    </row>
    <row r="57" spans="1:24" s="9" customFormat="1" x14ac:dyDescent="0.3">
      <c r="A57" s="5"/>
      <c r="B57" s="445"/>
      <c r="C57" s="292"/>
      <c r="D57" s="292"/>
      <c r="E57" s="2"/>
      <c r="F57" s="11"/>
      <c r="G57" s="2"/>
      <c r="H57" s="11"/>
      <c r="I57" s="2"/>
      <c r="J57" s="602"/>
      <c r="K57" s="1226"/>
      <c r="L57" s="1235"/>
      <c r="M57" s="1235"/>
      <c r="N57" s="1235"/>
      <c r="O57" s="1235"/>
      <c r="P57" s="1235"/>
      <c r="Q57" s="1235"/>
      <c r="R57" s="1235"/>
      <c r="S57" s="1235"/>
      <c r="T57" s="1235"/>
      <c r="U57" s="1235"/>
      <c r="V57" s="1235"/>
      <c r="W57" s="1235"/>
      <c r="X57" s="1235"/>
    </row>
    <row r="58" spans="1:24" s="9" customFormat="1" x14ac:dyDescent="0.3">
      <c r="A58" s="5" t="s">
        <v>1849</v>
      </c>
      <c r="B58" s="95">
        <v>0.44800000000000001</v>
      </c>
      <c r="C58" s="95">
        <v>1.6E-2</v>
      </c>
      <c r="D58" s="95"/>
      <c r="E58" s="2" t="s">
        <v>84</v>
      </c>
      <c r="F58" s="11" t="s">
        <v>1850</v>
      </c>
      <c r="G58" s="2" t="s">
        <v>2504</v>
      </c>
      <c r="H58" s="11"/>
      <c r="I58" s="2"/>
      <c r="J58" s="602"/>
      <c r="K58" s="1226"/>
      <c r="L58" s="1235"/>
      <c r="M58" s="1235"/>
      <c r="N58" s="1235"/>
      <c r="O58" s="1235"/>
      <c r="P58" s="1235"/>
      <c r="Q58" s="1235"/>
      <c r="R58" s="1235"/>
      <c r="S58" s="1235"/>
      <c r="T58" s="1235"/>
      <c r="U58" s="1235"/>
      <c r="V58" s="1235"/>
      <c r="W58" s="1235"/>
      <c r="X58" s="1235"/>
    </row>
    <row r="59" spans="1:24" s="9" customFormat="1" x14ac:dyDescent="0.3">
      <c r="A59" s="5" t="s">
        <v>1851</v>
      </c>
      <c r="B59" s="95">
        <v>0.113</v>
      </c>
      <c r="C59" s="95">
        <v>5.0000000000000001E-3</v>
      </c>
      <c r="D59" s="95"/>
      <c r="E59" s="2" t="s">
        <v>84</v>
      </c>
      <c r="F59" s="11" t="s">
        <v>1850</v>
      </c>
      <c r="G59" s="2" t="s">
        <v>2505</v>
      </c>
      <c r="H59" s="11"/>
      <c r="I59" s="2"/>
      <c r="J59" s="602"/>
      <c r="K59" s="1226"/>
      <c r="L59" s="1235"/>
      <c r="M59" s="1235"/>
      <c r="N59" s="1235"/>
      <c r="O59" s="1235"/>
      <c r="P59" s="1235"/>
      <c r="Q59" s="1235"/>
      <c r="R59" s="1235"/>
      <c r="S59" s="1235"/>
      <c r="T59" s="1235"/>
      <c r="U59" s="1235"/>
      <c r="V59" s="1235"/>
      <c r="W59" s="1235"/>
      <c r="X59" s="1235"/>
    </row>
    <row r="60" spans="1:24" s="9" customFormat="1" x14ac:dyDescent="0.3">
      <c r="A60" s="5" t="s">
        <v>1854</v>
      </c>
      <c r="B60" s="292">
        <v>6.9</v>
      </c>
      <c r="C60" s="292" t="s">
        <v>1833</v>
      </c>
      <c r="D60" s="292"/>
      <c r="E60" s="2" t="s">
        <v>27</v>
      </c>
      <c r="F60" s="11" t="s">
        <v>1850</v>
      </c>
      <c r="G60" s="2" t="s">
        <v>2504</v>
      </c>
      <c r="H60" s="11"/>
      <c r="I60" s="2"/>
      <c r="J60" s="602"/>
      <c r="K60" s="1226"/>
      <c r="L60" s="1235"/>
      <c r="M60" s="1235"/>
      <c r="N60" s="1235"/>
      <c r="O60" s="1235"/>
      <c r="P60" s="1235"/>
      <c r="Q60" s="1235"/>
      <c r="R60" s="1235"/>
      <c r="S60" s="1235"/>
      <c r="T60" s="1235"/>
      <c r="U60" s="1235"/>
      <c r="V60" s="1235"/>
      <c r="W60" s="1235"/>
      <c r="X60" s="1235"/>
    </row>
    <row r="61" spans="1:24" s="9" customFormat="1" x14ac:dyDescent="0.3">
      <c r="A61" s="5" t="s">
        <v>1852</v>
      </c>
      <c r="B61" s="292">
        <v>1.9</v>
      </c>
      <c r="C61" s="10" t="s">
        <v>1833</v>
      </c>
      <c r="D61" s="10"/>
      <c r="E61" s="292" t="s">
        <v>699</v>
      </c>
      <c r="F61" s="11" t="s">
        <v>1850</v>
      </c>
      <c r="G61" s="2" t="s">
        <v>2504</v>
      </c>
      <c r="H61" s="11"/>
      <c r="I61" s="2"/>
      <c r="J61" s="602"/>
      <c r="K61" s="1226"/>
      <c r="L61" s="1235"/>
      <c r="M61" s="1235"/>
      <c r="N61" s="1235"/>
      <c r="O61" s="1235"/>
      <c r="P61" s="1235"/>
      <c r="Q61" s="1235"/>
      <c r="R61" s="1235"/>
      <c r="S61" s="1235"/>
      <c r="T61" s="1235"/>
      <c r="U61" s="1235"/>
      <c r="V61" s="1235"/>
      <c r="W61" s="1235"/>
      <c r="X61" s="1235"/>
    </row>
    <row r="62" spans="1:24" s="9" customFormat="1" x14ac:dyDescent="0.3">
      <c r="A62" s="5" t="s">
        <v>1853</v>
      </c>
      <c r="B62" s="292">
        <v>0.3</v>
      </c>
      <c r="C62" s="10" t="s">
        <v>1833</v>
      </c>
      <c r="D62" s="10"/>
      <c r="E62" s="292" t="s">
        <v>699</v>
      </c>
      <c r="F62" s="11" t="s">
        <v>1850</v>
      </c>
      <c r="G62" s="2" t="s">
        <v>2504</v>
      </c>
      <c r="H62" s="11"/>
      <c r="I62" s="2"/>
      <c r="J62" s="602"/>
      <c r="K62" s="1226"/>
      <c r="L62" s="1235"/>
      <c r="M62" s="1235"/>
      <c r="N62" s="1235"/>
      <c r="O62" s="1235"/>
      <c r="P62" s="1235"/>
      <c r="Q62" s="1235"/>
      <c r="R62" s="1235"/>
      <c r="S62" s="1235"/>
      <c r="T62" s="1235"/>
      <c r="U62" s="1235"/>
      <c r="V62" s="1235"/>
      <c r="W62" s="1235"/>
      <c r="X62" s="1235"/>
    </row>
    <row r="63" spans="1:24" s="9" customFormat="1" x14ac:dyDescent="0.3">
      <c r="A63" s="5" t="s">
        <v>2157</v>
      </c>
      <c r="B63" s="292">
        <v>9.8000000000000007</v>
      </c>
      <c r="C63" s="292" t="s">
        <v>1833</v>
      </c>
      <c r="D63" s="292"/>
      <c r="E63" s="2" t="s">
        <v>84</v>
      </c>
      <c r="F63" s="11" t="s">
        <v>1850</v>
      </c>
      <c r="G63" s="2" t="s">
        <v>2504</v>
      </c>
      <c r="H63" s="11"/>
      <c r="I63" s="2"/>
      <c r="J63" s="602"/>
      <c r="K63" s="1226"/>
      <c r="L63" s="1235"/>
      <c r="M63" s="1235"/>
      <c r="N63" s="1235"/>
      <c r="O63" s="1235"/>
      <c r="P63" s="1235"/>
      <c r="Q63" s="1235"/>
      <c r="R63" s="1235"/>
      <c r="S63" s="1235"/>
      <c r="T63" s="1235"/>
      <c r="U63" s="1235"/>
      <c r="V63" s="1235"/>
      <c r="W63" s="1235"/>
      <c r="X63" s="1235"/>
    </row>
    <row r="64" spans="1:24" s="9" customFormat="1" x14ac:dyDescent="0.3">
      <c r="A64" s="5" t="s">
        <v>1869</v>
      </c>
      <c r="B64" s="1247">
        <f>3.14*$B$59*($B$58/2)^2</f>
        <v>1.7803448320000002E-2</v>
      </c>
      <c r="C64" s="292"/>
      <c r="D64" s="292"/>
      <c r="E64" s="2" t="s">
        <v>26</v>
      </c>
      <c r="F64" s="4" t="s">
        <v>629</v>
      </c>
      <c r="G64" s="2"/>
      <c r="H64" s="11"/>
      <c r="I64" s="2"/>
      <c r="J64" s="602"/>
      <c r="K64" s="1226"/>
      <c r="L64" s="1235"/>
      <c r="M64" s="1235"/>
      <c r="N64" s="1235"/>
      <c r="O64" s="1235"/>
      <c r="P64" s="1235"/>
      <c r="Q64" s="1235"/>
      <c r="R64" s="1235"/>
      <c r="S64" s="1235"/>
      <c r="T64" s="1235"/>
      <c r="U64" s="1235"/>
      <c r="V64" s="1235"/>
      <c r="W64" s="1235"/>
      <c r="X64" s="1235"/>
    </row>
    <row r="65" spans="1:24" s="9" customFormat="1" x14ac:dyDescent="0.3">
      <c r="A65" s="5" t="s">
        <v>1870</v>
      </c>
      <c r="B65" s="1247">
        <f>$B$60*$B$64</f>
        <v>0.12284379340800002</v>
      </c>
      <c r="C65" s="292"/>
      <c r="D65" s="292"/>
      <c r="E65" s="2" t="s">
        <v>26</v>
      </c>
      <c r="F65" s="4" t="s">
        <v>629</v>
      </c>
      <c r="G65" s="2"/>
      <c r="H65" s="11"/>
      <c r="I65" s="2"/>
      <c r="J65" s="602"/>
      <c r="K65" s="1226"/>
      <c r="L65" s="1235"/>
      <c r="M65" s="1235"/>
      <c r="N65" s="1235"/>
      <c r="O65" s="1235"/>
      <c r="P65" s="1235"/>
      <c r="Q65" s="1235"/>
      <c r="R65" s="1235"/>
      <c r="S65" s="1235"/>
      <c r="T65" s="1235"/>
      <c r="U65" s="1235"/>
      <c r="V65" s="1235"/>
      <c r="W65" s="1235"/>
      <c r="X65" s="1235"/>
    </row>
    <row r="66" spans="1:24" s="9" customFormat="1" x14ac:dyDescent="0.3">
      <c r="A66" s="5" t="s">
        <v>1855</v>
      </c>
      <c r="B66" s="292">
        <v>34.6</v>
      </c>
      <c r="C66" s="292">
        <v>8.9</v>
      </c>
      <c r="D66" s="292"/>
      <c r="E66" s="2" t="s">
        <v>27</v>
      </c>
      <c r="F66" s="11" t="s">
        <v>1850</v>
      </c>
      <c r="G66" s="2" t="s">
        <v>2504</v>
      </c>
      <c r="H66" s="11"/>
      <c r="I66" s="2"/>
      <c r="J66" s="602"/>
      <c r="K66" s="1226"/>
      <c r="L66" s="1235"/>
      <c r="M66" s="1235"/>
      <c r="N66" s="1235"/>
      <c r="O66" s="1235"/>
      <c r="P66" s="1235"/>
      <c r="Q66" s="1235"/>
      <c r="R66" s="1235"/>
      <c r="S66" s="1235"/>
      <c r="T66" s="1235"/>
      <c r="U66" s="1235"/>
      <c r="V66" s="1235"/>
      <c r="W66" s="1235"/>
      <c r="X66" s="1235"/>
    </row>
    <row r="67" spans="1:24" s="9" customFormat="1" x14ac:dyDescent="0.3">
      <c r="A67" s="5" t="s">
        <v>1871</v>
      </c>
      <c r="B67" s="445">
        <f>$B$65*$B$66</f>
        <v>4.2503952519168005</v>
      </c>
      <c r="C67" s="292"/>
      <c r="D67" s="292"/>
      <c r="E67" s="2" t="s">
        <v>26</v>
      </c>
      <c r="F67" s="4" t="s">
        <v>629</v>
      </c>
      <c r="G67" s="2"/>
      <c r="H67" s="11"/>
      <c r="I67" s="2"/>
      <c r="J67" s="602"/>
      <c r="K67" s="1226"/>
      <c r="L67" s="1235"/>
      <c r="M67" s="1235"/>
      <c r="N67" s="1235"/>
      <c r="O67" s="1235"/>
      <c r="P67" s="1235"/>
      <c r="Q67" s="1235"/>
      <c r="R67" s="1235"/>
      <c r="S67" s="1235"/>
      <c r="T67" s="1235"/>
      <c r="U67" s="1235"/>
      <c r="V67" s="1235"/>
      <c r="W67" s="1235"/>
      <c r="X67" s="1235"/>
    </row>
    <row r="68" spans="1:24" s="9" customFormat="1" x14ac:dyDescent="0.3">
      <c r="A68" s="5" t="s">
        <v>2102</v>
      </c>
      <c r="B68" s="292">
        <v>75.599999999999994</v>
      </c>
      <c r="C68" s="292"/>
      <c r="D68" s="292"/>
      <c r="E68" s="2" t="s">
        <v>699</v>
      </c>
      <c r="F68" s="11" t="s">
        <v>1850</v>
      </c>
      <c r="G68" s="2" t="s">
        <v>2504</v>
      </c>
      <c r="H68" s="11"/>
      <c r="I68" s="2"/>
      <c r="J68" s="602"/>
      <c r="K68" s="1226"/>
      <c r="L68" s="1235"/>
      <c r="M68" s="1235"/>
      <c r="N68" s="1235"/>
      <c r="O68" s="1235"/>
      <c r="P68" s="1235"/>
      <c r="Q68" s="1235"/>
      <c r="R68" s="1235"/>
      <c r="S68" s="1235"/>
      <c r="T68" s="1235"/>
      <c r="U68" s="1235"/>
      <c r="V68" s="1235"/>
      <c r="W68" s="1235"/>
      <c r="X68" s="1235"/>
    </row>
    <row r="69" spans="1:24" s="9" customFormat="1" x14ac:dyDescent="0.3">
      <c r="A69" s="5" t="s">
        <v>1878</v>
      </c>
      <c r="B69" s="292">
        <f>$B$66*$B$68</f>
        <v>2615.7599999999998</v>
      </c>
      <c r="C69" s="292"/>
      <c r="D69" s="292"/>
      <c r="E69" s="2" t="s">
        <v>699</v>
      </c>
      <c r="F69" s="4" t="s">
        <v>629</v>
      </c>
      <c r="G69" s="2"/>
      <c r="H69" s="11"/>
      <c r="I69" s="2"/>
      <c r="J69" s="602"/>
      <c r="K69" s="1226"/>
      <c r="L69" s="1235"/>
      <c r="M69" s="1235"/>
      <c r="N69" s="1235"/>
      <c r="O69" s="1235"/>
      <c r="P69" s="1235"/>
      <c r="Q69" s="1235"/>
      <c r="R69" s="1235"/>
      <c r="S69" s="1235"/>
      <c r="T69" s="1235"/>
      <c r="U69" s="1235"/>
      <c r="V69" s="1235"/>
      <c r="W69" s="1235"/>
      <c r="X69" s="1235"/>
    </row>
    <row r="70" spans="1:24" s="9" customFormat="1" x14ac:dyDescent="0.3">
      <c r="A70" s="5" t="s">
        <v>1880</v>
      </c>
      <c r="B70" s="292">
        <v>10.9</v>
      </c>
      <c r="C70" s="292"/>
      <c r="D70" s="292"/>
      <c r="E70" s="2" t="s">
        <v>699</v>
      </c>
      <c r="F70" s="11" t="s">
        <v>1850</v>
      </c>
      <c r="G70" s="2" t="s">
        <v>2504</v>
      </c>
      <c r="H70" s="11"/>
      <c r="I70" s="2"/>
      <c r="J70" s="602"/>
      <c r="K70" s="1226"/>
      <c r="L70" s="1235"/>
      <c r="M70" s="1235"/>
      <c r="N70" s="1235"/>
      <c r="O70" s="1235"/>
      <c r="P70" s="1235"/>
      <c r="Q70" s="1235"/>
      <c r="R70" s="1235"/>
      <c r="S70" s="1235"/>
      <c r="T70" s="1235"/>
      <c r="U70" s="1235"/>
      <c r="V70" s="1235"/>
      <c r="W70" s="1235"/>
      <c r="X70" s="1235"/>
    </row>
    <row r="71" spans="1:24" s="9" customFormat="1" x14ac:dyDescent="0.3">
      <c r="A71" s="5" t="s">
        <v>1881</v>
      </c>
      <c r="B71" s="1246">
        <f>$B$66*$B$70</f>
        <v>377.14000000000004</v>
      </c>
      <c r="C71" s="292"/>
      <c r="D71" s="292"/>
      <c r="E71" s="2"/>
      <c r="F71" s="4" t="s">
        <v>629</v>
      </c>
      <c r="G71" s="2"/>
      <c r="H71" s="11"/>
      <c r="I71" s="2"/>
      <c r="J71" s="602"/>
      <c r="K71" s="1226"/>
      <c r="L71" s="1235"/>
      <c r="M71" s="1235"/>
      <c r="N71" s="1235"/>
      <c r="O71" s="1235"/>
      <c r="P71" s="1235"/>
      <c r="Q71" s="1235"/>
      <c r="R71" s="1235"/>
      <c r="S71" s="1235"/>
      <c r="T71" s="1235"/>
      <c r="U71" s="1235"/>
      <c r="V71" s="1235"/>
      <c r="W71" s="1235"/>
      <c r="X71" s="1235"/>
    </row>
    <row r="72" spans="1:24" s="9" customFormat="1" x14ac:dyDescent="0.3">
      <c r="A72" s="5" t="s">
        <v>1879</v>
      </c>
      <c r="B72" s="292">
        <v>337.6</v>
      </c>
      <c r="C72" s="292"/>
      <c r="D72" s="292"/>
      <c r="E72" s="2" t="s">
        <v>84</v>
      </c>
      <c r="F72" s="11" t="s">
        <v>1850</v>
      </c>
      <c r="G72" s="2" t="s">
        <v>2504</v>
      </c>
      <c r="H72" s="11"/>
      <c r="I72" s="2"/>
      <c r="J72" s="602"/>
      <c r="K72" s="1226"/>
      <c r="L72" s="1235"/>
      <c r="M72" s="1235"/>
      <c r="N72" s="1235"/>
      <c r="O72" s="1235"/>
      <c r="P72" s="1235"/>
      <c r="Q72" s="1235"/>
      <c r="R72" s="1235"/>
      <c r="S72" s="1235"/>
      <c r="T72" s="1235"/>
      <c r="U72" s="1235"/>
      <c r="V72" s="1235"/>
      <c r="W72" s="1235"/>
      <c r="X72" s="1235"/>
    </row>
    <row r="73" spans="1:24" s="9" customFormat="1" x14ac:dyDescent="0.3">
      <c r="A73" s="5"/>
      <c r="B73" s="445"/>
      <c r="C73" s="292"/>
      <c r="D73" s="292"/>
      <c r="E73" s="2"/>
      <c r="F73" s="11"/>
      <c r="G73" s="2"/>
      <c r="H73" s="11"/>
      <c r="I73" s="2"/>
      <c r="J73" s="602"/>
      <c r="K73" s="1226"/>
      <c r="L73" s="1235"/>
      <c r="M73" s="1235"/>
      <c r="N73" s="1235"/>
      <c r="O73" s="1235"/>
      <c r="P73" s="1235"/>
      <c r="Q73" s="1235"/>
      <c r="R73" s="1235"/>
      <c r="S73" s="1235"/>
      <c r="T73" s="1235"/>
      <c r="U73" s="1235"/>
      <c r="V73" s="1235"/>
      <c r="W73" s="1235"/>
      <c r="X73" s="1235"/>
    </row>
    <row r="74" spans="1:24" s="5" customFormat="1" x14ac:dyDescent="0.3">
      <c r="A74" s="26" t="s">
        <v>1114</v>
      </c>
      <c r="B74" s="26"/>
      <c r="C74" s="26"/>
      <c r="D74" s="26"/>
      <c r="E74" s="26"/>
      <c r="F74" s="26"/>
      <c r="G74" s="26"/>
      <c r="H74" s="26"/>
      <c r="I74" s="26"/>
      <c r="J74" s="1227"/>
      <c r="K74" s="883"/>
      <c r="L74" s="456"/>
      <c r="M74" s="456"/>
      <c r="N74" s="456"/>
      <c r="O74" s="456"/>
      <c r="P74" s="456"/>
      <c r="Q74" s="456"/>
      <c r="R74" s="456"/>
      <c r="S74" s="456"/>
      <c r="T74" s="456"/>
      <c r="U74" s="456"/>
      <c r="V74" s="456"/>
      <c r="W74" s="456"/>
      <c r="X74" s="456"/>
    </row>
    <row r="75" spans="1:24" s="2" customFormat="1" x14ac:dyDescent="0.3">
      <c r="A75" s="2" t="s">
        <v>19</v>
      </c>
      <c r="B75" s="285">
        <v>10.14</v>
      </c>
      <c r="C75" s="291">
        <v>4.4000000000000004</v>
      </c>
      <c r="D75" s="291"/>
      <c r="E75" s="2" t="s">
        <v>27</v>
      </c>
      <c r="F75" s="2" t="s">
        <v>102</v>
      </c>
      <c r="G75" s="8"/>
      <c r="H75" s="2" t="s">
        <v>696</v>
      </c>
      <c r="I75" s="2" t="s">
        <v>1372</v>
      </c>
      <c r="J75" s="602" t="s">
        <v>937</v>
      </c>
      <c r="K75" s="602"/>
      <c r="L75" s="302"/>
      <c r="M75" s="302"/>
      <c r="N75" s="302"/>
      <c r="O75" s="302"/>
      <c r="P75" s="302"/>
      <c r="Q75" s="302"/>
      <c r="R75" s="302"/>
      <c r="S75" s="302"/>
      <c r="T75" s="302"/>
      <c r="U75" s="302"/>
      <c r="V75" s="302"/>
      <c r="W75" s="302"/>
      <c r="X75" s="302"/>
    </row>
    <row r="76" spans="1:24" s="2" customFormat="1" x14ac:dyDescent="0.3">
      <c r="B76" s="71"/>
      <c r="C76" s="71"/>
      <c r="D76" s="71"/>
      <c r="G76" s="8"/>
      <c r="J76" s="602"/>
      <c r="K76" s="602"/>
      <c r="L76" s="302"/>
      <c r="M76" s="302"/>
      <c r="N76" s="302"/>
      <c r="O76" s="302"/>
      <c r="P76" s="302"/>
      <c r="Q76" s="302"/>
      <c r="R76" s="302"/>
      <c r="S76" s="302"/>
      <c r="T76" s="302"/>
      <c r="U76" s="302"/>
      <c r="V76" s="302"/>
      <c r="W76" s="302"/>
      <c r="X76" s="302"/>
    </row>
    <row r="77" spans="1:24" s="2" customFormat="1" x14ac:dyDescent="0.3">
      <c r="A77" s="47" t="s">
        <v>922</v>
      </c>
      <c r="B77" s="47"/>
      <c r="C77" s="47"/>
      <c r="D77" s="47"/>
      <c r="E77" s="47"/>
      <c r="F77" s="47"/>
      <c r="G77" s="47"/>
      <c r="H77" s="47"/>
      <c r="I77" s="47"/>
      <c r="J77" s="1228"/>
      <c r="K77" s="602"/>
      <c r="L77" s="302"/>
      <c r="M77" s="302"/>
      <c r="N77" s="302"/>
      <c r="O77" s="302"/>
      <c r="P77" s="302"/>
      <c r="Q77" s="302"/>
      <c r="R77" s="302"/>
      <c r="S77" s="302"/>
      <c r="T77" s="302"/>
      <c r="U77" s="302"/>
      <c r="V77" s="302"/>
      <c r="W77" s="302"/>
      <c r="X77" s="302"/>
    </row>
    <row r="78" spans="1:24" s="2" customFormat="1" x14ac:dyDescent="0.3">
      <c r="A78" s="2" t="s">
        <v>381</v>
      </c>
      <c r="B78" s="71" t="s">
        <v>31</v>
      </c>
      <c r="C78" s="71"/>
      <c r="D78" s="71"/>
      <c r="E78" s="2" t="s">
        <v>27</v>
      </c>
      <c r="F78" s="2" t="s">
        <v>58</v>
      </c>
      <c r="G78" s="2" t="s">
        <v>941</v>
      </c>
      <c r="H78" s="11" t="s">
        <v>817</v>
      </c>
      <c r="I78" s="11" t="s">
        <v>1357</v>
      </c>
      <c r="J78" s="1222" t="s">
        <v>818</v>
      </c>
      <c r="K78" s="602"/>
      <c r="L78" s="302"/>
      <c r="M78" s="302"/>
      <c r="N78" s="302"/>
      <c r="O78" s="302"/>
      <c r="P78" s="302"/>
      <c r="Q78" s="302"/>
      <c r="R78" s="302"/>
      <c r="S78" s="302"/>
      <c r="T78" s="302"/>
      <c r="U78" s="302"/>
      <c r="V78" s="302"/>
      <c r="W78" s="302"/>
      <c r="X78" s="302"/>
    </row>
    <row r="79" spans="1:24" s="2" customFormat="1" x14ac:dyDescent="0.3">
      <c r="A79" s="2" t="s">
        <v>39</v>
      </c>
      <c r="B79" s="291">
        <v>2.1</v>
      </c>
      <c r="C79" s="291">
        <v>0.7</v>
      </c>
      <c r="D79" s="291"/>
      <c r="E79" s="2" t="s">
        <v>26</v>
      </c>
      <c r="F79" s="2" t="s">
        <v>58</v>
      </c>
      <c r="G79" s="2" t="s">
        <v>2506</v>
      </c>
      <c r="H79" s="11" t="s">
        <v>817</v>
      </c>
      <c r="I79" s="11" t="s">
        <v>1357</v>
      </c>
      <c r="J79" s="1222" t="s">
        <v>818</v>
      </c>
      <c r="K79" s="602"/>
      <c r="L79" s="302"/>
      <c r="M79" s="302"/>
      <c r="N79" s="302"/>
      <c r="O79" s="302"/>
      <c r="P79" s="302"/>
      <c r="Q79" s="302"/>
      <c r="R79" s="302"/>
      <c r="S79" s="302"/>
      <c r="T79" s="302"/>
      <c r="U79" s="302"/>
      <c r="V79" s="302"/>
      <c r="W79" s="302"/>
      <c r="X79" s="302"/>
    </row>
    <row r="80" spans="1:24" s="2" customFormat="1" x14ac:dyDescent="0.3">
      <c r="A80" s="2" t="s">
        <v>1106</v>
      </c>
      <c r="B80" s="71" t="s">
        <v>2507</v>
      </c>
      <c r="C80" s="71"/>
      <c r="D80" s="71"/>
      <c r="E80" s="2" t="s">
        <v>28</v>
      </c>
      <c r="F80" s="2" t="s">
        <v>58</v>
      </c>
      <c r="G80" s="2" t="s">
        <v>2506</v>
      </c>
      <c r="H80" s="11" t="s">
        <v>817</v>
      </c>
      <c r="I80" s="11" t="s">
        <v>1357</v>
      </c>
      <c r="J80" s="1222" t="s">
        <v>818</v>
      </c>
      <c r="K80" s="602"/>
      <c r="L80" s="302"/>
      <c r="M80" s="302"/>
      <c r="N80" s="302"/>
      <c r="O80" s="302"/>
      <c r="P80" s="302"/>
      <c r="Q80" s="302"/>
      <c r="R80" s="302"/>
      <c r="S80" s="302"/>
      <c r="T80" s="302"/>
      <c r="U80" s="302"/>
      <c r="V80" s="302"/>
      <c r="W80" s="302"/>
      <c r="X80" s="302"/>
    </row>
    <row r="81" spans="1:24" s="2" customFormat="1" x14ac:dyDescent="0.3">
      <c r="A81" s="2" t="s">
        <v>1107</v>
      </c>
      <c r="B81" s="71" t="s">
        <v>29</v>
      </c>
      <c r="C81" s="71"/>
      <c r="D81" s="71"/>
      <c r="E81" s="2" t="s">
        <v>30</v>
      </c>
      <c r="F81" s="2" t="s">
        <v>58</v>
      </c>
      <c r="G81" s="8"/>
      <c r="H81" s="11" t="s">
        <v>817</v>
      </c>
      <c r="I81" s="11" t="s">
        <v>1357</v>
      </c>
      <c r="J81" s="1222" t="s">
        <v>818</v>
      </c>
      <c r="K81" s="602"/>
      <c r="L81" s="302"/>
      <c r="M81" s="302"/>
      <c r="N81" s="302"/>
      <c r="O81" s="302"/>
      <c r="P81" s="302"/>
      <c r="Q81" s="302"/>
      <c r="R81" s="302"/>
      <c r="S81" s="302"/>
      <c r="T81" s="302"/>
      <c r="U81" s="302"/>
      <c r="V81" s="302"/>
      <c r="W81" s="302"/>
      <c r="X81" s="302"/>
    </row>
    <row r="82" spans="1:24" s="2" customFormat="1" x14ac:dyDescent="0.3">
      <c r="A82" s="2" t="s">
        <v>1108</v>
      </c>
      <c r="B82" s="2">
        <v>7</v>
      </c>
      <c r="C82" s="2">
        <v>0.7</v>
      </c>
      <c r="E82" s="2" t="s">
        <v>1043</v>
      </c>
      <c r="F82" s="2" t="s">
        <v>387</v>
      </c>
      <c r="G82" s="2" t="s">
        <v>853</v>
      </c>
      <c r="I82" s="2" t="s">
        <v>1358</v>
      </c>
      <c r="J82" s="602"/>
      <c r="K82" s="602"/>
      <c r="L82" s="302"/>
      <c r="M82" s="302"/>
      <c r="N82" s="302"/>
      <c r="O82" s="302"/>
      <c r="P82" s="302"/>
      <c r="Q82" s="302"/>
      <c r="R82" s="302"/>
      <c r="S82" s="302"/>
      <c r="T82" s="302"/>
      <c r="U82" s="302"/>
      <c r="V82" s="302"/>
      <c r="W82" s="302"/>
      <c r="X82" s="302"/>
    </row>
    <row r="84" spans="1:24" s="2" customFormat="1" x14ac:dyDescent="0.3">
      <c r="A84" s="27" t="s">
        <v>1098</v>
      </c>
      <c r="B84" s="27"/>
      <c r="C84" s="27"/>
      <c r="D84" s="27"/>
      <c r="E84" s="27"/>
      <c r="F84" s="27"/>
      <c r="G84" s="27"/>
      <c r="H84" s="27"/>
      <c r="I84" s="27"/>
      <c r="J84" s="1229"/>
      <c r="K84" s="602"/>
      <c r="L84" s="302"/>
      <c r="M84" s="302"/>
      <c r="N84" s="302"/>
      <c r="O84" s="302"/>
      <c r="P84" s="302"/>
      <c r="Q84" s="302"/>
      <c r="R84" s="302"/>
      <c r="S84" s="302"/>
      <c r="T84" s="302"/>
      <c r="U84" s="302"/>
      <c r="V84" s="302"/>
      <c r="W84" s="302"/>
      <c r="X84" s="302"/>
    </row>
    <row r="85" spans="1:24" s="1111" customFormat="1" x14ac:dyDescent="0.3">
      <c r="A85" s="1108"/>
      <c r="B85" s="1109"/>
      <c r="C85" s="1109"/>
      <c r="D85" s="1109"/>
      <c r="E85" s="1110"/>
      <c r="F85" s="1110"/>
      <c r="G85" s="1110"/>
      <c r="I85" s="1110"/>
      <c r="J85" s="1230"/>
      <c r="K85" s="1230"/>
      <c r="L85" s="1237"/>
      <c r="M85" s="1237"/>
      <c r="N85" s="1237"/>
      <c r="O85" s="1237"/>
      <c r="P85" s="1237"/>
      <c r="Q85" s="1237"/>
      <c r="R85" s="1237"/>
      <c r="S85" s="1237"/>
      <c r="T85" s="1237"/>
      <c r="U85" s="1237"/>
      <c r="V85" s="1237"/>
      <c r="W85" s="1237"/>
      <c r="X85" s="1237"/>
    </row>
    <row r="86" spans="1:24" x14ac:dyDescent="0.3">
      <c r="A86" s="2" t="s">
        <v>2477</v>
      </c>
      <c r="B86" s="197">
        <f>'TableS.1.5 (areas, cell wall)'!$C$247</f>
        <v>0.80252104586178108</v>
      </c>
      <c r="C86" s="2"/>
      <c r="D86" s="2"/>
      <c r="E86" s="2" t="s">
        <v>84</v>
      </c>
      <c r="F86" s="2" t="s">
        <v>2499</v>
      </c>
      <c r="G86" s="2"/>
      <c r="H86" s="261"/>
      <c r="I86" s="2"/>
      <c r="J86" s="602" t="s">
        <v>1915</v>
      </c>
    </row>
    <row r="87" spans="1:24" x14ac:dyDescent="0.3">
      <c r="A87" s="2" t="s">
        <v>2480</v>
      </c>
      <c r="B87" s="2">
        <v>7.0000000000000001E-3</v>
      </c>
      <c r="C87" s="2" t="s">
        <v>1833</v>
      </c>
      <c r="D87" s="2"/>
      <c r="E87" s="2" t="s">
        <v>84</v>
      </c>
      <c r="F87" s="2" t="s">
        <v>2473</v>
      </c>
      <c r="G87" s="2"/>
      <c r="H87" s="261"/>
      <c r="I87" s="2"/>
      <c r="J87" s="602"/>
    </row>
    <row r="88" spans="1:24" s="2" customFormat="1" x14ac:dyDescent="0.3">
      <c r="A88" s="5" t="s">
        <v>2481</v>
      </c>
      <c r="B88" s="71">
        <v>0.03</v>
      </c>
      <c r="C88" s="283" t="s">
        <v>1833</v>
      </c>
      <c r="D88" s="283"/>
      <c r="E88" s="2" t="s">
        <v>84</v>
      </c>
      <c r="F88" s="2" t="s">
        <v>392</v>
      </c>
      <c r="G88" s="2" t="s">
        <v>2154</v>
      </c>
      <c r="J88" s="602"/>
      <c r="K88" s="602"/>
      <c r="L88" s="302"/>
      <c r="M88" s="302"/>
      <c r="N88" s="302"/>
      <c r="O88" s="302"/>
      <c r="P88" s="302"/>
      <c r="Q88" s="302"/>
      <c r="R88" s="302"/>
      <c r="S88" s="302"/>
      <c r="T88" s="302"/>
      <c r="U88" s="302"/>
      <c r="V88" s="302"/>
      <c r="W88" s="302"/>
      <c r="X88" s="302"/>
    </row>
    <row r="89" spans="1:24" s="2" customFormat="1" x14ac:dyDescent="0.3">
      <c r="A89" s="5" t="s">
        <v>2478</v>
      </c>
      <c r="B89" s="75">
        <f>B88-2*B87</f>
        <v>1.6E-2</v>
      </c>
      <c r="C89" s="283"/>
      <c r="D89" s="283"/>
      <c r="E89" s="2" t="s">
        <v>84</v>
      </c>
      <c r="F89" s="4" t="s">
        <v>629</v>
      </c>
      <c r="J89" s="602"/>
      <c r="K89" s="602"/>
      <c r="L89" s="302"/>
      <c r="M89" s="302"/>
      <c r="N89" s="302"/>
      <c r="O89" s="302"/>
      <c r="P89" s="302"/>
      <c r="Q89" s="302"/>
      <c r="R89" s="302"/>
      <c r="S89" s="302"/>
      <c r="T89" s="302"/>
      <c r="U89" s="302"/>
      <c r="V89" s="302"/>
      <c r="W89" s="302"/>
      <c r="X89" s="302"/>
    </row>
    <row r="90" spans="1:24" s="2" customFormat="1" x14ac:dyDescent="0.3">
      <c r="A90" s="5" t="s">
        <v>2476</v>
      </c>
      <c r="B90" s="147">
        <f>$B$86-$B$89</f>
        <v>0.78652104586178107</v>
      </c>
      <c r="C90" s="283"/>
      <c r="D90" s="283"/>
      <c r="E90" s="2" t="s">
        <v>84</v>
      </c>
      <c r="F90" s="2" t="s">
        <v>392</v>
      </c>
      <c r="G90" s="2" t="s">
        <v>2154</v>
      </c>
      <c r="J90" s="602"/>
      <c r="K90" s="602"/>
      <c r="L90" s="302"/>
      <c r="M90" s="302"/>
      <c r="N90" s="302"/>
      <c r="O90" s="302"/>
      <c r="P90" s="302"/>
      <c r="Q90" s="302"/>
      <c r="R90" s="302"/>
      <c r="S90" s="302"/>
      <c r="T90" s="302"/>
      <c r="U90" s="302"/>
      <c r="V90" s="302"/>
      <c r="W90" s="302"/>
      <c r="X90" s="302"/>
    </row>
    <row r="91" spans="1:24" s="5" customFormat="1" x14ac:dyDescent="0.3">
      <c r="A91" s="5" t="s">
        <v>18</v>
      </c>
      <c r="B91" s="1049">
        <f>4/3*PI()*($B$86)^3</f>
        <v>2.1649999999999996</v>
      </c>
      <c r="E91" s="5" t="s">
        <v>5</v>
      </c>
      <c r="F91" s="4" t="s">
        <v>629</v>
      </c>
      <c r="G91" s="5" t="s">
        <v>2482</v>
      </c>
      <c r="J91" s="883"/>
      <c r="K91" s="883"/>
      <c r="L91" s="456"/>
      <c r="M91" s="456"/>
      <c r="N91" s="456"/>
      <c r="O91" s="456"/>
      <c r="P91" s="456"/>
      <c r="Q91" s="456"/>
      <c r="R91" s="456"/>
      <c r="S91" s="456"/>
      <c r="T91" s="456"/>
      <c r="U91" s="456"/>
      <c r="V91" s="456"/>
      <c r="W91" s="456"/>
      <c r="X91" s="456"/>
    </row>
    <row r="92" spans="1:24" s="2" customFormat="1" x14ac:dyDescent="0.3">
      <c r="A92" s="5" t="s">
        <v>2484</v>
      </c>
      <c r="B92" s="158">
        <v>50</v>
      </c>
      <c r="C92" s="71" t="s">
        <v>1833</v>
      </c>
      <c r="D92" s="71"/>
      <c r="E92" s="2" t="s">
        <v>4</v>
      </c>
      <c r="F92" s="2" t="s">
        <v>392</v>
      </c>
      <c r="G92" s="2" t="s">
        <v>2483</v>
      </c>
      <c r="J92" s="602"/>
      <c r="K92" s="602"/>
      <c r="L92" s="302"/>
      <c r="M92" s="302"/>
      <c r="N92" s="302"/>
      <c r="O92" s="302"/>
      <c r="P92" s="302"/>
      <c r="Q92" s="302"/>
      <c r="R92" s="302"/>
      <c r="S92" s="302"/>
      <c r="T92" s="302"/>
      <c r="U92" s="302"/>
      <c r="V92" s="302"/>
      <c r="W92" s="302"/>
      <c r="X92" s="302"/>
    </row>
    <row r="93" spans="1:24" s="2" customFormat="1" x14ac:dyDescent="0.3">
      <c r="A93" s="5" t="s">
        <v>403</v>
      </c>
      <c r="B93" s="284">
        <f>$B$91*$B$92/100</f>
        <v>1.0824999999999998</v>
      </c>
      <c r="C93" s="71"/>
      <c r="D93" s="71"/>
      <c r="E93" s="2" t="s">
        <v>5</v>
      </c>
      <c r="F93" s="2" t="s">
        <v>392</v>
      </c>
      <c r="G93" s="2" t="s">
        <v>2483</v>
      </c>
      <c r="J93" s="602"/>
      <c r="K93" s="602"/>
      <c r="L93" s="302"/>
      <c r="M93" s="302"/>
      <c r="N93" s="302"/>
      <c r="O93" s="302"/>
      <c r="P93" s="302"/>
      <c r="Q93" s="302"/>
      <c r="R93" s="302"/>
      <c r="S93" s="302"/>
      <c r="T93" s="302"/>
      <c r="U93" s="302"/>
      <c r="V93" s="302"/>
      <c r="W93" s="302"/>
      <c r="X93" s="302"/>
    </row>
    <row r="94" spans="1:24" s="2" customFormat="1" x14ac:dyDescent="0.3">
      <c r="A94" s="5" t="s">
        <v>2479</v>
      </c>
      <c r="B94" s="207">
        <f>4/3*PI()*($B$90)^3</f>
        <v>2.0380726144700625</v>
      </c>
      <c r="C94" s="71"/>
      <c r="D94" s="71"/>
      <c r="E94" s="2" t="s">
        <v>5</v>
      </c>
      <c r="F94" s="1" t="s">
        <v>629</v>
      </c>
      <c r="G94" s="2" t="s">
        <v>2500</v>
      </c>
      <c r="J94" s="602"/>
      <c r="K94" s="602"/>
      <c r="L94" s="302"/>
      <c r="M94" s="302"/>
      <c r="N94" s="302"/>
      <c r="O94" s="302"/>
      <c r="P94" s="302"/>
      <c r="Q94" s="302"/>
      <c r="R94" s="302"/>
      <c r="S94" s="302"/>
      <c r="T94" s="302"/>
      <c r="U94" s="302"/>
      <c r="V94" s="302"/>
      <c r="W94" s="302"/>
      <c r="X94" s="302"/>
    </row>
    <row r="95" spans="1:24" s="2" customFormat="1" x14ac:dyDescent="0.3">
      <c r="A95" s="5" t="s">
        <v>2474</v>
      </c>
      <c r="B95" s="147">
        <f>$B$91-$B$94</f>
        <v>0.1269273855299371</v>
      </c>
      <c r="C95" s="71"/>
      <c r="D95" s="71"/>
      <c r="E95" s="2" t="s">
        <v>5</v>
      </c>
      <c r="F95" s="1" t="s">
        <v>629</v>
      </c>
      <c r="G95" s="2" t="s">
        <v>2475</v>
      </c>
      <c r="J95" s="602"/>
      <c r="K95" s="602"/>
      <c r="L95" s="302"/>
      <c r="M95" s="302"/>
      <c r="N95" s="302"/>
      <c r="O95" s="302"/>
      <c r="P95" s="302"/>
      <c r="Q95" s="302"/>
      <c r="R95" s="302"/>
      <c r="S95" s="302"/>
      <c r="T95" s="302"/>
      <c r="U95" s="302"/>
      <c r="V95" s="302"/>
      <c r="W95" s="302"/>
      <c r="X95" s="302"/>
    </row>
    <row r="96" spans="1:24" s="2" customFormat="1" x14ac:dyDescent="0.3">
      <c r="A96" s="5" t="s">
        <v>2490</v>
      </c>
      <c r="B96" s="284">
        <f>$B$95/$B$91*100</f>
        <v>5.8626967912211141</v>
      </c>
      <c r="C96" s="71"/>
      <c r="D96" s="71"/>
      <c r="E96" s="2" t="s">
        <v>4</v>
      </c>
      <c r="F96" s="1" t="s">
        <v>629</v>
      </c>
      <c r="J96" s="602"/>
      <c r="K96" s="602"/>
      <c r="L96" s="302"/>
      <c r="M96" s="302"/>
      <c r="N96" s="302"/>
      <c r="O96" s="302"/>
      <c r="P96" s="302"/>
      <c r="Q96" s="302"/>
      <c r="R96" s="302"/>
      <c r="S96" s="302"/>
      <c r="T96" s="302"/>
      <c r="U96" s="302"/>
      <c r="V96" s="302"/>
      <c r="W96" s="302"/>
      <c r="X96" s="302"/>
    </row>
    <row r="97" spans="1:24" s="2" customFormat="1" x14ac:dyDescent="0.3">
      <c r="A97" s="5" t="s">
        <v>2485</v>
      </c>
      <c r="B97" s="284">
        <f>4*PI()*($B$86)^2</f>
        <v>8.0932456955386058</v>
      </c>
      <c r="C97" s="283" t="s">
        <v>1833</v>
      </c>
      <c r="D97" s="283"/>
      <c r="E97" s="2" t="s">
        <v>699</v>
      </c>
      <c r="F97" s="1" t="s">
        <v>629</v>
      </c>
      <c r="G97" s="2" t="s">
        <v>2488</v>
      </c>
      <c r="J97" s="602"/>
      <c r="K97" s="602"/>
      <c r="L97" s="302"/>
      <c r="M97" s="302"/>
      <c r="N97" s="302"/>
      <c r="O97" s="302"/>
      <c r="P97" s="302"/>
      <c r="Q97" s="302"/>
      <c r="R97" s="302"/>
      <c r="S97" s="302"/>
      <c r="T97" s="302"/>
      <c r="U97" s="302"/>
      <c r="V97" s="302"/>
      <c r="W97" s="302"/>
      <c r="X97" s="302"/>
    </row>
    <row r="98" spans="1:24" s="2" customFormat="1" x14ac:dyDescent="0.3">
      <c r="A98" s="5" t="s">
        <v>2487</v>
      </c>
      <c r="B98">
        <v>3</v>
      </c>
      <c r="C98" s="283" t="s">
        <v>1833</v>
      </c>
      <c r="D98" s="283"/>
      <c r="F98" s="2" t="s">
        <v>392</v>
      </c>
      <c r="G98" s="2" t="s">
        <v>2489</v>
      </c>
      <c r="J98" s="602"/>
      <c r="K98" s="602"/>
      <c r="L98" s="302"/>
      <c r="M98" s="302"/>
      <c r="N98" s="302"/>
      <c r="O98" s="302"/>
      <c r="P98" s="302"/>
      <c r="Q98" s="302"/>
      <c r="R98" s="302"/>
      <c r="S98" s="302"/>
      <c r="T98" s="302"/>
      <c r="U98" s="302"/>
      <c r="V98" s="302"/>
      <c r="W98" s="302"/>
      <c r="X98" s="302"/>
    </row>
    <row r="99" spans="1:24" s="2" customFormat="1" x14ac:dyDescent="0.3">
      <c r="A99" s="5" t="s">
        <v>2486</v>
      </c>
      <c r="B99" s="207">
        <f>B97*B98</f>
        <v>24.279737086615818</v>
      </c>
      <c r="C99" s="71"/>
      <c r="D99" s="71"/>
      <c r="E99" s="2" t="s">
        <v>699</v>
      </c>
      <c r="F99" s="1" t="s">
        <v>629</v>
      </c>
      <c r="G99" s="2" t="s">
        <v>2488</v>
      </c>
      <c r="J99" s="602" t="s">
        <v>1088</v>
      </c>
      <c r="K99" s="602"/>
      <c r="L99" s="302"/>
      <c r="M99" s="302"/>
      <c r="N99" s="302"/>
      <c r="O99" s="302"/>
      <c r="P99" s="302"/>
      <c r="Q99" s="302"/>
      <c r="R99" s="302"/>
      <c r="S99" s="302"/>
      <c r="T99" s="302"/>
      <c r="U99" s="302"/>
      <c r="V99" s="302"/>
      <c r="W99" s="302"/>
      <c r="X99" s="302"/>
    </row>
    <row r="100" spans="1:24" s="2" customFormat="1" x14ac:dyDescent="0.3">
      <c r="A100" s="5"/>
      <c r="B100" s="71"/>
      <c r="C100" s="71"/>
      <c r="D100" s="71"/>
      <c r="J100" s="602"/>
      <c r="K100" s="602"/>
      <c r="L100" s="302"/>
      <c r="M100" s="302"/>
      <c r="N100" s="302"/>
      <c r="O100" s="302"/>
      <c r="P100" s="302"/>
      <c r="Q100" s="302"/>
      <c r="R100" s="302"/>
      <c r="S100" s="302"/>
      <c r="T100" s="302"/>
      <c r="U100" s="302"/>
      <c r="V100" s="302"/>
      <c r="W100" s="302"/>
      <c r="X100" s="302"/>
    </row>
    <row r="101" spans="1:24" s="2" customFormat="1" x14ac:dyDescent="0.3">
      <c r="A101" s="5" t="s">
        <v>404</v>
      </c>
      <c r="B101" s="71" t="s">
        <v>1557</v>
      </c>
      <c r="C101" s="71"/>
      <c r="D101" s="71"/>
      <c r="E101" s="2" t="s">
        <v>405</v>
      </c>
      <c r="F101" s="2" t="s">
        <v>393</v>
      </c>
      <c r="G101" s="2" t="s">
        <v>1359</v>
      </c>
      <c r="J101" s="602"/>
      <c r="K101" s="602"/>
      <c r="L101" s="302"/>
      <c r="M101" s="302"/>
      <c r="N101" s="302"/>
      <c r="O101" s="302"/>
      <c r="P101" s="302"/>
      <c r="Q101" s="302"/>
      <c r="R101" s="302"/>
      <c r="S101" s="302"/>
      <c r="T101" s="302"/>
      <c r="U101" s="302"/>
      <c r="V101" s="302"/>
      <c r="W101" s="302"/>
      <c r="X101" s="302"/>
    </row>
    <row r="102" spans="1:24" s="2" customFormat="1" x14ac:dyDescent="0.3">
      <c r="A102" s="5" t="s">
        <v>98</v>
      </c>
      <c r="B102" s="158">
        <v>322</v>
      </c>
      <c r="C102" s="158" t="s">
        <v>1833</v>
      </c>
      <c r="D102" s="158"/>
      <c r="E102" s="2" t="s">
        <v>8</v>
      </c>
      <c r="F102" s="2" t="s">
        <v>392</v>
      </c>
      <c r="J102" s="602"/>
      <c r="K102" s="602"/>
      <c r="L102" s="302"/>
      <c r="M102" s="302"/>
      <c r="N102" s="302"/>
      <c r="O102" s="302"/>
      <c r="P102" s="302"/>
      <c r="Q102" s="302"/>
      <c r="R102" s="302"/>
      <c r="S102" s="302"/>
      <c r="T102" s="302"/>
      <c r="U102" s="302"/>
      <c r="V102" s="302"/>
      <c r="W102" s="302"/>
      <c r="X102" s="302"/>
    </row>
    <row r="103" spans="1:24" s="2" customFormat="1" x14ac:dyDescent="0.3">
      <c r="A103" s="5" t="s">
        <v>99</v>
      </c>
      <c r="B103" s="158">
        <v>80.400000000000006</v>
      </c>
      <c r="C103" s="158" t="s">
        <v>1833</v>
      </c>
      <c r="D103" s="158"/>
      <c r="E103" s="2" t="s">
        <v>8</v>
      </c>
      <c r="F103" s="2" t="s">
        <v>392</v>
      </c>
      <c r="J103" s="602"/>
      <c r="K103" s="602"/>
      <c r="L103" s="302"/>
      <c r="M103" s="302"/>
      <c r="N103" s="302"/>
      <c r="O103" s="302"/>
      <c r="P103" s="302"/>
      <c r="Q103" s="302"/>
      <c r="R103" s="302"/>
      <c r="S103" s="302"/>
      <c r="T103" s="302"/>
      <c r="U103" s="302"/>
      <c r="V103" s="302"/>
      <c r="W103" s="302"/>
      <c r="X103" s="302"/>
    </row>
    <row r="104" spans="1:24" s="2" customFormat="1" x14ac:dyDescent="0.3">
      <c r="A104" s="5" t="s">
        <v>9</v>
      </c>
      <c r="B104" s="158">
        <v>1390777</v>
      </c>
      <c r="C104" s="158" t="s">
        <v>1833</v>
      </c>
      <c r="D104" s="158"/>
      <c r="E104" s="2" t="s">
        <v>27</v>
      </c>
      <c r="F104" s="2" t="s">
        <v>392</v>
      </c>
      <c r="J104" s="602"/>
      <c r="K104" s="602"/>
      <c r="L104" s="302"/>
      <c r="M104" s="302"/>
      <c r="N104" s="302"/>
      <c r="O104" s="302"/>
      <c r="P104" s="302"/>
      <c r="Q104" s="302"/>
      <c r="R104" s="302"/>
      <c r="S104" s="302"/>
      <c r="T104" s="302"/>
      <c r="U104" s="302"/>
      <c r="V104" s="302"/>
      <c r="W104" s="302"/>
      <c r="X104" s="302"/>
    </row>
    <row r="105" spans="1:24" s="2" customFormat="1" x14ac:dyDescent="0.3">
      <c r="A105" s="5" t="s">
        <v>9</v>
      </c>
      <c r="B105" s="158">
        <v>1000000</v>
      </c>
      <c r="C105" s="158" t="s">
        <v>1833</v>
      </c>
      <c r="D105" s="158"/>
      <c r="E105" s="2" t="s">
        <v>27</v>
      </c>
      <c r="F105" s="2" t="s">
        <v>393</v>
      </c>
      <c r="J105" s="602"/>
      <c r="K105" s="602"/>
      <c r="L105" s="302"/>
      <c r="M105" s="302"/>
      <c r="N105" s="302"/>
      <c r="O105" s="302"/>
      <c r="P105" s="302"/>
      <c r="Q105" s="302"/>
      <c r="R105" s="302"/>
      <c r="S105" s="302"/>
      <c r="T105" s="302"/>
      <c r="U105" s="302"/>
      <c r="V105" s="302"/>
      <c r="W105" s="302"/>
      <c r="X105" s="302"/>
    </row>
    <row r="106" spans="1:24" s="2" customFormat="1" x14ac:dyDescent="0.3">
      <c r="A106" s="5" t="s">
        <v>17</v>
      </c>
      <c r="B106" s="71" t="s">
        <v>1558</v>
      </c>
      <c r="C106" s="71" t="s">
        <v>1833</v>
      </c>
      <c r="D106" s="71"/>
      <c r="E106" s="2" t="s">
        <v>16</v>
      </c>
      <c r="F106" s="2" t="s">
        <v>393</v>
      </c>
      <c r="J106" s="602"/>
      <c r="K106" s="602"/>
      <c r="L106" s="302"/>
      <c r="M106" s="302"/>
      <c r="N106" s="302"/>
      <c r="O106" s="302"/>
      <c r="P106" s="302"/>
      <c r="Q106" s="302"/>
      <c r="R106" s="302"/>
      <c r="S106" s="302"/>
      <c r="T106" s="302"/>
      <c r="U106" s="302"/>
      <c r="V106" s="302"/>
      <c r="W106" s="302"/>
      <c r="X106" s="302"/>
    </row>
    <row r="108" spans="1:24" s="2" customFormat="1" x14ac:dyDescent="0.3">
      <c r="A108" s="5" t="s">
        <v>10</v>
      </c>
      <c r="B108" s="71" t="s">
        <v>1078</v>
      </c>
      <c r="C108" s="71"/>
      <c r="D108" s="71"/>
      <c r="E108" s="2" t="s">
        <v>1087</v>
      </c>
      <c r="F108" s="2" t="s">
        <v>392</v>
      </c>
      <c r="J108" s="602"/>
      <c r="K108" s="602"/>
      <c r="L108" s="302"/>
      <c r="M108" s="302"/>
      <c r="N108" s="302"/>
      <c r="O108" s="302"/>
      <c r="P108" s="302"/>
      <c r="Q108" s="302"/>
      <c r="R108" s="302"/>
      <c r="S108" s="302"/>
      <c r="T108" s="302"/>
      <c r="U108" s="302"/>
      <c r="V108" s="302"/>
      <c r="W108" s="302"/>
      <c r="X108" s="302"/>
    </row>
    <row r="109" spans="1:24" s="2" customFormat="1" x14ac:dyDescent="0.3">
      <c r="A109" s="5" t="s">
        <v>1090</v>
      </c>
      <c r="B109" s="71">
        <v>8.4</v>
      </c>
      <c r="C109" s="71" t="s">
        <v>1833</v>
      </c>
      <c r="D109" s="71"/>
      <c r="E109" s="2" t="s">
        <v>1091</v>
      </c>
      <c r="F109" s="2" t="s">
        <v>392</v>
      </c>
      <c r="G109" s="2" t="s">
        <v>11</v>
      </c>
      <c r="J109" s="602"/>
      <c r="K109" s="602"/>
      <c r="L109" s="302"/>
      <c r="M109" s="302"/>
      <c r="N109" s="302"/>
      <c r="O109" s="302"/>
      <c r="P109" s="302"/>
      <c r="Q109" s="302"/>
      <c r="R109" s="302"/>
      <c r="S109" s="302"/>
      <c r="T109" s="302"/>
      <c r="U109" s="302"/>
      <c r="V109" s="302"/>
      <c r="W109" s="302"/>
      <c r="X109" s="302"/>
    </row>
    <row r="110" spans="1:24" s="2" customFormat="1" x14ac:dyDescent="0.3">
      <c r="A110" s="5" t="s">
        <v>1095</v>
      </c>
      <c r="B110" s="71">
        <v>9.6999999999999993</v>
      </c>
      <c r="C110" s="71" t="s">
        <v>1833</v>
      </c>
      <c r="D110" s="71"/>
      <c r="E110" s="2" t="s">
        <v>1091</v>
      </c>
      <c r="F110" s="2" t="s">
        <v>392</v>
      </c>
      <c r="G110" s="2" t="s">
        <v>1096</v>
      </c>
      <c r="J110" s="602"/>
      <c r="K110" s="602"/>
      <c r="L110" s="302"/>
      <c r="M110" s="302"/>
      <c r="N110" s="302"/>
      <c r="O110" s="302"/>
      <c r="P110" s="302"/>
      <c r="Q110" s="302"/>
      <c r="R110" s="302"/>
      <c r="S110" s="302"/>
      <c r="T110" s="302"/>
      <c r="U110" s="302"/>
      <c r="V110" s="302"/>
      <c r="W110" s="302"/>
      <c r="X110" s="302"/>
    </row>
    <row r="111" spans="1:24" s="2" customFormat="1" x14ac:dyDescent="0.3">
      <c r="A111" s="5" t="s">
        <v>12</v>
      </c>
      <c r="B111" s="158">
        <v>40000</v>
      </c>
      <c r="C111" s="158" t="s">
        <v>1833</v>
      </c>
      <c r="D111" s="158"/>
      <c r="E111" s="2" t="s">
        <v>13</v>
      </c>
      <c r="F111" s="2" t="s">
        <v>392</v>
      </c>
      <c r="J111" s="602"/>
      <c r="K111" s="602"/>
      <c r="L111" s="302"/>
      <c r="M111" s="302"/>
      <c r="N111" s="302"/>
      <c r="O111" s="302"/>
      <c r="P111" s="302"/>
      <c r="Q111" s="302"/>
      <c r="R111" s="302"/>
      <c r="S111" s="302"/>
      <c r="T111" s="302"/>
      <c r="U111" s="302"/>
      <c r="V111" s="302"/>
      <c r="W111" s="302"/>
      <c r="X111" s="302"/>
    </row>
    <row r="112" spans="1:24" s="2" customFormat="1" x14ac:dyDescent="0.3">
      <c r="A112" s="5" t="s">
        <v>100</v>
      </c>
      <c r="B112" s="158">
        <v>103</v>
      </c>
      <c r="C112" s="158" t="s">
        <v>1833</v>
      </c>
      <c r="D112" s="158"/>
      <c r="E112" s="2" t="s">
        <v>1097</v>
      </c>
      <c r="F112" s="2" t="s">
        <v>392</v>
      </c>
      <c r="J112" s="602"/>
      <c r="K112" s="602"/>
      <c r="L112" s="302"/>
      <c r="M112" s="302"/>
      <c r="N112" s="302"/>
      <c r="O112" s="302"/>
      <c r="P112" s="302"/>
      <c r="Q112" s="302"/>
      <c r="R112" s="302"/>
      <c r="S112" s="302"/>
      <c r="T112" s="302"/>
      <c r="U112" s="302"/>
      <c r="V112" s="302"/>
      <c r="W112" s="302"/>
      <c r="X112" s="302"/>
    </row>
    <row r="113" spans="1:24" s="2" customFormat="1" x14ac:dyDescent="0.3">
      <c r="A113" s="5" t="s">
        <v>15</v>
      </c>
      <c r="B113" s="158">
        <v>500</v>
      </c>
      <c r="C113" s="158" t="s">
        <v>1833</v>
      </c>
      <c r="D113" s="158"/>
      <c r="E113" s="2" t="s">
        <v>14</v>
      </c>
      <c r="F113" s="2" t="s">
        <v>393</v>
      </c>
      <c r="G113" s="2" t="s">
        <v>1111</v>
      </c>
      <c r="J113" s="602"/>
      <c r="K113" s="602"/>
      <c r="L113" s="302"/>
      <c r="M113" s="302"/>
      <c r="N113" s="302"/>
      <c r="O113" s="302"/>
      <c r="P113" s="302"/>
      <c r="Q113" s="302"/>
      <c r="R113" s="302"/>
      <c r="S113" s="302"/>
      <c r="T113" s="302"/>
      <c r="U113" s="302"/>
      <c r="V113" s="302"/>
      <c r="W113" s="302"/>
      <c r="X113" s="302"/>
    </row>
    <row r="114" spans="1:24" s="2" customFormat="1" x14ac:dyDescent="0.3">
      <c r="A114" s="2" t="s">
        <v>1110</v>
      </c>
      <c r="B114" s="291">
        <v>16.8</v>
      </c>
      <c r="C114" s="71" t="s">
        <v>1833</v>
      </c>
      <c r="D114" s="71"/>
      <c r="E114" s="2" t="s">
        <v>4</v>
      </c>
      <c r="F114" s="2" t="s">
        <v>392</v>
      </c>
      <c r="G114" s="2" t="s">
        <v>1112</v>
      </c>
      <c r="J114" s="602"/>
      <c r="K114" s="602"/>
      <c r="L114" s="302"/>
      <c r="M114" s="302"/>
      <c r="N114" s="302"/>
      <c r="O114" s="302"/>
      <c r="P114" s="302"/>
      <c r="Q114" s="302"/>
      <c r="R114" s="302"/>
      <c r="S114" s="302"/>
      <c r="T114" s="302"/>
      <c r="U114" s="302"/>
      <c r="V114" s="302"/>
      <c r="W114" s="302"/>
      <c r="X114" s="302"/>
    </row>
    <row r="115" spans="1:24" s="2" customFormat="1" x14ac:dyDescent="0.3">
      <c r="B115" s="71"/>
      <c r="C115" s="71"/>
      <c r="D115" s="71"/>
      <c r="J115" s="602"/>
      <c r="K115" s="602"/>
      <c r="L115" s="302"/>
      <c r="M115" s="302"/>
      <c r="N115" s="302"/>
      <c r="O115" s="302"/>
      <c r="P115" s="302"/>
      <c r="Q115" s="302"/>
      <c r="R115" s="302"/>
      <c r="S115" s="302"/>
      <c r="T115" s="302"/>
      <c r="U115" s="302"/>
      <c r="V115" s="302"/>
      <c r="W115" s="302"/>
      <c r="X115" s="302"/>
    </row>
    <row r="116" spans="1:24" s="12" customFormat="1" x14ac:dyDescent="0.3">
      <c r="A116" s="25" t="s">
        <v>47</v>
      </c>
      <c r="B116" s="25"/>
      <c r="C116" s="25"/>
      <c r="D116" s="25"/>
      <c r="E116" s="25"/>
      <c r="F116" s="25"/>
      <c r="G116" s="25"/>
      <c r="H116" s="25"/>
      <c r="I116" s="25"/>
      <c r="J116" s="1231"/>
      <c r="K116" s="1238"/>
      <c r="L116" s="1236"/>
      <c r="M116" s="1236"/>
      <c r="N116" s="1236"/>
      <c r="O116" s="1236"/>
      <c r="P116" s="1236"/>
      <c r="Q116" s="1236"/>
      <c r="R116" s="1236"/>
      <c r="S116" s="1236"/>
      <c r="T116" s="1236"/>
      <c r="U116" s="1236"/>
      <c r="V116" s="1236"/>
      <c r="W116" s="1236"/>
      <c r="X116" s="1236"/>
    </row>
    <row r="117" spans="1:24" s="2" customFormat="1" x14ac:dyDescent="0.3">
      <c r="A117" s="6" t="s">
        <v>406</v>
      </c>
      <c r="B117" s="996">
        <v>65</v>
      </c>
      <c r="C117" s="996" t="s">
        <v>1833</v>
      </c>
      <c r="D117" s="996"/>
      <c r="E117" s="11" t="s">
        <v>5</v>
      </c>
      <c r="F117" s="2" t="s">
        <v>407</v>
      </c>
      <c r="G117" s="2" t="s">
        <v>412</v>
      </c>
      <c r="J117" s="602"/>
      <c r="K117" s="602"/>
      <c r="L117" s="302"/>
      <c r="M117" s="302"/>
      <c r="N117" s="302"/>
      <c r="O117" s="302"/>
      <c r="P117" s="302"/>
      <c r="Q117" s="302"/>
      <c r="R117" s="302"/>
      <c r="S117" s="302"/>
      <c r="T117" s="302"/>
      <c r="U117" s="302"/>
      <c r="V117" s="302"/>
      <c r="W117" s="302"/>
      <c r="X117" s="302"/>
    </row>
    <row r="118" spans="1:24" s="2" customFormat="1" x14ac:dyDescent="0.3">
      <c r="A118" s="6" t="s">
        <v>406</v>
      </c>
      <c r="B118" s="324">
        <v>83.4</v>
      </c>
      <c r="C118" s="324">
        <v>31</v>
      </c>
      <c r="D118" s="324"/>
      <c r="E118" s="11" t="s">
        <v>5</v>
      </c>
      <c r="F118" s="2" t="s">
        <v>411</v>
      </c>
      <c r="G118" s="2" t="s">
        <v>2502</v>
      </c>
      <c r="J118" s="602"/>
      <c r="K118" s="602"/>
      <c r="L118" s="302"/>
      <c r="M118" s="302"/>
      <c r="N118" s="302"/>
      <c r="O118" s="302"/>
      <c r="P118" s="302"/>
      <c r="Q118" s="302"/>
      <c r="R118" s="302"/>
      <c r="S118" s="302"/>
      <c r="T118" s="302"/>
      <c r="U118" s="302"/>
      <c r="V118" s="302"/>
      <c r="W118" s="302"/>
      <c r="X118" s="302"/>
    </row>
    <row r="119" spans="1:24" s="2" customFormat="1" x14ac:dyDescent="0.3">
      <c r="A119" s="6" t="s">
        <v>406</v>
      </c>
      <c r="B119" s="324">
        <v>182.7</v>
      </c>
      <c r="C119" s="324">
        <v>62.5</v>
      </c>
      <c r="D119" s="324"/>
      <c r="E119" s="11" t="s">
        <v>5</v>
      </c>
      <c r="F119" s="2" t="s">
        <v>411</v>
      </c>
      <c r="G119" s="2" t="s">
        <v>2503</v>
      </c>
      <c r="J119" s="602"/>
      <c r="K119" s="602"/>
      <c r="L119" s="302"/>
      <c r="M119" s="302"/>
      <c r="N119" s="302"/>
      <c r="O119" s="302"/>
      <c r="P119" s="302"/>
      <c r="Q119" s="302"/>
      <c r="R119" s="302"/>
      <c r="S119" s="302"/>
      <c r="T119" s="302"/>
      <c r="U119" s="302"/>
      <c r="V119" s="302"/>
      <c r="W119" s="302"/>
      <c r="X119" s="302"/>
    </row>
    <row r="120" spans="1:24" s="2" customFormat="1" x14ac:dyDescent="0.3">
      <c r="A120" s="25" t="s">
        <v>1105</v>
      </c>
      <c r="B120" s="25"/>
      <c r="C120" s="25"/>
      <c r="D120" s="25"/>
      <c r="E120" s="25"/>
      <c r="F120" s="25"/>
      <c r="G120" s="25"/>
      <c r="H120" s="25"/>
      <c r="I120" s="25"/>
      <c r="J120" s="1231"/>
      <c r="K120" s="602"/>
      <c r="L120" s="302"/>
      <c r="M120" s="302"/>
      <c r="N120" s="302"/>
      <c r="O120" s="302"/>
      <c r="P120" s="302"/>
      <c r="Q120" s="302"/>
      <c r="R120" s="302"/>
      <c r="S120" s="302"/>
      <c r="T120" s="302"/>
      <c r="U120" s="302"/>
      <c r="V120" s="302"/>
      <c r="W120" s="302"/>
      <c r="X120" s="302"/>
    </row>
    <row r="121" spans="1:24" s="2" customFormat="1" x14ac:dyDescent="0.3">
      <c r="A121" s="2" t="s">
        <v>45</v>
      </c>
      <c r="B121" s="71" t="s">
        <v>6</v>
      </c>
      <c r="C121" s="71"/>
      <c r="D121" s="71"/>
      <c r="E121" s="2" t="s">
        <v>26</v>
      </c>
      <c r="F121" s="2" t="s">
        <v>391</v>
      </c>
      <c r="G121" s="2" t="s">
        <v>7</v>
      </c>
      <c r="J121" s="602"/>
      <c r="K121" s="602"/>
      <c r="L121" s="302"/>
      <c r="M121" s="302"/>
      <c r="N121" s="302"/>
      <c r="O121" s="302"/>
      <c r="P121" s="302"/>
      <c r="Q121" s="302"/>
      <c r="R121" s="302"/>
      <c r="S121" s="302"/>
      <c r="T121" s="302"/>
      <c r="U121" s="302"/>
      <c r="V121" s="302"/>
      <c r="W121" s="302"/>
      <c r="X121" s="302"/>
    </row>
    <row r="123" spans="1:24" s="2" customFormat="1" x14ac:dyDescent="0.3">
      <c r="A123" s="35" t="s">
        <v>82</v>
      </c>
      <c r="B123" s="35"/>
      <c r="C123" s="35"/>
      <c r="D123" s="35"/>
      <c r="E123" s="35"/>
      <c r="F123" s="35"/>
      <c r="G123" s="35"/>
      <c r="H123" s="35"/>
      <c r="I123" s="35"/>
      <c r="J123" s="1232"/>
      <c r="K123" s="602"/>
      <c r="L123" s="302"/>
      <c r="M123" s="302"/>
      <c r="N123" s="302"/>
      <c r="O123" s="302"/>
      <c r="P123" s="302"/>
      <c r="Q123" s="302"/>
      <c r="R123" s="302"/>
      <c r="S123" s="302"/>
      <c r="T123" s="302"/>
      <c r="U123" s="302"/>
      <c r="V123" s="302"/>
      <c r="W123" s="302"/>
      <c r="X123" s="302"/>
    </row>
    <row r="124" spans="1:24" s="2" customFormat="1" ht="16.899999999999999" customHeight="1" x14ac:dyDescent="0.3">
      <c r="A124" s="2" t="s">
        <v>1049</v>
      </c>
      <c r="B124" s="71">
        <v>1.0900000000000001</v>
      </c>
      <c r="C124" s="71">
        <v>0.02</v>
      </c>
      <c r="D124" s="71"/>
      <c r="E124" s="2" t="s">
        <v>54</v>
      </c>
      <c r="F124" s="2" t="s">
        <v>868</v>
      </c>
      <c r="I124" s="2" t="s">
        <v>1368</v>
      </c>
      <c r="J124" s="1222" t="s">
        <v>651</v>
      </c>
      <c r="K124" s="602"/>
      <c r="L124" s="302"/>
      <c r="M124" s="302"/>
      <c r="N124" s="302"/>
      <c r="O124" s="302"/>
      <c r="P124" s="302"/>
      <c r="Q124" s="302"/>
      <c r="R124" s="302"/>
      <c r="S124" s="302"/>
      <c r="T124" s="302"/>
      <c r="U124" s="302"/>
      <c r="V124" s="302"/>
      <c r="W124" s="302"/>
      <c r="X124" s="302"/>
    </row>
    <row r="125" spans="1:24" s="2" customFormat="1" x14ac:dyDescent="0.3">
      <c r="A125" s="2" t="s">
        <v>57</v>
      </c>
      <c r="B125" s="285">
        <v>48.86</v>
      </c>
      <c r="C125" s="285">
        <v>2.88</v>
      </c>
      <c r="D125" s="285"/>
      <c r="E125" s="2" t="s">
        <v>1043</v>
      </c>
      <c r="F125" s="2" t="s">
        <v>868</v>
      </c>
      <c r="I125" s="2" t="s">
        <v>1368</v>
      </c>
      <c r="J125" s="1222" t="s">
        <v>651</v>
      </c>
      <c r="K125" s="602"/>
      <c r="L125" s="302"/>
      <c r="M125" s="302"/>
      <c r="N125" s="302"/>
      <c r="O125" s="302"/>
      <c r="P125" s="302"/>
      <c r="Q125" s="302"/>
      <c r="R125" s="302"/>
      <c r="S125" s="302"/>
      <c r="T125" s="302"/>
      <c r="U125" s="302"/>
      <c r="V125" s="302"/>
      <c r="W125" s="302"/>
      <c r="X125" s="302"/>
    </row>
    <row r="126" spans="1:24" s="2" customFormat="1" x14ac:dyDescent="0.3">
      <c r="A126" s="2" t="s">
        <v>1050</v>
      </c>
      <c r="B126" s="158">
        <v>1500</v>
      </c>
      <c r="C126" s="158" t="s">
        <v>1833</v>
      </c>
      <c r="D126" s="158"/>
      <c r="E126" s="2" t="s">
        <v>14</v>
      </c>
      <c r="F126" s="2" t="s">
        <v>2501</v>
      </c>
      <c r="G126" s="2" t="s">
        <v>1051</v>
      </c>
      <c r="J126" s="1222"/>
      <c r="K126" s="602"/>
      <c r="L126" s="302"/>
      <c r="M126" s="302"/>
      <c r="N126" s="302"/>
      <c r="O126" s="302"/>
      <c r="P126" s="302"/>
      <c r="Q126" s="302"/>
      <c r="R126" s="302"/>
      <c r="S126" s="302"/>
      <c r="T126" s="302"/>
      <c r="U126" s="302"/>
      <c r="V126" s="302"/>
      <c r="W126" s="302"/>
      <c r="X126" s="302"/>
    </row>
    <row r="127" spans="1:24" s="2" customFormat="1" x14ac:dyDescent="0.3">
      <c r="A127" s="2" t="s">
        <v>1052</v>
      </c>
      <c r="B127" s="284">
        <f>$B$125/$B$126*1000</f>
        <v>32.573333333333338</v>
      </c>
      <c r="C127" s="284"/>
      <c r="D127" s="284"/>
      <c r="E127" s="2" t="s">
        <v>948</v>
      </c>
      <c r="F127" s="1" t="s">
        <v>629</v>
      </c>
      <c r="G127" s="2" t="s">
        <v>944</v>
      </c>
      <c r="J127" s="602"/>
      <c r="K127" s="602"/>
      <c r="L127" s="302"/>
      <c r="M127" s="302"/>
      <c r="N127" s="302"/>
      <c r="O127" s="302"/>
      <c r="P127" s="302"/>
      <c r="Q127" s="302"/>
      <c r="R127" s="302"/>
      <c r="S127" s="302"/>
      <c r="T127" s="302"/>
      <c r="U127" s="302"/>
      <c r="V127" s="302"/>
      <c r="W127" s="302"/>
      <c r="X127" s="302"/>
    </row>
    <row r="128" spans="1:24" s="2" customFormat="1" x14ac:dyDescent="0.3">
      <c r="A128" s="2" t="s">
        <v>628</v>
      </c>
      <c r="B128" s="284">
        <f>100*$B$127/('Table S1.1 (complete_data)'!$D$164)</f>
        <v>2.9612121212121219</v>
      </c>
      <c r="C128" s="284"/>
      <c r="D128" s="284"/>
      <c r="E128" s="2" t="s">
        <v>4</v>
      </c>
      <c r="F128" s="1" t="s">
        <v>629</v>
      </c>
      <c r="J128" s="602"/>
      <c r="K128" s="602"/>
      <c r="L128" s="302"/>
      <c r="M128" s="302"/>
      <c r="N128" s="302"/>
      <c r="O128" s="302"/>
      <c r="P128" s="302"/>
      <c r="Q128" s="302"/>
      <c r="R128" s="302"/>
      <c r="S128" s="302"/>
      <c r="T128" s="302"/>
      <c r="U128" s="302"/>
      <c r="V128" s="302"/>
      <c r="W128" s="302"/>
      <c r="X128" s="302"/>
    </row>
    <row r="129" spans="1:24" s="2" customFormat="1" x14ac:dyDescent="0.3">
      <c r="A129" s="2" t="s">
        <v>55</v>
      </c>
      <c r="B129" s="285">
        <v>0.06</v>
      </c>
      <c r="C129" s="71">
        <v>0</v>
      </c>
      <c r="D129" s="71"/>
      <c r="E129" s="2" t="s">
        <v>54</v>
      </c>
      <c r="F129" s="2" t="s">
        <v>868</v>
      </c>
      <c r="I129" s="2" t="s">
        <v>1368</v>
      </c>
      <c r="J129" s="1222" t="s">
        <v>651</v>
      </c>
      <c r="K129" s="602"/>
      <c r="L129" s="302"/>
      <c r="M129" s="302"/>
      <c r="N129" s="302"/>
      <c r="O129" s="302"/>
      <c r="P129" s="302"/>
      <c r="Q129" s="302"/>
      <c r="R129" s="302"/>
      <c r="S129" s="302"/>
      <c r="T129" s="302"/>
      <c r="U129" s="302"/>
      <c r="V129" s="302"/>
      <c r="W129" s="302"/>
      <c r="X129" s="302"/>
    </row>
    <row r="130" spans="1:24" s="2" customFormat="1" x14ac:dyDescent="0.3">
      <c r="A130" s="2" t="s">
        <v>55</v>
      </c>
      <c r="B130" s="285">
        <v>5.0599999999999996</v>
      </c>
      <c r="C130" s="71">
        <v>0.24</v>
      </c>
      <c r="D130" s="71"/>
      <c r="E130" s="2" t="s">
        <v>1043</v>
      </c>
      <c r="F130" s="2" t="s">
        <v>868</v>
      </c>
      <c r="I130" s="2" t="s">
        <v>1368</v>
      </c>
      <c r="J130" s="1222" t="s">
        <v>651</v>
      </c>
      <c r="K130" s="602"/>
      <c r="L130" s="302"/>
      <c r="M130" s="302"/>
      <c r="N130" s="302"/>
      <c r="O130" s="302"/>
      <c r="P130" s="302"/>
      <c r="Q130" s="302"/>
      <c r="R130" s="302"/>
      <c r="S130" s="302"/>
      <c r="T130" s="302"/>
      <c r="U130" s="302"/>
      <c r="V130" s="302"/>
      <c r="W130" s="302"/>
      <c r="X130" s="302"/>
    </row>
    <row r="131" spans="1:24" s="2" customFormat="1" x14ac:dyDescent="0.3">
      <c r="A131" s="2" t="s">
        <v>83</v>
      </c>
      <c r="B131" s="71">
        <v>0.17399999999999999</v>
      </c>
      <c r="C131" s="71">
        <v>6.0000000000000001E-3</v>
      </c>
      <c r="D131" s="71"/>
      <c r="E131" s="2" t="s">
        <v>84</v>
      </c>
      <c r="F131" s="2" t="s">
        <v>80</v>
      </c>
      <c r="I131" s="2" t="s">
        <v>1360</v>
      </c>
      <c r="J131" s="602" t="s">
        <v>936</v>
      </c>
      <c r="K131" s="602"/>
      <c r="L131" s="302"/>
      <c r="M131" s="302"/>
      <c r="N131" s="302"/>
      <c r="O131" s="302"/>
      <c r="P131" s="302"/>
      <c r="Q131" s="302"/>
      <c r="R131" s="302"/>
      <c r="S131" s="302"/>
      <c r="T131" s="302"/>
      <c r="U131" s="302"/>
      <c r="V131" s="302"/>
      <c r="W131" s="302"/>
      <c r="X131" s="302"/>
    </row>
    <row r="132" spans="1:24" s="2" customFormat="1" x14ac:dyDescent="0.3">
      <c r="A132" s="2" t="s">
        <v>83</v>
      </c>
      <c r="B132" s="71">
        <v>0.315</v>
      </c>
      <c r="C132" s="71">
        <v>2.8299999999999999E-2</v>
      </c>
      <c r="D132" s="71"/>
      <c r="E132" s="2" t="s">
        <v>84</v>
      </c>
      <c r="F132" s="2" t="s">
        <v>102</v>
      </c>
      <c r="I132" s="2" t="s">
        <v>1361</v>
      </c>
      <c r="J132" s="602" t="s">
        <v>937</v>
      </c>
      <c r="K132" s="602"/>
      <c r="L132" s="302"/>
      <c r="M132" s="302"/>
      <c r="N132" s="302"/>
      <c r="O132" s="302"/>
      <c r="P132" s="302"/>
      <c r="Q132" s="302"/>
      <c r="R132" s="302"/>
      <c r="S132" s="302"/>
      <c r="T132" s="302"/>
      <c r="U132" s="302"/>
      <c r="V132" s="302"/>
      <c r="W132" s="302"/>
      <c r="X132" s="302"/>
    </row>
    <row r="133" spans="1:24" s="2" customFormat="1" x14ac:dyDescent="0.3">
      <c r="A133" s="2" t="s">
        <v>495</v>
      </c>
      <c r="B133" s="158">
        <v>1</v>
      </c>
      <c r="C133" s="71">
        <v>0.2</v>
      </c>
      <c r="D133" s="71"/>
      <c r="E133" s="2" t="s">
        <v>84</v>
      </c>
      <c r="F133" s="2" t="s">
        <v>622</v>
      </c>
      <c r="G133" s="2" t="s">
        <v>869</v>
      </c>
      <c r="J133" s="602"/>
      <c r="K133" s="602"/>
      <c r="L133" s="302"/>
      <c r="M133" s="302"/>
      <c r="N133" s="302"/>
      <c r="O133" s="302"/>
      <c r="P133" s="302"/>
      <c r="Q133" s="302"/>
      <c r="R133" s="302"/>
      <c r="S133" s="302"/>
      <c r="T133" s="302"/>
      <c r="U133" s="302"/>
      <c r="V133" s="302"/>
      <c r="W133" s="302"/>
      <c r="X133" s="302"/>
    </row>
    <row r="134" spans="1:24" s="2" customFormat="1" x14ac:dyDescent="0.3">
      <c r="A134" s="2" t="s">
        <v>72</v>
      </c>
      <c r="B134" s="158">
        <v>8</v>
      </c>
      <c r="C134" s="71" t="s">
        <v>1833</v>
      </c>
      <c r="D134" s="71"/>
      <c r="E134" s="2" t="s">
        <v>56</v>
      </c>
      <c r="F134" s="2" t="s">
        <v>394</v>
      </c>
      <c r="G134" s="2" t="s">
        <v>1076</v>
      </c>
      <c r="H134" s="2" t="s">
        <v>1077</v>
      </c>
      <c r="I134" s="2" t="s">
        <v>1373</v>
      </c>
      <c r="J134" s="602" t="s">
        <v>1075</v>
      </c>
      <c r="K134" s="602"/>
      <c r="L134" s="302"/>
      <c r="M134" s="302"/>
      <c r="N134" s="302"/>
      <c r="O134" s="302"/>
      <c r="P134" s="302"/>
      <c r="Q134" s="302"/>
      <c r="R134" s="302"/>
      <c r="S134" s="302"/>
      <c r="T134" s="302"/>
      <c r="U134" s="302"/>
      <c r="V134" s="302"/>
      <c r="W134" s="302"/>
      <c r="X134" s="302"/>
    </row>
    <row r="135" spans="1:24" s="2" customFormat="1" x14ac:dyDescent="0.3">
      <c r="J135" s="602"/>
      <c r="K135" s="602"/>
      <c r="L135" s="302"/>
      <c r="M135" s="302"/>
      <c r="N135" s="302"/>
      <c r="O135" s="302"/>
      <c r="P135" s="302"/>
      <c r="Q135" s="302"/>
      <c r="R135" s="302"/>
      <c r="S135" s="302"/>
      <c r="T135" s="302"/>
      <c r="U135" s="302"/>
      <c r="V135" s="302"/>
      <c r="W135" s="302"/>
      <c r="X135" s="302"/>
    </row>
    <row r="136" spans="1:24" x14ac:dyDescent="0.3">
      <c r="A136" s="295" t="s">
        <v>135</v>
      </c>
      <c r="B136" s="295"/>
      <c r="C136" s="295"/>
      <c r="D136" s="295"/>
      <c r="E136" s="295"/>
      <c r="F136" s="295"/>
      <c r="G136" s="295"/>
      <c r="H136" s="295"/>
      <c r="I136" s="295"/>
      <c r="J136" s="295"/>
    </row>
    <row r="137" spans="1:24" s="2" customFormat="1" x14ac:dyDescent="0.3">
      <c r="A137" s="2" t="s">
        <v>107</v>
      </c>
      <c r="B137" s="158">
        <v>26</v>
      </c>
      <c r="C137" s="71">
        <v>0.6</v>
      </c>
      <c r="D137" s="71"/>
      <c r="E137" s="2" t="s">
        <v>4</v>
      </c>
      <c r="F137" s="2" t="s">
        <v>383</v>
      </c>
      <c r="I137" s="2" t="s">
        <v>1374</v>
      </c>
      <c r="J137" s="602" t="s">
        <v>654</v>
      </c>
      <c r="K137" s="602"/>
      <c r="L137" s="302"/>
      <c r="M137" s="302"/>
      <c r="N137" s="302"/>
      <c r="O137" s="302"/>
      <c r="P137" s="302"/>
      <c r="Q137" s="302"/>
      <c r="R137" s="302"/>
      <c r="S137" s="302"/>
      <c r="T137" s="302"/>
      <c r="U137" s="302"/>
      <c r="V137" s="302"/>
      <c r="W137" s="302"/>
      <c r="X137" s="302"/>
    </row>
    <row r="138" spans="1:24" s="2" customFormat="1" x14ac:dyDescent="0.3">
      <c r="A138" s="2" t="s">
        <v>1103</v>
      </c>
      <c r="B138" s="324">
        <v>23.4</v>
      </c>
      <c r="C138" s="73">
        <v>3.4</v>
      </c>
      <c r="D138" s="73"/>
      <c r="E138" s="2" t="s">
        <v>4</v>
      </c>
      <c r="F138" s="2" t="s">
        <v>80</v>
      </c>
      <c r="I138" s="2" t="s">
        <v>1360</v>
      </c>
      <c r="J138" s="602" t="s">
        <v>936</v>
      </c>
      <c r="K138" s="602"/>
      <c r="L138" s="302"/>
      <c r="M138" s="302"/>
      <c r="N138" s="302"/>
      <c r="O138" s="302"/>
      <c r="P138" s="302"/>
      <c r="Q138" s="302"/>
      <c r="R138" s="302"/>
      <c r="S138" s="302"/>
      <c r="T138" s="302"/>
      <c r="U138" s="302"/>
      <c r="V138" s="302"/>
      <c r="W138" s="302"/>
      <c r="X138" s="302"/>
    </row>
    <row r="141" spans="1:24" x14ac:dyDescent="0.3">
      <c r="A141" s="297" t="s">
        <v>1115</v>
      </c>
      <c r="B141" s="297"/>
      <c r="C141" s="297"/>
      <c r="D141" s="297"/>
      <c r="E141" s="297"/>
      <c r="F141" s="297"/>
      <c r="G141" s="297"/>
      <c r="H141" s="297"/>
      <c r="I141" s="297"/>
      <c r="J141" s="297"/>
    </row>
    <row r="143" spans="1:24" s="2" customFormat="1" x14ac:dyDescent="0.3">
      <c r="A143" s="33" t="s">
        <v>95</v>
      </c>
      <c r="B143" s="108"/>
      <c r="C143" s="108"/>
      <c r="D143" s="108"/>
      <c r="E143" s="33"/>
      <c r="F143" s="33"/>
      <c r="G143" s="33"/>
      <c r="H143" s="33"/>
      <c r="I143" s="33"/>
      <c r="J143" s="33"/>
      <c r="K143" s="302"/>
      <c r="L143" s="302"/>
      <c r="M143" s="302"/>
      <c r="N143" s="302"/>
      <c r="O143" s="302"/>
      <c r="P143" s="302"/>
      <c r="Q143" s="302"/>
      <c r="R143" s="302"/>
      <c r="S143" s="302"/>
      <c r="T143" s="302"/>
      <c r="U143" s="302"/>
      <c r="V143" s="302"/>
      <c r="W143" s="302"/>
      <c r="X143" s="302"/>
    </row>
    <row r="144" spans="1:24" s="2" customFormat="1" x14ac:dyDescent="0.3">
      <c r="A144" s="2" t="s">
        <v>398</v>
      </c>
      <c r="B144" s="71" t="s">
        <v>96</v>
      </c>
      <c r="C144" s="71"/>
      <c r="D144" s="71"/>
      <c r="E144" s="2" t="s">
        <v>1043</v>
      </c>
      <c r="F144" s="6" t="s">
        <v>41</v>
      </c>
      <c r="H144" s="2" t="s">
        <v>1362</v>
      </c>
      <c r="I144" s="2" t="s">
        <v>1375</v>
      </c>
      <c r="J144" s="2" t="s">
        <v>930</v>
      </c>
      <c r="K144" s="302"/>
      <c r="L144" s="302"/>
      <c r="M144" s="302"/>
      <c r="N144" s="302"/>
      <c r="O144" s="302"/>
      <c r="P144" s="302"/>
      <c r="Q144" s="302"/>
      <c r="R144" s="302"/>
      <c r="S144" s="302"/>
      <c r="T144" s="302"/>
      <c r="U144" s="302"/>
      <c r="V144" s="302"/>
      <c r="W144" s="302"/>
      <c r="X144" s="302"/>
    </row>
    <row r="145" spans="1:24" s="2" customFormat="1" x14ac:dyDescent="0.3">
      <c r="A145" s="2" t="s">
        <v>398</v>
      </c>
      <c r="B145" s="71" t="s">
        <v>43</v>
      </c>
      <c r="C145" s="71"/>
      <c r="D145" s="71"/>
      <c r="E145" s="2" t="s">
        <v>1043</v>
      </c>
      <c r="F145" s="2" t="s">
        <v>42</v>
      </c>
      <c r="I145" s="2" t="s">
        <v>1376</v>
      </c>
      <c r="K145" s="302"/>
      <c r="L145" s="302"/>
      <c r="M145" s="302"/>
      <c r="N145" s="302"/>
      <c r="O145" s="302"/>
      <c r="P145" s="302"/>
      <c r="Q145" s="302"/>
      <c r="R145" s="302"/>
      <c r="S145" s="302"/>
      <c r="T145" s="302"/>
      <c r="U145" s="302"/>
      <c r="V145" s="302"/>
      <c r="W145" s="302"/>
      <c r="X145" s="302"/>
    </row>
    <row r="146" spans="1:24" s="2" customFormat="1" x14ac:dyDescent="0.3">
      <c r="A146" s="2" t="s">
        <v>399</v>
      </c>
      <c r="B146" s="71">
        <v>0.29099999999999998</v>
      </c>
      <c r="C146" s="71"/>
      <c r="D146" s="71"/>
      <c r="E146" s="2" t="s">
        <v>1043</v>
      </c>
      <c r="K146" s="302"/>
      <c r="L146" s="302"/>
      <c r="M146" s="302"/>
      <c r="N146" s="302"/>
      <c r="O146" s="302"/>
      <c r="P146" s="302"/>
      <c r="Q146" s="302"/>
      <c r="R146" s="302"/>
      <c r="S146" s="302"/>
      <c r="T146" s="302"/>
      <c r="U146" s="302"/>
      <c r="V146" s="302"/>
      <c r="W146" s="302"/>
      <c r="X146" s="302"/>
    </row>
    <row r="147" spans="1:24" s="2" customFormat="1" x14ac:dyDescent="0.3">
      <c r="A147" s="2" t="s">
        <v>400</v>
      </c>
      <c r="B147" s="285">
        <v>1.58</v>
      </c>
      <c r="C147" s="285">
        <v>0.03</v>
      </c>
      <c r="D147" s="285"/>
      <c r="E147" s="2" t="s">
        <v>1043</v>
      </c>
      <c r="F147" s="2" t="s">
        <v>66</v>
      </c>
      <c r="I147" s="2" t="s">
        <v>1367</v>
      </c>
      <c r="K147" s="302"/>
      <c r="L147" s="302"/>
      <c r="M147" s="302"/>
      <c r="N147" s="302"/>
      <c r="O147" s="302"/>
      <c r="P147" s="302"/>
      <c r="Q147" s="302"/>
      <c r="R147" s="302"/>
      <c r="S147" s="302"/>
      <c r="T147" s="302"/>
      <c r="U147" s="302"/>
      <c r="V147" s="302"/>
      <c r="W147" s="302"/>
      <c r="X147" s="302"/>
    </row>
    <row r="148" spans="1:24" s="2" customFormat="1" x14ac:dyDescent="0.3">
      <c r="A148" s="2" t="s">
        <v>400</v>
      </c>
      <c r="B148" s="291">
        <v>1.3</v>
      </c>
      <c r="C148" s="291">
        <v>0.2</v>
      </c>
      <c r="D148" s="291"/>
      <c r="E148" s="2" t="s">
        <v>1043</v>
      </c>
      <c r="F148" s="2" t="s">
        <v>65</v>
      </c>
      <c r="G148" s="2" t="s">
        <v>1044</v>
      </c>
      <c r="I148" s="2" t="s">
        <v>1367</v>
      </c>
      <c r="J148" s="2" t="s">
        <v>926</v>
      </c>
      <c r="K148" s="302"/>
      <c r="L148" s="302"/>
      <c r="M148" s="302"/>
      <c r="N148" s="302"/>
      <c r="O148" s="302"/>
      <c r="P148" s="302"/>
      <c r="Q148" s="302"/>
      <c r="R148" s="302"/>
      <c r="S148" s="302"/>
      <c r="T148" s="302"/>
      <c r="U148" s="302"/>
      <c r="V148" s="302"/>
      <c r="W148" s="302"/>
      <c r="X148" s="302"/>
    </row>
    <row r="149" spans="1:24" s="2" customFormat="1" x14ac:dyDescent="0.3">
      <c r="A149" s="2" t="s">
        <v>400</v>
      </c>
      <c r="B149" s="291">
        <v>11.5</v>
      </c>
      <c r="C149" s="158">
        <v>3</v>
      </c>
      <c r="D149" s="158"/>
      <c r="E149" s="2" t="s">
        <v>1344</v>
      </c>
      <c r="F149" s="2" t="s">
        <v>67</v>
      </c>
      <c r="G149" s="2" t="s">
        <v>939</v>
      </c>
      <c r="K149" s="302"/>
      <c r="L149" s="302"/>
      <c r="M149" s="302"/>
      <c r="N149" s="302"/>
      <c r="O149" s="302"/>
      <c r="P149" s="302"/>
      <c r="Q149" s="302"/>
      <c r="R149" s="302"/>
      <c r="S149" s="302"/>
      <c r="T149" s="302"/>
      <c r="U149" s="302"/>
      <c r="V149" s="302"/>
      <c r="W149" s="302"/>
      <c r="X149" s="302"/>
    </row>
    <row r="150" spans="1:24" s="2" customFormat="1" x14ac:dyDescent="0.3">
      <c r="A150" s="2" t="s">
        <v>400</v>
      </c>
      <c r="B150" s="284">
        <f>($B$149/0.785)*1</f>
        <v>14.64968152866242</v>
      </c>
      <c r="C150" s="75"/>
      <c r="D150" s="75"/>
      <c r="E150" s="2" t="s">
        <v>37</v>
      </c>
      <c r="F150" s="1" t="s">
        <v>629</v>
      </c>
      <c r="G150" s="2" t="s">
        <v>940</v>
      </c>
      <c r="K150" s="302"/>
      <c r="L150" s="302"/>
      <c r="M150" s="302"/>
      <c r="N150" s="302"/>
      <c r="O150" s="302"/>
      <c r="P150" s="302"/>
      <c r="Q150" s="302"/>
      <c r="R150" s="302"/>
      <c r="S150" s="302"/>
      <c r="T150" s="302"/>
      <c r="U150" s="302"/>
      <c r="V150" s="302"/>
      <c r="W150" s="302"/>
      <c r="X150" s="302"/>
    </row>
    <row r="151" spans="1:24" s="2" customFormat="1" x14ac:dyDescent="0.3">
      <c r="A151" s="2" t="s">
        <v>401</v>
      </c>
      <c r="B151" s="71">
        <v>0.23899999999999999</v>
      </c>
      <c r="C151" s="71" t="s">
        <v>1833</v>
      </c>
      <c r="D151" s="71"/>
      <c r="E151" s="2" t="s">
        <v>40</v>
      </c>
      <c r="F151" s="2" t="s">
        <v>80</v>
      </c>
      <c r="H151" s="2" t="s">
        <v>899</v>
      </c>
      <c r="I151" s="2" t="s">
        <v>1363</v>
      </c>
      <c r="J151" s="2" t="s">
        <v>936</v>
      </c>
      <c r="K151" s="302"/>
      <c r="L151" s="302"/>
      <c r="M151" s="302"/>
      <c r="N151" s="302"/>
      <c r="O151" s="302"/>
      <c r="P151" s="302"/>
      <c r="Q151" s="302"/>
      <c r="R151" s="302"/>
      <c r="S151" s="302"/>
      <c r="T151" s="302"/>
      <c r="U151" s="302"/>
      <c r="V151" s="302"/>
      <c r="W151" s="302"/>
      <c r="X151" s="302"/>
    </row>
    <row r="152" spans="1:24" s="2" customFormat="1" x14ac:dyDescent="0.3">
      <c r="A152" s="2" t="s">
        <v>401</v>
      </c>
      <c r="B152" s="285">
        <v>0.33</v>
      </c>
      <c r="C152" s="71" t="s">
        <v>1833</v>
      </c>
      <c r="D152" s="71"/>
      <c r="E152" s="2" t="s">
        <v>934</v>
      </c>
      <c r="F152" s="2" t="s">
        <v>385</v>
      </c>
      <c r="G152" s="2" t="s">
        <v>1364</v>
      </c>
      <c r="H152" s="2" t="s">
        <v>899</v>
      </c>
      <c r="I152" s="2" t="s">
        <v>1377</v>
      </c>
      <c r="K152" s="302"/>
      <c r="L152" s="302"/>
      <c r="M152" s="302"/>
      <c r="N152" s="302"/>
      <c r="O152" s="302"/>
      <c r="P152" s="302"/>
      <c r="Q152" s="302"/>
      <c r="R152" s="302"/>
      <c r="S152" s="302"/>
      <c r="T152" s="302"/>
      <c r="U152" s="302"/>
      <c r="V152" s="302"/>
      <c r="W152" s="302"/>
      <c r="X152" s="302"/>
    </row>
    <row r="153" spans="1:24" s="2" customFormat="1" x14ac:dyDescent="0.3">
      <c r="A153" s="2" t="s">
        <v>401</v>
      </c>
      <c r="B153" s="158">
        <v>245</v>
      </c>
      <c r="C153" s="158">
        <v>10</v>
      </c>
      <c r="D153" s="158"/>
      <c r="E153" s="2" t="s">
        <v>32</v>
      </c>
      <c r="F153" s="2" t="s">
        <v>386</v>
      </c>
      <c r="G153" s="2" t="s">
        <v>2508</v>
      </c>
      <c r="H153" s="2" t="s">
        <v>931</v>
      </c>
      <c r="I153" s="2" t="s">
        <v>1378</v>
      </c>
      <c r="J153" s="2" t="s">
        <v>856</v>
      </c>
      <c r="K153" s="302"/>
      <c r="L153" s="302"/>
      <c r="M153" s="302"/>
      <c r="N153" s="302"/>
      <c r="O153" s="302"/>
      <c r="P153" s="302"/>
      <c r="Q153" s="302"/>
      <c r="R153" s="302"/>
      <c r="S153" s="302"/>
      <c r="T153" s="302"/>
      <c r="U153" s="302"/>
      <c r="V153" s="302"/>
      <c r="W153" s="302"/>
      <c r="X153" s="302"/>
    </row>
    <row r="154" spans="1:24" s="2" customFormat="1" x14ac:dyDescent="0.3">
      <c r="A154" s="2" t="s">
        <v>400</v>
      </c>
      <c r="B154" s="291">
        <v>2.2999999999999998</v>
      </c>
      <c r="C154" s="291">
        <v>0.1</v>
      </c>
      <c r="D154" s="291"/>
      <c r="E154" s="2" t="s">
        <v>1045</v>
      </c>
      <c r="F154" s="2" t="s">
        <v>384</v>
      </c>
      <c r="G154" s="2" t="s">
        <v>933</v>
      </c>
      <c r="H154" s="2" t="s">
        <v>899</v>
      </c>
      <c r="I154" s="2" t="s">
        <v>1379</v>
      </c>
      <c r="J154" s="2" t="s">
        <v>932</v>
      </c>
      <c r="K154" s="302"/>
      <c r="L154" s="302"/>
      <c r="M154" s="302"/>
      <c r="N154" s="302"/>
      <c r="O154" s="302"/>
      <c r="P154" s="302"/>
      <c r="Q154" s="302"/>
      <c r="R154" s="302"/>
      <c r="S154" s="302"/>
      <c r="T154" s="302"/>
      <c r="U154" s="302"/>
      <c r="V154" s="302"/>
      <c r="W154" s="302"/>
      <c r="X154" s="302"/>
    </row>
    <row r="155" spans="1:24" s="2" customFormat="1" x14ac:dyDescent="0.3">
      <c r="A155" s="2" t="s">
        <v>402</v>
      </c>
      <c r="B155" s="291">
        <v>2.4</v>
      </c>
      <c r="C155" s="71">
        <v>0.4</v>
      </c>
      <c r="D155" s="71"/>
      <c r="E155" s="2" t="s">
        <v>44</v>
      </c>
      <c r="F155" s="2" t="s">
        <v>67</v>
      </c>
      <c r="G155" s="2" t="s">
        <v>855</v>
      </c>
      <c r="H155" s="2" t="s">
        <v>899</v>
      </c>
      <c r="K155" s="302"/>
      <c r="L155" s="302"/>
      <c r="M155" s="302"/>
      <c r="N155" s="302"/>
      <c r="O155" s="302"/>
      <c r="P155" s="302"/>
      <c r="Q155" s="302"/>
      <c r="R155" s="302"/>
      <c r="S155" s="302"/>
      <c r="T155" s="302"/>
      <c r="U155" s="302"/>
      <c r="V155" s="302"/>
      <c r="W155" s="302"/>
      <c r="X155" s="302"/>
    </row>
    <row r="156" spans="1:24" s="2" customFormat="1" x14ac:dyDescent="0.3">
      <c r="A156" s="2" t="s">
        <v>402</v>
      </c>
      <c r="B156" s="997">
        <v>2.09</v>
      </c>
      <c r="C156" s="73" t="s">
        <v>1833</v>
      </c>
      <c r="D156" s="73"/>
      <c r="E156" s="2" t="s">
        <v>44</v>
      </c>
      <c r="F156" s="2" t="s">
        <v>80</v>
      </c>
      <c r="H156" s="2" t="s">
        <v>899</v>
      </c>
      <c r="I156" s="2" t="s">
        <v>1360</v>
      </c>
      <c r="J156" s="2" t="s">
        <v>936</v>
      </c>
      <c r="K156" s="302"/>
      <c r="L156" s="302"/>
      <c r="M156" s="302"/>
      <c r="N156" s="302"/>
      <c r="O156" s="302"/>
      <c r="P156" s="302"/>
      <c r="Q156" s="302"/>
      <c r="R156" s="302"/>
      <c r="S156" s="302"/>
      <c r="T156" s="302"/>
      <c r="U156" s="302"/>
      <c r="V156" s="302"/>
      <c r="W156" s="302"/>
      <c r="X156" s="302"/>
    </row>
    <row r="157" spans="1:24" s="2" customFormat="1" x14ac:dyDescent="0.3">
      <c r="A157" s="2" t="s">
        <v>38</v>
      </c>
      <c r="B157" s="158">
        <v>2</v>
      </c>
      <c r="C157" s="71" t="s">
        <v>1833</v>
      </c>
      <c r="D157" s="71"/>
      <c r="E157" s="2" t="s">
        <v>28</v>
      </c>
      <c r="F157" s="2" t="s">
        <v>68</v>
      </c>
      <c r="G157" s="2" t="s">
        <v>36</v>
      </c>
      <c r="K157" s="302"/>
      <c r="L157" s="302"/>
      <c r="M157" s="302"/>
      <c r="N157" s="302"/>
      <c r="O157" s="302"/>
      <c r="P157" s="302"/>
      <c r="Q157" s="302"/>
      <c r="R157" s="302"/>
      <c r="S157" s="302"/>
      <c r="T157" s="302"/>
      <c r="U157" s="302"/>
      <c r="V157" s="302"/>
      <c r="W157" s="302"/>
      <c r="X157" s="302"/>
    </row>
    <row r="158" spans="1:24" s="2" customFormat="1" x14ac:dyDescent="0.3">
      <c r="A158" s="2" t="s">
        <v>38</v>
      </c>
      <c r="B158" s="291">
        <v>0.9</v>
      </c>
      <c r="C158" s="71" t="s">
        <v>1833</v>
      </c>
      <c r="D158" s="71"/>
      <c r="E158" s="2" t="s">
        <v>28</v>
      </c>
      <c r="F158" s="2" t="s">
        <v>935</v>
      </c>
      <c r="G158" s="2" t="s">
        <v>854</v>
      </c>
      <c r="K158" s="302"/>
      <c r="L158" s="302"/>
      <c r="M158" s="302"/>
      <c r="N158" s="302"/>
      <c r="O158" s="302"/>
      <c r="P158" s="302"/>
      <c r="Q158" s="302"/>
      <c r="R158" s="302"/>
      <c r="S158" s="302"/>
      <c r="T158" s="302"/>
      <c r="U158" s="302"/>
      <c r="V158" s="302"/>
      <c r="W158" s="302"/>
      <c r="X158" s="302"/>
    </row>
    <row r="159" spans="1:24" s="302" customFormat="1" x14ac:dyDescent="0.3">
      <c r="A159" s="2"/>
      <c r="B159" s="71"/>
      <c r="C159" s="71"/>
      <c r="D159" s="71"/>
      <c r="E159" s="2"/>
      <c r="F159" s="2"/>
      <c r="G159" s="2"/>
      <c r="H159" s="2"/>
      <c r="I159" s="2"/>
      <c r="J159" s="602"/>
      <c r="K159" s="40"/>
    </row>
    <row r="160" spans="1:24" s="302" customFormat="1" x14ac:dyDescent="0.3">
      <c r="A160" s="2"/>
      <c r="B160" s="71"/>
      <c r="C160" s="71"/>
      <c r="D160" s="71"/>
      <c r="E160" s="2"/>
      <c r="F160" s="2"/>
      <c r="G160" s="2"/>
      <c r="H160" s="2"/>
      <c r="I160" s="2"/>
      <c r="J160" s="602"/>
      <c r="K160" s="40"/>
    </row>
    <row r="161" spans="1:24" s="302" customFormat="1" x14ac:dyDescent="0.3">
      <c r="A161" s="54" t="s">
        <v>1320</v>
      </c>
      <c r="B161" s="90"/>
      <c r="C161" s="90"/>
      <c r="D161" s="90"/>
      <c r="E161" s="54"/>
      <c r="F161" s="54"/>
      <c r="G161" s="54"/>
      <c r="H161" s="54"/>
      <c r="I161" s="54"/>
      <c r="J161" s="1233"/>
      <c r="K161" s="40"/>
    </row>
    <row r="162" spans="1:24" s="2" customFormat="1" x14ac:dyDescent="0.3">
      <c r="K162" s="302"/>
      <c r="L162" s="302"/>
      <c r="M162" s="302"/>
      <c r="N162" s="302"/>
      <c r="O162" s="302"/>
      <c r="P162" s="302"/>
      <c r="Q162" s="302"/>
      <c r="R162" s="302"/>
      <c r="S162" s="302"/>
      <c r="T162" s="302"/>
      <c r="U162" s="302"/>
      <c r="V162" s="302"/>
      <c r="W162" s="302"/>
      <c r="X162" s="302"/>
    </row>
    <row r="163" spans="1:24" s="302" customFormat="1" x14ac:dyDescent="0.3">
      <c r="A163" s="232" t="s">
        <v>1323</v>
      </c>
      <c r="B163" s="71">
        <v>0.02</v>
      </c>
      <c r="C163" s="71">
        <v>2E-3</v>
      </c>
      <c r="D163" s="71"/>
      <c r="E163" s="2" t="s">
        <v>28</v>
      </c>
      <c r="F163" s="2" t="s">
        <v>1321</v>
      </c>
      <c r="G163" s="232" t="s">
        <v>1341</v>
      </c>
      <c r="H163" s="2"/>
      <c r="I163" s="2"/>
      <c r="J163" s="1234" t="s">
        <v>1322</v>
      </c>
      <c r="K163" s="40"/>
    </row>
    <row r="164" spans="1:24" s="302" customFormat="1" x14ac:dyDescent="0.3">
      <c r="A164" s="232" t="s">
        <v>1331</v>
      </c>
      <c r="B164" s="158">
        <v>154478</v>
      </c>
      <c r="C164" s="71"/>
      <c r="D164" s="71"/>
      <c r="E164" s="2" t="s">
        <v>1329</v>
      </c>
      <c r="F164" s="2" t="s">
        <v>1328</v>
      </c>
      <c r="G164" s="232"/>
      <c r="H164" s="2" t="s">
        <v>1340</v>
      </c>
      <c r="I164" s="2"/>
      <c r="J164" s="1234"/>
      <c r="K164" s="40"/>
    </row>
    <row r="165" spans="1:24" s="302" customFormat="1" x14ac:dyDescent="0.3">
      <c r="A165" s="232" t="s">
        <v>1335</v>
      </c>
      <c r="B165" s="158">
        <v>91.6</v>
      </c>
      <c r="C165" s="158"/>
      <c r="D165" s="158" t="s">
        <v>2509</v>
      </c>
      <c r="E165" s="2" t="s">
        <v>27</v>
      </c>
      <c r="F165" s="2" t="s">
        <v>1319</v>
      </c>
      <c r="G165" s="2" t="s">
        <v>1343</v>
      </c>
      <c r="H165" s="2" t="s">
        <v>1339</v>
      </c>
      <c r="I165" s="2"/>
      <c r="J165" s="602" t="s">
        <v>1327</v>
      </c>
      <c r="K165" s="40"/>
    </row>
    <row r="166" spans="1:24" s="302" customFormat="1" x14ac:dyDescent="0.3">
      <c r="A166" s="232" t="s">
        <v>1334</v>
      </c>
      <c r="B166" s="291">
        <v>25.5</v>
      </c>
      <c r="C166" s="158">
        <v>3</v>
      </c>
      <c r="D166" s="158"/>
      <c r="E166" s="2"/>
      <c r="F166" s="2" t="s">
        <v>1342</v>
      </c>
      <c r="G166" s="2" t="s">
        <v>1333</v>
      </c>
      <c r="H166" s="2" t="s">
        <v>1339</v>
      </c>
      <c r="I166" s="2"/>
      <c r="J166" s="602" t="s">
        <v>1332</v>
      </c>
      <c r="K166" s="40"/>
    </row>
    <row r="167" spans="1:24" s="302" customFormat="1" x14ac:dyDescent="0.3">
      <c r="A167" s="232"/>
      <c r="B167" s="291"/>
      <c r="C167" s="291"/>
      <c r="D167" s="291"/>
      <c r="E167" s="2"/>
      <c r="F167" s="2"/>
      <c r="G167" s="2"/>
      <c r="H167" s="2"/>
      <c r="I167" s="2"/>
      <c r="J167" s="602"/>
      <c r="K167" s="40"/>
    </row>
    <row r="168" spans="1:24" x14ac:dyDescent="0.3">
      <c r="A168" s="232" t="s">
        <v>1326</v>
      </c>
      <c r="B168" s="2">
        <v>170</v>
      </c>
      <c r="C168" s="2"/>
      <c r="D168" s="2"/>
      <c r="E168" s="2" t="s">
        <v>1324</v>
      </c>
      <c r="F168" s="2" t="s">
        <v>1325</v>
      </c>
      <c r="G168" s="2"/>
      <c r="H168" s="2"/>
      <c r="I168" s="2"/>
      <c r="J168" s="602" t="s">
        <v>1327</v>
      </c>
    </row>
    <row r="169" spans="1:24" x14ac:dyDescent="0.3">
      <c r="A169" s="232"/>
      <c r="B169" s="2"/>
      <c r="C169" s="2"/>
      <c r="D169" s="2"/>
      <c r="E169" s="2"/>
      <c r="F169" s="2"/>
      <c r="G169" s="2"/>
      <c r="H169" s="2"/>
      <c r="I169" s="2"/>
      <c r="J169" s="602"/>
    </row>
    <row r="170" spans="1:24" s="2" customFormat="1" x14ac:dyDescent="0.3">
      <c r="A170" s="168" t="s">
        <v>1116</v>
      </c>
      <c r="B170" s="168"/>
      <c r="C170" s="168"/>
      <c r="D170" s="168"/>
      <c r="E170" s="168"/>
      <c r="F170" s="168"/>
      <c r="G170" s="168"/>
      <c r="H170" s="168"/>
      <c r="I170" s="168"/>
      <c r="J170" s="168"/>
      <c r="K170" s="302"/>
      <c r="L170" s="302"/>
      <c r="M170" s="302"/>
      <c r="N170" s="302"/>
      <c r="O170" s="302"/>
      <c r="P170" s="302"/>
      <c r="Q170" s="302"/>
      <c r="R170" s="302"/>
      <c r="S170" s="302"/>
      <c r="T170" s="302"/>
      <c r="U170" s="302"/>
      <c r="V170" s="302"/>
      <c r="W170" s="302"/>
      <c r="X170" s="302"/>
    </row>
    <row r="171" spans="1:24" s="2" customFormat="1" x14ac:dyDescent="0.3">
      <c r="A171" s="2" t="s">
        <v>1102</v>
      </c>
      <c r="B171" s="291">
        <v>6.4</v>
      </c>
      <c r="C171" s="291">
        <v>0.5</v>
      </c>
      <c r="D171" s="291"/>
      <c r="E171" s="2" t="s">
        <v>1043</v>
      </c>
      <c r="F171" s="2" t="s">
        <v>65</v>
      </c>
      <c r="G171" s="2" t="s">
        <v>2510</v>
      </c>
      <c r="I171" s="2" t="s">
        <v>1367</v>
      </c>
      <c r="J171" s="2" t="s">
        <v>926</v>
      </c>
      <c r="K171" s="302"/>
      <c r="L171" s="302"/>
      <c r="M171" s="302"/>
      <c r="N171" s="302"/>
      <c r="O171" s="302"/>
      <c r="P171" s="302"/>
      <c r="Q171" s="302"/>
      <c r="R171" s="302"/>
      <c r="S171" s="302"/>
      <c r="T171" s="302"/>
      <c r="U171" s="302"/>
      <c r="V171" s="302"/>
      <c r="W171" s="302"/>
      <c r="X171" s="302"/>
    </row>
    <row r="172" spans="1:24" s="2" customFormat="1" x14ac:dyDescent="0.3">
      <c r="A172" s="2" t="s">
        <v>2</v>
      </c>
      <c r="B172" s="291">
        <v>0.8</v>
      </c>
      <c r="C172" s="71" t="s">
        <v>1833</v>
      </c>
      <c r="D172" s="71"/>
      <c r="E172" s="2" t="s">
        <v>40</v>
      </c>
      <c r="F172" s="2" t="s">
        <v>80</v>
      </c>
      <c r="I172" s="2" t="s">
        <v>1360</v>
      </c>
      <c r="J172" s="2" t="s">
        <v>936</v>
      </c>
      <c r="K172" s="302"/>
      <c r="L172" s="302"/>
      <c r="M172" s="302"/>
      <c r="N172" s="302"/>
      <c r="O172" s="302"/>
      <c r="P172" s="302"/>
      <c r="Q172" s="302"/>
      <c r="R172" s="302"/>
      <c r="S172" s="302"/>
      <c r="T172" s="302"/>
      <c r="U172" s="302"/>
      <c r="V172" s="302"/>
      <c r="W172" s="302"/>
      <c r="X172" s="302"/>
    </row>
    <row r="173" spans="1:24" s="2" customFormat="1" x14ac:dyDescent="0.3">
      <c r="A173" s="2" t="s">
        <v>2</v>
      </c>
      <c r="B173" s="291">
        <v>2.9</v>
      </c>
      <c r="C173" s="291">
        <v>0.1</v>
      </c>
      <c r="D173" s="291"/>
      <c r="E173" s="2" t="s">
        <v>40</v>
      </c>
      <c r="F173" s="2" t="s">
        <v>385</v>
      </c>
      <c r="G173" s="2" t="s">
        <v>1365</v>
      </c>
      <c r="H173" s="2" t="s">
        <v>899</v>
      </c>
      <c r="I173" s="2" t="s">
        <v>1380</v>
      </c>
      <c r="K173" s="302"/>
      <c r="L173" s="302"/>
      <c r="M173" s="302"/>
      <c r="N173" s="302"/>
      <c r="O173" s="302"/>
      <c r="P173" s="302"/>
      <c r="Q173" s="302"/>
      <c r="R173" s="302"/>
      <c r="S173" s="302"/>
      <c r="T173" s="302"/>
      <c r="U173" s="302"/>
      <c r="V173" s="302"/>
      <c r="W173" s="302"/>
      <c r="X173" s="302"/>
    </row>
    <row r="174" spans="1:24" s="2" customFormat="1" x14ac:dyDescent="0.3">
      <c r="A174" s="2" t="s">
        <v>81</v>
      </c>
      <c r="B174" s="285">
        <v>0.51</v>
      </c>
      <c r="C174" s="71" t="s">
        <v>1833</v>
      </c>
      <c r="D174" s="71"/>
      <c r="E174" s="2" t="s">
        <v>40</v>
      </c>
      <c r="F174" s="2" t="s">
        <v>80</v>
      </c>
      <c r="I174" s="2" t="s">
        <v>1360</v>
      </c>
      <c r="J174" s="2" t="s">
        <v>936</v>
      </c>
      <c r="K174" s="302"/>
      <c r="L174" s="302"/>
      <c r="M174" s="302"/>
      <c r="N174" s="302"/>
      <c r="O174" s="302"/>
      <c r="P174" s="302"/>
      <c r="Q174" s="302"/>
      <c r="R174" s="302"/>
      <c r="S174" s="302"/>
      <c r="T174" s="302"/>
      <c r="U174" s="302"/>
      <c r="V174" s="302"/>
      <c r="W174" s="302"/>
      <c r="X174" s="302"/>
    </row>
    <row r="175" spans="1:24" s="2" customFormat="1" x14ac:dyDescent="0.3">
      <c r="B175" s="71"/>
      <c r="C175" s="71"/>
      <c r="D175" s="71"/>
      <c r="K175" s="302"/>
      <c r="L175" s="302"/>
      <c r="M175" s="302"/>
      <c r="N175" s="302"/>
      <c r="O175" s="302"/>
      <c r="P175" s="302"/>
      <c r="Q175" s="302"/>
      <c r="R175" s="302"/>
      <c r="S175" s="302"/>
      <c r="T175" s="302"/>
      <c r="U175" s="302"/>
      <c r="V175" s="302"/>
      <c r="W175" s="302"/>
      <c r="X175" s="302"/>
    </row>
    <row r="176" spans="1:24" s="2" customFormat="1" x14ac:dyDescent="0.3">
      <c r="A176" s="110" t="s">
        <v>1117</v>
      </c>
      <c r="B176" s="296"/>
      <c r="C176" s="296"/>
      <c r="D176" s="296"/>
      <c r="E176" s="110"/>
      <c r="F176" s="110"/>
      <c r="G176" s="110"/>
      <c r="H176" s="110"/>
      <c r="I176" s="110"/>
      <c r="J176" s="110"/>
      <c r="K176" s="302"/>
      <c r="L176" s="302"/>
      <c r="M176" s="302"/>
      <c r="N176" s="302"/>
      <c r="O176" s="302"/>
      <c r="P176" s="302"/>
      <c r="Q176" s="302"/>
      <c r="R176" s="302"/>
      <c r="S176" s="302"/>
      <c r="T176" s="302"/>
      <c r="U176" s="302"/>
      <c r="V176" s="302"/>
      <c r="W176" s="302"/>
      <c r="X176" s="302"/>
    </row>
    <row r="177" spans="1:24" s="2" customFormat="1" x14ac:dyDescent="0.3">
      <c r="A177" s="2" t="s">
        <v>1070</v>
      </c>
      <c r="B177" s="158">
        <v>37500</v>
      </c>
      <c r="C177" s="71" t="s">
        <v>1833</v>
      </c>
      <c r="D177" s="71"/>
      <c r="E177" s="2" t="s">
        <v>1041</v>
      </c>
      <c r="F177" s="2" t="s">
        <v>70</v>
      </c>
      <c r="G177" s="2" t="s">
        <v>1071</v>
      </c>
      <c r="H177" s="2" t="s">
        <v>938</v>
      </c>
      <c r="K177" s="302"/>
      <c r="L177" s="302"/>
      <c r="M177" s="302"/>
      <c r="N177" s="302"/>
      <c r="O177" s="302"/>
      <c r="P177" s="302"/>
      <c r="Q177" s="302"/>
      <c r="R177" s="302"/>
      <c r="S177" s="302"/>
      <c r="T177" s="302"/>
      <c r="U177" s="302"/>
      <c r="V177" s="302"/>
      <c r="W177" s="302"/>
      <c r="X177" s="302"/>
    </row>
    <row r="178" spans="1:24" s="2" customFormat="1" x14ac:dyDescent="0.3">
      <c r="A178" s="2" t="s">
        <v>1068</v>
      </c>
      <c r="B178" s="147">
        <f>$B$177/('Table S1.1 (complete_data)'!$D$164*'Table S1.1 (complete_data)'!$D$13)</f>
        <v>4.5731707317073171</v>
      </c>
      <c r="C178" s="75"/>
      <c r="D178" s="75"/>
      <c r="E178" s="2" t="s">
        <v>1069</v>
      </c>
      <c r="F178" s="1" t="s">
        <v>629</v>
      </c>
      <c r="G178" s="2" t="s">
        <v>1072</v>
      </c>
      <c r="K178" s="302"/>
      <c r="L178" s="302"/>
      <c r="M178" s="302"/>
      <c r="N178" s="302"/>
      <c r="O178" s="302"/>
      <c r="P178" s="302"/>
      <c r="Q178" s="302"/>
      <c r="R178" s="302"/>
      <c r="S178" s="302"/>
      <c r="T178" s="302"/>
      <c r="U178" s="302"/>
      <c r="V178" s="302"/>
      <c r="W178" s="302"/>
      <c r="X178" s="302"/>
    </row>
    <row r="179" spans="1:24" s="2" customFormat="1" x14ac:dyDescent="0.3">
      <c r="B179" s="75"/>
      <c r="C179" s="75"/>
      <c r="D179" s="75"/>
      <c r="F179" s="1"/>
      <c r="K179" s="302"/>
      <c r="L179" s="302"/>
      <c r="M179" s="302"/>
      <c r="N179" s="302"/>
      <c r="O179" s="302"/>
      <c r="P179" s="302"/>
      <c r="Q179" s="302"/>
      <c r="R179" s="302"/>
      <c r="S179" s="302"/>
      <c r="T179" s="302"/>
      <c r="U179" s="302"/>
      <c r="V179" s="302"/>
      <c r="W179" s="302"/>
      <c r="X179" s="302"/>
    </row>
    <row r="180" spans="1:24" s="2" customFormat="1" x14ac:dyDescent="0.3">
      <c r="A180" s="298" t="s">
        <v>1118</v>
      </c>
      <c r="B180" s="299"/>
      <c r="C180" s="299"/>
      <c r="D180" s="299"/>
      <c r="E180" s="298"/>
      <c r="F180" s="300"/>
      <c r="G180" s="298"/>
      <c r="H180" s="298"/>
      <c r="I180" s="298"/>
      <c r="J180" s="298"/>
      <c r="K180" s="302"/>
      <c r="L180" s="302"/>
      <c r="M180" s="302"/>
      <c r="N180" s="302"/>
      <c r="O180" s="302"/>
      <c r="P180" s="302"/>
      <c r="Q180" s="302"/>
      <c r="R180" s="302"/>
      <c r="S180" s="302"/>
      <c r="T180" s="302"/>
      <c r="U180" s="302"/>
      <c r="V180" s="302"/>
      <c r="W180" s="302"/>
      <c r="X180" s="302"/>
    </row>
    <row r="181" spans="1:24" s="2" customFormat="1" x14ac:dyDescent="0.3">
      <c r="A181" s="2" t="s">
        <v>1066</v>
      </c>
      <c r="B181" s="71">
        <v>0.84699999999999998</v>
      </c>
      <c r="C181" s="71" t="s">
        <v>1833</v>
      </c>
      <c r="D181" s="71"/>
      <c r="E181" s="2" t="s">
        <v>40</v>
      </c>
      <c r="F181" s="2" t="s">
        <v>80</v>
      </c>
      <c r="I181" s="2" t="s">
        <v>1360</v>
      </c>
      <c r="J181" s="2" t="s">
        <v>936</v>
      </c>
      <c r="K181" s="302"/>
      <c r="L181" s="302"/>
      <c r="M181" s="302"/>
      <c r="N181" s="302"/>
      <c r="O181" s="302"/>
      <c r="P181" s="302"/>
      <c r="Q181" s="302"/>
      <c r="R181" s="302"/>
      <c r="S181" s="302"/>
      <c r="T181" s="302"/>
      <c r="U181" s="302"/>
      <c r="V181" s="302"/>
      <c r="W181" s="302"/>
      <c r="X181" s="302"/>
    </row>
    <row r="182" spans="1:24" s="2" customFormat="1" x14ac:dyDescent="0.3">
      <c r="A182" s="2" t="s">
        <v>1067</v>
      </c>
      <c r="B182" s="147">
        <f>1000000*($B$181/('Table S1.1 (complete_data)'!$D$15*'Table S1.1 (complete_data)'!$D$164))</f>
        <v>4.2350000000000003</v>
      </c>
      <c r="C182" s="75"/>
      <c r="D182" s="75"/>
      <c r="E182" s="2" t="s">
        <v>1065</v>
      </c>
      <c r="F182" s="1" t="s">
        <v>629</v>
      </c>
      <c r="K182" s="302"/>
      <c r="L182" s="302"/>
      <c r="M182" s="302"/>
      <c r="N182" s="302"/>
      <c r="O182" s="302"/>
      <c r="P182" s="302"/>
      <c r="Q182" s="302"/>
      <c r="R182" s="302"/>
      <c r="S182" s="302"/>
      <c r="T182" s="302"/>
      <c r="U182" s="302"/>
      <c r="V182" s="302"/>
      <c r="W182" s="302"/>
      <c r="X182" s="302"/>
    </row>
    <row r="183" spans="1:24" s="2" customFormat="1" x14ac:dyDescent="0.3">
      <c r="A183" s="2" t="s">
        <v>1073</v>
      </c>
      <c r="B183" s="147">
        <f>$B$182/14</f>
        <v>0.30250000000000005</v>
      </c>
      <c r="C183" s="75"/>
      <c r="D183" s="75"/>
      <c r="E183" s="2" t="s">
        <v>1069</v>
      </c>
      <c r="F183" s="1" t="s">
        <v>629</v>
      </c>
      <c r="G183" s="2" t="s">
        <v>1074</v>
      </c>
      <c r="K183" s="302"/>
      <c r="L183" s="302"/>
      <c r="M183" s="302"/>
      <c r="N183" s="302"/>
      <c r="O183" s="302"/>
      <c r="P183" s="302"/>
      <c r="Q183" s="302"/>
      <c r="R183" s="302"/>
      <c r="S183" s="302"/>
      <c r="T183" s="302"/>
      <c r="U183" s="302"/>
      <c r="V183" s="302"/>
      <c r="W183" s="302"/>
      <c r="X183" s="302"/>
    </row>
    <row r="185" spans="1:24" x14ac:dyDescent="0.3">
      <c r="A185" s="2" t="s">
        <v>1267</v>
      </c>
      <c r="B185" s="2"/>
      <c r="C185" s="2"/>
      <c r="D185" s="2"/>
      <c r="E185" s="2"/>
      <c r="F185" s="2"/>
      <c r="G185" s="2"/>
      <c r="H185" s="2"/>
      <c r="I185" s="2"/>
      <c r="J185" s="602"/>
    </row>
    <row r="186" spans="1:24" x14ac:dyDescent="0.3">
      <c r="A186" s="2" t="s">
        <v>1269</v>
      </c>
      <c r="B186" s="2">
        <v>11.1</v>
      </c>
      <c r="C186" s="2" t="s">
        <v>1833</v>
      </c>
      <c r="D186" s="2"/>
      <c r="E186" s="2" t="s">
        <v>1268</v>
      </c>
      <c r="F186" s="2" t="s">
        <v>633</v>
      </c>
      <c r="G186" s="2" t="s">
        <v>1366</v>
      </c>
      <c r="H186" s="2"/>
      <c r="I186" s="2" t="s">
        <v>1967</v>
      </c>
      <c r="J186" s="602"/>
    </row>
  </sheetData>
  <hyperlinks>
    <hyperlink ref="F37" r:id="rId1" display="http://www.ncbi.nlm.nih.gov/pubmed/28637277"/>
  </hyperlinks>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2" workbookViewId="0">
      <selection activeCell="D29" sqref="D29"/>
    </sheetView>
  </sheetViews>
  <sheetFormatPr baseColWidth="10" defaultRowHeight="15.05" x14ac:dyDescent="0.3"/>
  <cols>
    <col min="1" max="1" width="39.88671875" bestFit="1" customWidth="1"/>
    <col min="2" max="2" width="11.33203125" bestFit="1" customWidth="1"/>
    <col min="3" max="3" width="11.88671875" bestFit="1" customWidth="1"/>
    <col min="4" max="4" width="15.109375" bestFit="1" customWidth="1"/>
    <col min="5" max="5" width="11.6640625" bestFit="1" customWidth="1"/>
    <col min="6" max="6" width="12.44140625" bestFit="1" customWidth="1"/>
    <col min="7" max="7" width="14.88671875" bestFit="1" customWidth="1"/>
    <col min="8" max="8" width="10.5546875" bestFit="1" customWidth="1"/>
    <col min="9" max="9" width="16.5546875" bestFit="1" customWidth="1"/>
  </cols>
  <sheetData>
    <row r="1" spans="1:10" x14ac:dyDescent="0.3">
      <c r="A1" t="s">
        <v>1182</v>
      </c>
    </row>
    <row r="2" spans="1:10" ht="15.65" thickBot="1" x14ac:dyDescent="0.35"/>
    <row r="3" spans="1:10" ht="15.65" thickBot="1" x14ac:dyDescent="0.35">
      <c r="A3" s="608" t="s">
        <v>1183</v>
      </c>
      <c r="B3" s="644" t="s">
        <v>1839</v>
      </c>
      <c r="C3" s="645" t="s">
        <v>1840</v>
      </c>
      <c r="D3" s="646" t="s">
        <v>1841</v>
      </c>
      <c r="E3" s="646" t="s">
        <v>1843</v>
      </c>
      <c r="F3" s="646" t="s">
        <v>1838</v>
      </c>
      <c r="G3" s="608" t="s">
        <v>1842</v>
      </c>
      <c r="H3" s="608" t="s">
        <v>1184</v>
      </c>
      <c r="I3" s="401"/>
    </row>
    <row r="4" spans="1:10" x14ac:dyDescent="0.3">
      <c r="A4" s="639"/>
      <c r="B4" s="640"/>
      <c r="C4" s="641"/>
      <c r="D4" s="642"/>
      <c r="E4" s="643"/>
      <c r="F4" s="354"/>
      <c r="G4" s="302"/>
      <c r="H4" s="340"/>
    </row>
    <row r="5" spans="1:10" x14ac:dyDescent="0.3">
      <c r="A5" s="627" t="s">
        <v>1185</v>
      </c>
      <c r="B5" s="1243">
        <f>'Table S1.1 (complete_data)'!$D$66</f>
        <v>18.899999999999999</v>
      </c>
      <c r="C5" s="341">
        <f>'Table S1.1 (complete_data)'!$D$41</f>
        <v>58500</v>
      </c>
      <c r="D5" s="1071">
        <f>'Table S1.1 (complete_data)'!$D$85</f>
        <v>1.10565</v>
      </c>
      <c r="E5" s="1256">
        <f>$D$5*'Table S1.1 (complete_data)'!$D$17</f>
        <v>50.256818181818183</v>
      </c>
      <c r="F5" s="1256">
        <f>$E$5/'Table S1.1 (complete_data)'!$D$926</f>
        <v>43.213085281013051</v>
      </c>
      <c r="G5" s="1071">
        <f>$C$5/$C$26*100</f>
        <v>7.6530612244897958</v>
      </c>
      <c r="H5" s="1071">
        <f>$D$5/$D$26*100</f>
        <v>4.5363820201290288</v>
      </c>
    </row>
    <row r="6" spans="1:10" x14ac:dyDescent="0.3">
      <c r="A6" s="628" t="s">
        <v>1186</v>
      </c>
      <c r="B6" s="1240">
        <f>'Table S1.1 (complete_data)'!$D$67</f>
        <v>39</v>
      </c>
      <c r="C6" s="204">
        <f>'Table S1.1 (complete_data)'!$D$42</f>
        <v>42900</v>
      </c>
      <c r="D6" s="332">
        <f>'Table S1.1 (complete_data)'!$D$86</f>
        <v>1.6731</v>
      </c>
      <c r="E6" s="1123">
        <f>$D$6*'Table S1.1 (complete_data)'!$D$17</f>
        <v>76.05</v>
      </c>
      <c r="F6" s="1257">
        <f>$E$6/'Table S1.1 (complete_data)'!$D$926</f>
        <v>65.391229578675834</v>
      </c>
      <c r="G6" s="1077">
        <f>$C$6/$C$26*100</f>
        <v>5.6122448979591839</v>
      </c>
      <c r="H6" s="1077">
        <f>$D$6/$D$26*100</f>
        <v>6.8645780833698531</v>
      </c>
    </row>
    <row r="7" spans="1:10" x14ac:dyDescent="0.3">
      <c r="A7" s="628" t="s">
        <v>1187</v>
      </c>
      <c r="B7" s="1240">
        <f>'Table S1.1 (complete_data)'!$D$68</f>
        <v>20</v>
      </c>
      <c r="C7" s="204">
        <f>ROUND('Table S1.1 (complete_data)'!$D$43, -1)</f>
        <v>1440</v>
      </c>
      <c r="D7" s="152">
        <f>'Table S1.1 (complete_data)'!$D$87</f>
        <v>2.8799999999999999E-2</v>
      </c>
      <c r="E7" s="332">
        <f>$D$7*'Table S1.1 (complete_data)'!$D$17</f>
        <v>1.3090909090909091</v>
      </c>
      <c r="F7" s="1073">
        <f>$E$7/'Table S1.1 (complete_data)'!$D$926</f>
        <v>1.125615571015399</v>
      </c>
      <c r="G7" s="1077">
        <f>$C$7/$C$26*100</f>
        <v>0.18838304552590265</v>
      </c>
      <c r="H7" s="1077">
        <f>$D$7/$D$26*100</f>
        <v>0.11816379702411796</v>
      </c>
    </row>
    <row r="8" spans="1:10" x14ac:dyDescent="0.3">
      <c r="A8" s="629" t="s">
        <v>1188</v>
      </c>
      <c r="B8" s="1244">
        <f>'Table S1.1 (complete_data)'!$D$69</f>
        <v>10.227</v>
      </c>
      <c r="C8" s="342">
        <f>ROUND('Table S1.1 (complete_data)'!$D$44,-2)</f>
        <v>63000</v>
      </c>
      <c r="D8" s="179">
        <f>'Table S1.1 (complete_data)'!$D$88</f>
        <v>0.64430100000000001</v>
      </c>
      <c r="E8" s="185">
        <f>$D$8*'Table S1.1 (complete_data)'!$D$17</f>
        <v>29.286409090909089</v>
      </c>
      <c r="F8" s="1239">
        <f>$E$8/'Table S1.1 (complete_data)'!$D$926</f>
        <v>25.181779097944187</v>
      </c>
      <c r="G8" s="200">
        <f>$C$8/$C$26*100</f>
        <v>8.2417582417582409</v>
      </c>
      <c r="H8" s="200">
        <f>$D$8/$D$26*100</f>
        <v>2.6435087703623692</v>
      </c>
      <c r="J8" s="355"/>
    </row>
    <row r="9" spans="1:10" x14ac:dyDescent="0.3">
      <c r="A9" s="630" t="s">
        <v>1189</v>
      </c>
      <c r="B9" s="623" t="s">
        <v>1833</v>
      </c>
      <c r="C9" s="615" t="s">
        <v>1833</v>
      </c>
      <c r="D9" s="616" t="s">
        <v>1833</v>
      </c>
      <c r="E9" s="616" t="s">
        <v>1833</v>
      </c>
      <c r="F9" s="617" t="s">
        <v>1833</v>
      </c>
      <c r="G9" s="617" t="s">
        <v>1833</v>
      </c>
      <c r="H9" s="616" t="s">
        <v>1833</v>
      </c>
    </row>
    <row r="10" spans="1:10" x14ac:dyDescent="0.3">
      <c r="A10" s="631" t="s">
        <v>1190</v>
      </c>
      <c r="B10" s="624" t="s">
        <v>1833</v>
      </c>
      <c r="C10" s="618" t="s">
        <v>1833</v>
      </c>
      <c r="D10" s="619" t="s">
        <v>1833</v>
      </c>
      <c r="E10" s="619" t="s">
        <v>1833</v>
      </c>
      <c r="F10" s="620" t="s">
        <v>1833</v>
      </c>
      <c r="G10" s="620" t="s">
        <v>1833</v>
      </c>
      <c r="H10" s="619" t="s">
        <v>1833</v>
      </c>
    </row>
    <row r="11" spans="1:10" x14ac:dyDescent="0.3">
      <c r="A11" s="359" t="s">
        <v>2355</v>
      </c>
      <c r="B11" s="1241">
        <f>'Table S1.1 (complete_data)'!$D$72</f>
        <v>100</v>
      </c>
      <c r="C11" s="203">
        <f>'Table S1.1 (complete_data)'!$D$47</f>
        <v>157500</v>
      </c>
      <c r="D11" s="1023">
        <f>'Table S1.1 (complete_data)'!$D$91</f>
        <v>15.75</v>
      </c>
      <c r="E11" s="1023">
        <f>$D$11*'Table S1.1 (complete_data)'!$D$17</f>
        <v>715.90909090909088</v>
      </c>
      <c r="F11" s="1150">
        <f>$E$11/'Table S1.1 (complete_data)'!$D$926</f>
        <v>615.57101539904636</v>
      </c>
      <c r="G11" s="1023">
        <f>$C$11/$C$26*100</f>
        <v>20.604395604395602</v>
      </c>
      <c r="H11" s="1023">
        <f>$D$11/$D$26*100</f>
        <v>64.620826497564508</v>
      </c>
      <c r="J11" s="355"/>
    </row>
    <row r="12" spans="1:10" x14ac:dyDescent="0.3">
      <c r="A12" s="632" t="s">
        <v>496</v>
      </c>
      <c r="B12" s="1069">
        <f>'Table S1.2 (veins data)'!$D$131</f>
        <v>0.85</v>
      </c>
      <c r="C12" s="201">
        <f>ROUND('Table S1.1 (complete_data)'!$D$48,-2)</f>
        <v>49000</v>
      </c>
      <c r="D12" s="194">
        <f>'Table S1.1 (complete_data)'!$D$92</f>
        <v>4.165E-2</v>
      </c>
      <c r="E12" s="198">
        <f>$D$12*'Table S1.1 (complete_data)'!$D$17</f>
        <v>1.8931818181818181</v>
      </c>
      <c r="F12" s="1074">
        <f>$E$12/'Table S1.1 (complete_data)'!$D$926</f>
        <v>1.6278433518330335</v>
      </c>
      <c r="G12" s="198">
        <f>$C$12/$C$26*100</f>
        <v>6.4102564102564097</v>
      </c>
      <c r="H12" s="198">
        <f>$D$12/$D$26*100</f>
        <v>0.17088618562689281</v>
      </c>
    </row>
    <row r="13" spans="1:10" x14ac:dyDescent="0.3">
      <c r="A13" s="633" t="s">
        <v>497</v>
      </c>
      <c r="B13" s="1068">
        <f>'Table S1.2 (veins data)'!$D$132</f>
        <v>0.6321</v>
      </c>
      <c r="C13" s="343">
        <f>ROUND('Table S1.1 (complete_data)'!$D$49,-2)</f>
        <v>78000</v>
      </c>
      <c r="D13" s="344">
        <f>'Table S1.1 (complete_data)'!$D$93</f>
        <v>4.9556639999999999E-2</v>
      </c>
      <c r="E13" s="407">
        <f>$D$13*'Table S1.1 (complete_data)'!$D$17</f>
        <v>2.2525745454545452</v>
      </c>
      <c r="F13" s="1075">
        <f>$E$13/'Table S1.1 (complete_data)'!$D$926</f>
        <v>1.9368654733057138</v>
      </c>
      <c r="G13" s="415">
        <f>$C$13/$C$26*100</f>
        <v>10.204081632653061</v>
      </c>
      <c r="H13" s="407">
        <f>$D$13/$D$26*100</f>
        <v>0.20332641493601683</v>
      </c>
    </row>
    <row r="14" spans="1:10" x14ac:dyDescent="0.3">
      <c r="A14" s="634" t="s">
        <v>498</v>
      </c>
      <c r="B14" s="1067">
        <f>'Table S1.2 (veins data)'!$D$133</f>
        <v>0.14039999999999997</v>
      </c>
      <c r="C14" s="345">
        <f>ROUND('Table S1.1 (complete_data)'!$D$50,-2)</f>
        <v>23000</v>
      </c>
      <c r="D14" s="425">
        <f>'Table S1.1 (complete_data)'!$D$94</f>
        <v>3.2572799999999991E-3</v>
      </c>
      <c r="E14" s="346">
        <f>$D$14*'Table S1.1 (complete_data)'!$D$17</f>
        <v>0.14805818181818178</v>
      </c>
      <c r="F14" s="347">
        <f>$E$14/'Table S1.1 (complete_data)'!$D$926</f>
        <v>0.12730712108184161</v>
      </c>
      <c r="G14" s="406">
        <f>$C$14/$C$26*100</f>
        <v>3.0088958660387233</v>
      </c>
      <c r="H14" s="346">
        <f>$D$14/$D$26*100</f>
        <v>1.3364325443427739E-2</v>
      </c>
    </row>
    <row r="15" spans="1:10" x14ac:dyDescent="0.3">
      <c r="A15" s="635" t="s">
        <v>1191</v>
      </c>
      <c r="B15" s="1242">
        <f>'Table S1.1 (complete_data)'!$D$76</f>
        <v>60</v>
      </c>
      <c r="C15" s="348">
        <f>'Table S1.1 (complete_data)'!$D$51</f>
        <v>74840</v>
      </c>
      <c r="D15" s="1072">
        <f>'Table S1.1 (complete_data)'!$D$95</f>
        <v>4.4904000000000002</v>
      </c>
      <c r="E15" s="1151">
        <f>$D$15*'Table S1.1 (complete_data)'!$D$17</f>
        <v>204.10909090909092</v>
      </c>
      <c r="F15" s="1152">
        <f>$E$15/'Table S1.1 (complete_data)'!$D$926</f>
        <v>175.50222778081763</v>
      </c>
      <c r="G15" s="1072">
        <f>$C$15/$C$26*100</f>
        <v>9.7906855049712185</v>
      </c>
      <c r="H15" s="1072">
        <f>$D$15/$D$26*100</f>
        <v>18.423705352677057</v>
      </c>
    </row>
    <row r="16" spans="1:10" x14ac:dyDescent="0.3">
      <c r="A16" s="636" t="s">
        <v>1192</v>
      </c>
      <c r="B16" s="622">
        <f>'Table S1.1 (complete_data)'!$D$77</f>
        <v>0.78300000000000003</v>
      </c>
      <c r="C16" s="204">
        <f>ROUND('Table S1.1 (complete_data)'!$D$52,-2)</f>
        <v>80100</v>
      </c>
      <c r="D16" s="152">
        <f>'Table S1.1 (complete_data)'!$D$96</f>
        <v>6.2718300000000005E-2</v>
      </c>
      <c r="E16" s="332">
        <f>$D$16*'Table S1.1 (complete_data)'!$D$17</f>
        <v>2.8508318181818182</v>
      </c>
      <c r="F16" s="1073">
        <f>$E$16/'Table S1.1 (complete_data)'!$D$926</f>
        <v>2.4512741342921909</v>
      </c>
      <c r="G16" s="332">
        <f>$C$16/$C$26*100</f>
        <v>10.478806907378337</v>
      </c>
      <c r="H16" s="152">
        <f>$D$16/$D$26*100</f>
        <v>0.2573275163506159</v>
      </c>
    </row>
    <row r="17" spans="1:12" x14ac:dyDescent="0.3">
      <c r="A17" s="628" t="s">
        <v>1193</v>
      </c>
      <c r="B17" s="1240">
        <f>'Table S1.1 (complete_data)'!$D$78</f>
        <v>3800</v>
      </c>
      <c r="C17" s="205">
        <f>'Table S1.1 (complete_data)'!$D$53</f>
        <v>120</v>
      </c>
      <c r="D17" s="152">
        <f>'Table S1.1 (complete_data)'!$D$97</f>
        <v>0.45600000000000002</v>
      </c>
      <c r="E17" s="1123">
        <f>$D$17*'Table S1.1 (complete_data)'!$D$17</f>
        <v>20.727272727272727</v>
      </c>
      <c r="F17" s="1257">
        <f>$E$17/'Table S1.1 (complete_data)'!$D$926</f>
        <v>17.822246541077149</v>
      </c>
      <c r="G17" s="152">
        <f>$C$17/$C$26*100</f>
        <v>1.5698587127158554E-2</v>
      </c>
      <c r="H17" s="332">
        <f>$D$17/$D$26*100</f>
        <v>1.870926786215201</v>
      </c>
    </row>
    <row r="18" spans="1:12" x14ac:dyDescent="0.3">
      <c r="A18" s="637" t="s">
        <v>2404</v>
      </c>
      <c r="B18" s="625">
        <f>'Table S1.2 (veins data)'!$D$134</f>
        <v>0.53200000000000003</v>
      </c>
      <c r="C18" s="349">
        <f>ROUND('Table S1.1 (complete_data)'!$D$54,-2)</f>
        <v>104000</v>
      </c>
      <c r="D18" s="153">
        <f>'Table S1.1 (complete_data)'!$D$98</f>
        <v>5.5540800000000001E-2</v>
      </c>
      <c r="E18" s="199">
        <f>$D$18*'Table S1.1 (complete_data)'!$D$17</f>
        <v>2.5245818181818183</v>
      </c>
      <c r="F18" s="1076">
        <f>$E$18/'Table S1.1 (complete_data)'!$D$926</f>
        <v>2.1707496287031969</v>
      </c>
      <c r="G18" s="199">
        <f>$C$18/$C$26*100</f>
        <v>13.605442176870749</v>
      </c>
      <c r="H18" s="153">
        <f>$D$18/$D$26*100</f>
        <v>0.22787888256101149</v>
      </c>
      <c r="L18" s="355"/>
    </row>
    <row r="19" spans="1:12" ht="15.65" thickBot="1" x14ac:dyDescent="0.35">
      <c r="A19" s="638" t="s">
        <v>2405</v>
      </c>
      <c r="B19" s="626">
        <f>'Table S1.2 (veins data)'!$D$135</f>
        <v>0.373</v>
      </c>
      <c r="C19" s="350">
        <f>ROUND('Table S1.1 (complete_data)'!$D$55,-2)</f>
        <v>32000</v>
      </c>
      <c r="D19" s="351">
        <f>'Table S1.1 (complete_data)'!$D$99</f>
        <v>1.1973299999999999E-2</v>
      </c>
      <c r="E19" s="382">
        <f>$D$19*'Table S1.1 (complete_data)'!$D$17</f>
        <v>0.54424090909090905</v>
      </c>
      <c r="F19" s="1245">
        <f>$E$19/'Table S1.1 (complete_data)'!$D$926</f>
        <v>0.46796294848745401</v>
      </c>
      <c r="G19" s="382">
        <f>$C$19/$C$26*100</f>
        <v>4.1862899005756145</v>
      </c>
      <c r="H19" s="621">
        <f>$D$19/$D$26*100</f>
        <v>4.9125367739891374E-2</v>
      </c>
    </row>
    <row r="20" spans="1:12" x14ac:dyDescent="0.3">
      <c r="A20" s="302"/>
      <c r="B20" s="352"/>
      <c r="C20" s="353"/>
      <c r="D20" s="354"/>
      <c r="E20" s="354"/>
      <c r="F20" s="355"/>
      <c r="G20" s="1094">
        <f>SUM(G5:G19)</f>
        <v>100</v>
      </c>
      <c r="H20" s="1094">
        <f>SUM(H5:H19)</f>
        <v>100.00000000000001</v>
      </c>
    </row>
    <row r="21" spans="1:12" ht="15.65" thickBot="1" x14ac:dyDescent="0.35">
      <c r="A21" s="302"/>
      <c r="B21" s="352"/>
      <c r="C21" s="353"/>
      <c r="D21" s="354"/>
      <c r="E21" s="354"/>
      <c r="F21" s="355"/>
      <c r="G21" s="302"/>
      <c r="H21" s="302"/>
    </row>
    <row r="22" spans="1:12" x14ac:dyDescent="0.3">
      <c r="A22" s="356" t="s">
        <v>1194</v>
      </c>
      <c r="B22" s="352"/>
      <c r="C22" s="357">
        <f>ROUND($C$5+$C$6+$C$7+$C$16+$C$17,-2)</f>
        <v>183100</v>
      </c>
      <c r="D22" s="358">
        <f>$D$5+$D$6+$D$7+$D$16+$D$17</f>
        <v>3.3262683000000002</v>
      </c>
      <c r="E22" s="1155">
        <f>ROUND($D$22*'Table S1.1 (complete_data)'!$D$17, -1)</f>
        <v>150</v>
      </c>
      <c r="F22" s="1155">
        <f>ROUND($E$22/'Table S1.1 (complete_data)'!$D$926, -1)</f>
        <v>130</v>
      </c>
      <c r="G22" s="1155">
        <f>$C$22/$C$26*100</f>
        <v>23.953427524856096</v>
      </c>
      <c r="H22" s="1154">
        <f>$D$22/$D$26*100</f>
        <v>13.647378203088817</v>
      </c>
      <c r="I22" s="402"/>
      <c r="J22" s="402"/>
    </row>
    <row r="23" spans="1:12" x14ac:dyDescent="0.3">
      <c r="A23" s="359" t="s">
        <v>1195</v>
      </c>
      <c r="B23" s="352"/>
      <c r="C23" s="360">
        <f>ROUND($C$8+$C$11+$C$15,-2)</f>
        <v>295300</v>
      </c>
      <c r="D23" s="1023">
        <f>$D$8+$D$11+$D$15</f>
        <v>20.884701</v>
      </c>
      <c r="E23" s="1023">
        <f>ROUND($D$23*'Table S1.1 (complete_data)'!$D$17,-1)</f>
        <v>950</v>
      </c>
      <c r="F23" s="1023">
        <f>ROUND($E$23/'Table S1.1 (complete_data)'!$D$926, -1)</f>
        <v>820</v>
      </c>
      <c r="G23" s="1023">
        <f>$C$23/$C$26*100</f>
        <v>38.631606488749348</v>
      </c>
      <c r="H23" s="1153">
        <f>$D$23/$D$26*100</f>
        <v>85.688040620603928</v>
      </c>
      <c r="J23" s="402"/>
    </row>
    <row r="24" spans="1:12" ht="15.65" thickBot="1" x14ac:dyDescent="0.35">
      <c r="A24" s="361" t="s">
        <v>1196</v>
      </c>
      <c r="B24" s="352"/>
      <c r="C24" s="362">
        <f>ROUND($C$12+$C$13+$C$14+$C$18+$C$19, -2)</f>
        <v>286000</v>
      </c>
      <c r="D24" s="363">
        <f>$D$12+$D$13+$D$14+$D$18+$D$19</f>
        <v>0.16197802</v>
      </c>
      <c r="E24" s="363">
        <f>$D$24*'Table S1.1 (complete_data)'!$D$17</f>
        <v>7.3626372727272722</v>
      </c>
      <c r="F24" s="363">
        <f>$E$24/'Table S1.1 (complete_data)'!$D$926</f>
        <v>6.3307285234112403</v>
      </c>
      <c r="G24" s="1156">
        <f>$C$24/$C$26*100</f>
        <v>37.414965986394563</v>
      </c>
      <c r="H24" s="364">
        <f>$D$24/$D$26*100</f>
        <v>0.66458117630724023</v>
      </c>
      <c r="J24" s="402"/>
    </row>
    <row r="25" spans="1:12" ht="15.65" thickBot="1" x14ac:dyDescent="0.35">
      <c r="A25" s="302"/>
      <c r="B25" s="352"/>
      <c r="C25" s="353"/>
      <c r="D25" s="365"/>
      <c r="E25" s="366"/>
      <c r="F25" s="366"/>
      <c r="J25" s="402"/>
    </row>
    <row r="26" spans="1:12" ht="15.65" thickBot="1" x14ac:dyDescent="0.35">
      <c r="A26" s="367" t="s">
        <v>1197</v>
      </c>
      <c r="B26" s="352"/>
      <c r="C26" s="368">
        <f>ROUND(SUM(C22:C24),-2)</f>
        <v>764400</v>
      </c>
      <c r="D26" s="1135">
        <f>SUM(D5:D19)</f>
        <v>24.372947320000002</v>
      </c>
      <c r="E26" s="1135">
        <f>ROUND($D$26*'Table S1.1 (complete_data)'!$D$17,-2)</f>
        <v>1100</v>
      </c>
      <c r="F26" s="1135">
        <f>ROUND($E$26/'Table S1.1 (complete_data)'!$D$926,-1)</f>
        <v>950</v>
      </c>
      <c r="G26" s="369">
        <f>SUM(G22:G24)</f>
        <v>100</v>
      </c>
      <c r="H26" s="471">
        <f>SUM(H22:H24)</f>
        <v>99.999999999999986</v>
      </c>
      <c r="J26" s="402"/>
    </row>
    <row r="28" spans="1:12" x14ac:dyDescent="0.3">
      <c r="C28" s="402"/>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workbookViewId="0">
      <pane ySplit="1" topLeftCell="A99" activePane="bottomLeft" state="frozen"/>
      <selection pane="bottomLeft" activeCell="D7" sqref="D7"/>
    </sheetView>
  </sheetViews>
  <sheetFormatPr baseColWidth="10" defaultRowHeight="15.05" x14ac:dyDescent="0.3"/>
  <cols>
    <col min="2" max="2" width="75.109375" bestFit="1" customWidth="1"/>
    <col min="3" max="4" width="15.5546875" bestFit="1" customWidth="1"/>
    <col min="5" max="5" width="16.77734375" bestFit="1" customWidth="1"/>
  </cols>
  <sheetData>
    <row r="1" spans="1:8" x14ac:dyDescent="0.3">
      <c r="B1" s="1" t="s">
        <v>1414</v>
      </c>
      <c r="C1" s="1" t="s">
        <v>1539</v>
      </c>
      <c r="D1" s="1" t="s">
        <v>948</v>
      </c>
      <c r="E1" s="1" t="s">
        <v>1540</v>
      </c>
      <c r="F1" s="1" t="s">
        <v>1616</v>
      </c>
      <c r="G1" s="228"/>
    </row>
    <row r="2" spans="1:8" ht="15.65" thickBot="1" x14ac:dyDescent="0.35">
      <c r="B2" s="1"/>
      <c r="C2" s="1"/>
      <c r="D2" s="1"/>
      <c r="E2" s="1"/>
      <c r="F2" s="2"/>
    </row>
    <row r="3" spans="1:8" ht="15.05" customHeight="1" x14ac:dyDescent="0.3">
      <c r="A3" s="1447" t="s">
        <v>1544</v>
      </c>
      <c r="B3" s="482" t="s">
        <v>1415</v>
      </c>
      <c r="C3" s="452">
        <f>'Table S1.1 (complete_data)'!$D$290</f>
        <v>4.9008845396000767E-3</v>
      </c>
      <c r="D3" s="152">
        <f>$C$3*'Table S1.1 (complete_data)'!$D$17</f>
        <v>0.22276747907273076</v>
      </c>
      <c r="E3" s="152">
        <f>$D$3/'Table S1.1 (complete_data)'!D926</f>
        <v>0.19154555380286392</v>
      </c>
      <c r="F3" s="2"/>
    </row>
    <row r="4" spans="1:8" x14ac:dyDescent="0.3">
      <c r="A4" s="1448"/>
      <c r="B4" s="482" t="s">
        <v>1416</v>
      </c>
      <c r="C4" s="452">
        <f>'Table S1.1 (complete_data)'!$D$291</f>
        <v>3.5939819957067232E-3</v>
      </c>
      <c r="D4" s="152">
        <f>$C$4*'Table S1.1 (complete_data)'!$D$17</f>
        <v>0.16336281798666924</v>
      </c>
      <c r="E4" s="152">
        <f>$D$4/'Table S1.1 (complete_data)'!$D$926</f>
        <v>0.14046673945543356</v>
      </c>
      <c r="F4" s="2"/>
    </row>
    <row r="5" spans="1:8" x14ac:dyDescent="0.3">
      <c r="A5" s="1448"/>
      <c r="B5" s="482" t="s">
        <v>1417</v>
      </c>
      <c r="C5" s="66" t="s">
        <v>418</v>
      </c>
      <c r="D5" s="66" t="s">
        <v>418</v>
      </c>
      <c r="E5" s="66" t="s">
        <v>418</v>
      </c>
      <c r="F5" s="2"/>
    </row>
    <row r="6" spans="1:8" x14ac:dyDescent="0.3">
      <c r="A6" s="1448"/>
      <c r="B6" s="476" t="s">
        <v>1418</v>
      </c>
      <c r="C6" s="213">
        <f>'Table S1.1 (complete_data)'!$D$293</f>
        <v>0.12726000000000001</v>
      </c>
      <c r="D6" s="1148">
        <f>$C$6*'Table S1.1 (complete_data)'!$D$17</f>
        <v>5.7845454545454551</v>
      </c>
      <c r="E6" s="1148">
        <f>$D$6/'Table S1.1 (complete_data)'!$D$926</f>
        <v>4.973813804424295</v>
      </c>
      <c r="F6" s="2"/>
    </row>
    <row r="7" spans="1:8" x14ac:dyDescent="0.3">
      <c r="A7" s="1448"/>
      <c r="B7" s="478" t="s">
        <v>1419</v>
      </c>
      <c r="C7" s="333">
        <f>'Table S1.1 (complete_data)'!$D$295</f>
        <v>1.46475</v>
      </c>
      <c r="D7" s="1023">
        <f>$C$7*'Table S1.1 (complete_data)'!$D$17</f>
        <v>66.579545454545453</v>
      </c>
      <c r="E7" s="1023">
        <f>$D$7/'Table S1.1 (complete_data)'!$D$926</f>
        <v>57.248104432111305</v>
      </c>
      <c r="F7" s="2"/>
      <c r="H7" s="1095"/>
    </row>
    <row r="8" spans="1:8" x14ac:dyDescent="0.3">
      <c r="A8" s="1448"/>
      <c r="B8" s="488" t="s">
        <v>539</v>
      </c>
      <c r="C8" s="180">
        <f>'Table S1.1 (complete_data)'!$D$296</f>
        <v>8.3300000000000006E-3</v>
      </c>
      <c r="D8" s="198">
        <f>$C$8*'Table S1.1 (complete_data)'!$D$17</f>
        <v>0.37863636363636366</v>
      </c>
      <c r="E8" s="198">
        <f>$D$8/'Table S1.1 (complete_data)'!$D$926</f>
        <v>0.32556867036660675</v>
      </c>
      <c r="F8" s="2"/>
    </row>
    <row r="9" spans="1:8" x14ac:dyDescent="0.3">
      <c r="A9" s="1448"/>
      <c r="B9" s="519" t="s">
        <v>1532</v>
      </c>
      <c r="C9" s="344">
        <f>'Table S1.1 (complete_data)'!$D$297</f>
        <v>6.9419999999999996E-2</v>
      </c>
      <c r="D9" s="407">
        <f>$C$9*'Table S1.1 (complete_data)'!$D$17</f>
        <v>3.1554545454545453</v>
      </c>
      <c r="E9" s="407">
        <f>$D$9/'Table S1.1 (complete_data)'!$D$926</f>
        <v>2.7132025326350346</v>
      </c>
      <c r="F9" s="2"/>
    </row>
    <row r="10" spans="1:8" x14ac:dyDescent="0.3">
      <c r="A10" s="1448"/>
      <c r="B10" s="472" t="s">
        <v>1533</v>
      </c>
      <c r="C10" s="400" t="s">
        <v>418</v>
      </c>
      <c r="D10" s="375" t="s">
        <v>418</v>
      </c>
      <c r="E10" s="375" t="s">
        <v>418</v>
      </c>
      <c r="F10" s="2"/>
    </row>
    <row r="11" spans="1:8" x14ac:dyDescent="0.3">
      <c r="A11" s="1448"/>
      <c r="B11" s="518" t="s">
        <v>1423</v>
      </c>
      <c r="C11" s="333">
        <f>'Table S1.1 (complete_data)'!$D$299</f>
        <v>0.69601199999999996</v>
      </c>
      <c r="D11" s="1023">
        <f>$C$11*'Table S1.1 (complete_data)'!$D$17</f>
        <v>31.636909090909089</v>
      </c>
      <c r="E11" s="1023">
        <f>$D$11/'Table S1.1 (complete_data)'!$D$926</f>
        <v>27.202845306026731</v>
      </c>
      <c r="F11" s="2"/>
    </row>
    <row r="12" spans="1:8" x14ac:dyDescent="0.3">
      <c r="A12" s="1448"/>
      <c r="B12" s="482" t="s">
        <v>1424</v>
      </c>
      <c r="C12" s="152">
        <f>'Table S1.1 (complete_data)'!$D$300</f>
        <v>1.3617000000000001E-2</v>
      </c>
      <c r="D12" s="332">
        <f>$C$12*'Table S1.1 (complete_data)'!$D$17</f>
        <v>0.61895454545454542</v>
      </c>
      <c r="E12" s="332">
        <f>$D$12/'Table S1.1 (complete_data)'!$D$926</f>
        <v>0.53220511217071831</v>
      </c>
      <c r="F12" s="2"/>
    </row>
    <row r="13" spans="1:8" x14ac:dyDescent="0.3">
      <c r="A13" s="1448"/>
      <c r="B13" s="482" t="s">
        <v>1535</v>
      </c>
      <c r="C13" s="66" t="s">
        <v>418</v>
      </c>
      <c r="D13" s="66" t="s">
        <v>418</v>
      </c>
      <c r="E13" s="66" t="s">
        <v>418</v>
      </c>
      <c r="F13" s="2"/>
    </row>
    <row r="14" spans="1:8" x14ac:dyDescent="0.3">
      <c r="A14" s="1448"/>
      <c r="B14" s="522" t="s">
        <v>1534</v>
      </c>
      <c r="C14" s="80" t="s">
        <v>418</v>
      </c>
      <c r="D14" s="3" t="s">
        <v>418</v>
      </c>
      <c r="E14" s="3" t="s">
        <v>418</v>
      </c>
      <c r="F14" s="2"/>
    </row>
    <row r="15" spans="1:8" ht="15.65" thickBot="1" x14ac:dyDescent="0.35">
      <c r="A15" s="1448"/>
      <c r="B15" s="509"/>
      <c r="C15" s="131"/>
      <c r="D15" s="131"/>
      <c r="E15" s="131"/>
      <c r="F15" s="131"/>
    </row>
    <row r="16" spans="1:8" ht="15.65" thickBot="1" x14ac:dyDescent="0.35">
      <c r="A16" s="1449"/>
      <c r="B16" s="523" t="s">
        <v>1823</v>
      </c>
      <c r="C16" s="290">
        <f>$C$3+$C$4+$C$6+$C$7+$C$8+$C$9+$C$11+$C$12</f>
        <v>2.3878838665353066</v>
      </c>
      <c r="D16" s="1135">
        <f>$C$16*'Table S1.1 (complete_data)'!$D$17</f>
        <v>108.54017575160485</v>
      </c>
      <c r="E16" s="1135">
        <f>$D$16/'Table S1.1 (complete_data)'!$D$926</f>
        <v>93.327752150992993</v>
      </c>
      <c r="F16" s="471">
        <f>$D$16/$D$124*100</f>
        <v>10.082354514564054</v>
      </c>
    </row>
    <row r="17" spans="1:6" ht="15.65" thickBot="1" x14ac:dyDescent="0.35">
      <c r="B17" s="30"/>
      <c r="C17" s="30"/>
      <c r="D17" s="30"/>
      <c r="E17" s="30"/>
      <c r="F17" s="30"/>
    </row>
    <row r="18" spans="1:6" x14ac:dyDescent="0.3">
      <c r="A18" s="1450" t="s">
        <v>1545</v>
      </c>
      <c r="B18" s="482" t="s">
        <v>1425</v>
      </c>
      <c r="C18" s="152">
        <f>'Table S1.1 (complete_data)'!$D$407</f>
        <v>5.1255542917799997E-2</v>
      </c>
      <c r="D18" s="332">
        <f>$C$18*'Table S1.1 (complete_data)'!$D$17</f>
        <v>2.3297974053545452</v>
      </c>
      <c r="E18" s="332">
        <f>$D$18/'Table S1.1 (complete_data)'!$D$926</f>
        <v>2.0032651808723516</v>
      </c>
      <c r="F18" s="2"/>
    </row>
    <row r="19" spans="1:6" x14ac:dyDescent="0.3">
      <c r="A19" s="1451"/>
      <c r="B19" s="482" t="s">
        <v>1426</v>
      </c>
      <c r="C19" s="152">
        <f>'Table S1.1 (complete_data)'!$D$408</f>
        <v>7.7561297748628563E-2</v>
      </c>
      <c r="D19" s="332">
        <f>$C$19*'Table S1.1 (complete_data)'!$D$17</f>
        <v>3.5255135340285708</v>
      </c>
      <c r="E19" s="332">
        <f>$D$19/'Table S1.1 (complete_data)'!$D$926</f>
        <v>3.0313959879867332</v>
      </c>
      <c r="F19" s="2"/>
    </row>
    <row r="20" spans="1:6" x14ac:dyDescent="0.3">
      <c r="A20" s="1451"/>
      <c r="B20" s="482" t="s">
        <v>1427</v>
      </c>
      <c r="C20" s="66" t="s">
        <v>418</v>
      </c>
      <c r="D20" s="66" t="s">
        <v>418</v>
      </c>
      <c r="E20" s="66" t="s">
        <v>418</v>
      </c>
      <c r="F20" s="2"/>
    </row>
    <row r="21" spans="1:6" x14ac:dyDescent="0.3">
      <c r="A21" s="1451"/>
      <c r="B21" s="476" t="s">
        <v>1428</v>
      </c>
      <c r="C21" s="55" t="s">
        <v>418</v>
      </c>
      <c r="D21" s="55" t="s">
        <v>418</v>
      </c>
      <c r="E21" s="55" t="s">
        <v>418</v>
      </c>
      <c r="F21" s="2"/>
    </row>
    <row r="22" spans="1:6" x14ac:dyDescent="0.3">
      <c r="A22" s="1451"/>
      <c r="B22" s="478" t="s">
        <v>1429</v>
      </c>
      <c r="C22" s="333">
        <f>'Table S1.1 (complete_data)'!$D$411</f>
        <v>0.57267817425</v>
      </c>
      <c r="D22" s="333">
        <f>$C$22*'Table S1.1 (complete_data)'!$D$17</f>
        <v>26.030826102272727</v>
      </c>
      <c r="E22" s="333">
        <f>$D$22/'Table S1.1 (complete_data)'!$D$926</f>
        <v>22.382481601266317</v>
      </c>
      <c r="F22" s="2"/>
    </row>
    <row r="23" spans="1:6" x14ac:dyDescent="0.3">
      <c r="A23" s="1451"/>
      <c r="B23" s="488" t="s">
        <v>1430</v>
      </c>
      <c r="C23" s="53" t="s">
        <v>418</v>
      </c>
      <c r="D23" s="53" t="s">
        <v>418</v>
      </c>
      <c r="E23" s="53" t="s">
        <v>418</v>
      </c>
      <c r="F23" s="2"/>
    </row>
    <row r="24" spans="1:6" x14ac:dyDescent="0.3">
      <c r="A24" s="1451"/>
      <c r="B24" s="519" t="s">
        <v>1431</v>
      </c>
      <c r="C24" s="166" t="s">
        <v>418</v>
      </c>
      <c r="D24" s="166" t="s">
        <v>418</v>
      </c>
      <c r="E24" s="166" t="s">
        <v>418</v>
      </c>
      <c r="F24" s="2"/>
    </row>
    <row r="25" spans="1:6" x14ac:dyDescent="0.3">
      <c r="A25" s="1451"/>
      <c r="B25" s="472" t="s">
        <v>1432</v>
      </c>
      <c r="C25" s="375" t="s">
        <v>418</v>
      </c>
      <c r="D25" s="375" t="s">
        <v>418</v>
      </c>
      <c r="E25" s="375" t="s">
        <v>418</v>
      </c>
      <c r="F25" s="2"/>
    </row>
    <row r="26" spans="1:6" x14ac:dyDescent="0.3">
      <c r="A26" s="1451"/>
      <c r="B26" s="478" t="s">
        <v>1433</v>
      </c>
      <c r="C26" s="333">
        <f>'Table S1.1 (complete_data)'!$D$415</f>
        <v>0.16327327451759999</v>
      </c>
      <c r="D26" s="333">
        <f>$C$26*'Table S1.1 (complete_data)'!$D$17</f>
        <v>7.4215124780727262</v>
      </c>
      <c r="E26" s="333">
        <f>$D$26/'Table S1.1 (complete_data)'!$D$926</f>
        <v>6.3813520877667465</v>
      </c>
      <c r="F26" s="2"/>
    </row>
    <row r="27" spans="1:6" x14ac:dyDescent="0.3">
      <c r="A27" s="1451"/>
      <c r="B27" s="482" t="s">
        <v>1435</v>
      </c>
      <c r="C27" s="66" t="s">
        <v>418</v>
      </c>
      <c r="D27" s="66" t="s">
        <v>418</v>
      </c>
      <c r="E27" s="66" t="s">
        <v>418</v>
      </c>
      <c r="F27" s="2"/>
    </row>
    <row r="28" spans="1:6" x14ac:dyDescent="0.3">
      <c r="A28" s="1451"/>
      <c r="B28" s="482" t="s">
        <v>1434</v>
      </c>
      <c r="C28" s="66" t="s">
        <v>418</v>
      </c>
      <c r="D28" s="66" t="s">
        <v>418</v>
      </c>
      <c r="E28" s="66" t="s">
        <v>418</v>
      </c>
      <c r="F28" s="2"/>
    </row>
    <row r="29" spans="1:6" x14ac:dyDescent="0.3">
      <c r="A29" s="1451"/>
      <c r="B29" s="522" t="s">
        <v>1436</v>
      </c>
      <c r="C29" s="3" t="s">
        <v>418</v>
      </c>
      <c r="D29" s="3" t="s">
        <v>418</v>
      </c>
      <c r="E29" s="3" t="s">
        <v>418</v>
      </c>
      <c r="F29" s="2"/>
    </row>
    <row r="30" spans="1:6" ht="15.65" customHeight="1" thickBot="1" x14ac:dyDescent="0.35">
      <c r="A30" s="1451"/>
      <c r="B30" s="509"/>
      <c r="C30" s="131"/>
      <c r="D30" s="131"/>
      <c r="E30" s="131"/>
      <c r="F30" s="131"/>
    </row>
    <row r="31" spans="1:6" ht="15.65" thickBot="1" x14ac:dyDescent="0.35">
      <c r="A31" s="1452"/>
      <c r="B31" s="523" t="s">
        <v>1530</v>
      </c>
      <c r="C31" s="290">
        <f>$C$18+$C$19+$C$22+$C$26</f>
        <v>0.8647682894340285</v>
      </c>
      <c r="D31" s="1135">
        <f>$C$31*'Table S1.1 (complete_data)'!$D$17</f>
        <v>39.307649519728564</v>
      </c>
      <c r="E31" s="1135">
        <f>$D$31/'Table S1.1 (complete_data)'!$D$926</f>
        <v>33.798494857892145</v>
      </c>
      <c r="F31" s="470">
        <f>$D$31/$D$124*100</f>
        <v>3.6513084196501038</v>
      </c>
    </row>
    <row r="32" spans="1:6" ht="15.65" thickBot="1" x14ac:dyDescent="0.35">
      <c r="B32" s="30"/>
      <c r="C32" s="30"/>
      <c r="D32" s="30"/>
      <c r="E32" s="30"/>
      <c r="F32" s="30"/>
    </row>
    <row r="33" spans="1:6" x14ac:dyDescent="0.3">
      <c r="A33" s="1441" t="s">
        <v>325</v>
      </c>
      <c r="B33" s="482" t="s">
        <v>1437</v>
      </c>
      <c r="C33" s="452">
        <f>'Table S1.1 (complete_data)'!$D$477</f>
        <v>1.716542802E-3</v>
      </c>
      <c r="D33" s="152">
        <f>$C$33*'Table S1.1 (complete_data)'!$D$17</f>
        <v>7.8024672818181817E-2</v>
      </c>
      <c r="E33" s="152">
        <f>$D$33/'Table S1.1 (complete_data)'!$D$926</f>
        <v>6.7089142577972327E-2</v>
      </c>
      <c r="F33" s="2"/>
    </row>
    <row r="34" spans="1:6" x14ac:dyDescent="0.3">
      <c r="A34" s="1442"/>
      <c r="B34" s="482" t="s">
        <v>1438</v>
      </c>
      <c r="C34" s="452">
        <f>'Table S1.1 (complete_data)'!$D$478</f>
        <v>2.6804400479999999E-3</v>
      </c>
      <c r="D34" s="152">
        <f>$C$34*'Table S1.1 (complete_data)'!$D$17</f>
        <v>0.12183818399999999</v>
      </c>
      <c r="E34" s="332">
        <f>$D$34/'Table S1.1 (complete_data)'!$D$926</f>
        <v>0.10476198108340497</v>
      </c>
      <c r="F34" s="2"/>
    </row>
    <row r="35" spans="1:6" x14ac:dyDescent="0.3">
      <c r="A35" s="1442"/>
      <c r="B35" s="482" t="s">
        <v>1439</v>
      </c>
      <c r="C35" s="66" t="s">
        <v>418</v>
      </c>
      <c r="D35" s="66" t="s">
        <v>418</v>
      </c>
      <c r="E35" s="66" t="s">
        <v>418</v>
      </c>
      <c r="F35" s="2"/>
    </row>
    <row r="36" spans="1:6" x14ac:dyDescent="0.3">
      <c r="A36" s="1442"/>
      <c r="B36" s="476" t="s">
        <v>1440</v>
      </c>
      <c r="C36" s="55" t="s">
        <v>418</v>
      </c>
      <c r="D36" s="55" t="s">
        <v>418</v>
      </c>
      <c r="E36" s="55" t="s">
        <v>418</v>
      </c>
      <c r="F36" s="2"/>
    </row>
    <row r="37" spans="1:6" x14ac:dyDescent="0.3">
      <c r="A37" s="1442"/>
      <c r="B37" s="478" t="s">
        <v>1441</v>
      </c>
      <c r="C37" s="218">
        <f>'Table S1.1 (complete_data)'!$D$481</f>
        <v>1.9178932499999999E-2</v>
      </c>
      <c r="D37" s="333">
        <f>$C$37*'Table S1.1 (complete_data)'!$D$17</f>
        <v>0.87176965909090898</v>
      </c>
      <c r="E37" s="333">
        <f>$D$37/'Table S1.1 (complete_data)'!$D$926</f>
        <v>0.74958698116157263</v>
      </c>
      <c r="F37" s="2"/>
    </row>
    <row r="38" spans="1:6" x14ac:dyDescent="0.3">
      <c r="A38" s="1442"/>
      <c r="B38" s="488" t="s">
        <v>1442</v>
      </c>
      <c r="C38" s="53" t="s">
        <v>418</v>
      </c>
      <c r="D38" s="53" t="s">
        <v>418</v>
      </c>
      <c r="E38" s="53" t="s">
        <v>418</v>
      </c>
      <c r="F38" s="2"/>
    </row>
    <row r="39" spans="1:6" x14ac:dyDescent="0.3">
      <c r="A39" s="1442"/>
      <c r="B39" s="519" t="s">
        <v>1443</v>
      </c>
      <c r="C39" s="166" t="s">
        <v>418</v>
      </c>
      <c r="D39" s="166" t="s">
        <v>418</v>
      </c>
      <c r="E39" s="166" t="s">
        <v>418</v>
      </c>
      <c r="F39" s="2"/>
    </row>
    <row r="40" spans="1:6" x14ac:dyDescent="0.3">
      <c r="A40" s="1442"/>
      <c r="B40" s="472" t="s">
        <v>1444</v>
      </c>
      <c r="C40" s="375" t="s">
        <v>418</v>
      </c>
      <c r="D40" s="375" t="s">
        <v>418</v>
      </c>
      <c r="E40" s="375" t="s">
        <v>418</v>
      </c>
      <c r="F40" s="2"/>
    </row>
    <row r="41" spans="1:6" x14ac:dyDescent="0.3">
      <c r="A41" s="1442"/>
      <c r="B41" s="478" t="s">
        <v>1445</v>
      </c>
      <c r="C41" s="453">
        <f>'Table S1.1 (complete_data)'!$D$485</f>
        <v>5.4680049839999998E-3</v>
      </c>
      <c r="D41" s="218">
        <f>$C$41*'Table S1.1 (complete_data)'!$D$17</f>
        <v>0.24854568109090908</v>
      </c>
      <c r="E41" s="218">
        <f>$D$41/'Table S1.1 (complete_data)'!$D$926</f>
        <v>0.21371081779097942</v>
      </c>
      <c r="F41" s="2"/>
    </row>
    <row r="42" spans="1:6" x14ac:dyDescent="0.3">
      <c r="A42" s="1442"/>
      <c r="B42" s="482" t="s">
        <v>1446</v>
      </c>
      <c r="C42" s="66" t="s">
        <v>418</v>
      </c>
      <c r="D42" s="66" t="s">
        <v>418</v>
      </c>
      <c r="E42" s="66" t="s">
        <v>418</v>
      </c>
      <c r="F42" s="2"/>
    </row>
    <row r="43" spans="1:6" x14ac:dyDescent="0.3">
      <c r="A43" s="1442"/>
      <c r="B43" s="482" t="s">
        <v>1447</v>
      </c>
      <c r="C43" s="66" t="s">
        <v>418</v>
      </c>
      <c r="D43" s="66" t="s">
        <v>418</v>
      </c>
      <c r="E43" s="66" t="s">
        <v>418</v>
      </c>
      <c r="F43" s="2"/>
    </row>
    <row r="44" spans="1:6" x14ac:dyDescent="0.3">
      <c r="A44" s="1442"/>
      <c r="B44" s="522" t="s">
        <v>1448</v>
      </c>
      <c r="C44" s="3" t="s">
        <v>418</v>
      </c>
      <c r="D44" s="3" t="s">
        <v>418</v>
      </c>
      <c r="E44" s="3" t="s">
        <v>418</v>
      </c>
      <c r="F44" s="2"/>
    </row>
    <row r="45" spans="1:6" ht="15.65" thickBot="1" x14ac:dyDescent="0.35">
      <c r="A45" s="1442"/>
      <c r="B45" s="509"/>
      <c r="C45" s="131"/>
      <c r="D45" s="131"/>
      <c r="E45" s="131"/>
      <c r="F45" s="131"/>
    </row>
    <row r="46" spans="1:6" ht="15.65" thickBot="1" x14ac:dyDescent="0.35">
      <c r="A46" s="1443"/>
      <c r="B46" s="523" t="s">
        <v>1449</v>
      </c>
      <c r="C46" s="339">
        <f>$C$33+$C$34+$C$37+$C$41</f>
        <v>2.9043920333999995E-2</v>
      </c>
      <c r="D46" s="290">
        <f>$C$46*'Table S1.1 (complete_data)'!$D$17</f>
        <v>1.3201781969999997</v>
      </c>
      <c r="E46" s="290">
        <f>$D$46/'Table S1.1 (complete_data)'!$D$926</f>
        <v>1.1351489226139293</v>
      </c>
      <c r="F46" s="370">
        <f>$D$46/$D$124*100</f>
        <v>0.1226320531764495</v>
      </c>
    </row>
    <row r="47" spans="1:6" ht="15.65" thickBot="1" x14ac:dyDescent="0.35">
      <c r="B47" s="30"/>
      <c r="C47" s="30"/>
      <c r="D47" s="30"/>
      <c r="E47" s="30"/>
      <c r="F47" s="30"/>
    </row>
    <row r="48" spans="1:6" x14ac:dyDescent="0.3">
      <c r="A48" s="1441" t="s">
        <v>1546</v>
      </c>
      <c r="B48" s="482" t="s">
        <v>1450</v>
      </c>
      <c r="C48" s="451">
        <f>'Table S1.1 (complete_data)'!$D$544</f>
        <v>1.3463610615000002E-4</v>
      </c>
      <c r="D48" s="452">
        <f>$C$48*'Table S1.1 (complete_data)'!$D$17</f>
        <v>6.1198230068181822E-3</v>
      </c>
      <c r="E48" s="452">
        <f>$D$48/'Table S1.1 (complete_data)'!$D$926</f>
        <v>5.2621006077542406E-3</v>
      </c>
      <c r="F48" s="2"/>
    </row>
    <row r="49" spans="1:6" x14ac:dyDescent="0.3">
      <c r="A49" s="1442"/>
      <c r="B49" s="482" t="s">
        <v>1451</v>
      </c>
      <c r="C49" s="451">
        <f>'Table S1.1 (complete_data)'!$D$545</f>
        <v>2.0373506010000004E-4</v>
      </c>
      <c r="D49" s="452">
        <f>$C$49*'Table S1.1 (complete_data)'!$D$17</f>
        <v>9.2606845500000021E-3</v>
      </c>
      <c r="E49" s="452">
        <f>$D$49/'Table S1.1 (complete_data)'!$D$926</f>
        <v>7.9627554170249373E-3</v>
      </c>
      <c r="F49" s="2"/>
    </row>
    <row r="50" spans="1:6" x14ac:dyDescent="0.3">
      <c r="A50" s="1442"/>
      <c r="B50" s="482" t="s">
        <v>1452</v>
      </c>
      <c r="C50" s="66" t="s">
        <v>418</v>
      </c>
      <c r="D50" s="66" t="s">
        <v>418</v>
      </c>
      <c r="E50" s="66" t="s">
        <v>418</v>
      </c>
      <c r="F50" s="2"/>
    </row>
    <row r="51" spans="1:6" x14ac:dyDescent="0.3">
      <c r="A51" s="1442"/>
      <c r="B51" s="476" t="s">
        <v>1453</v>
      </c>
      <c r="C51" s="55" t="s">
        <v>418</v>
      </c>
      <c r="D51" s="55" t="s">
        <v>418</v>
      </c>
      <c r="E51" s="55" t="s">
        <v>418</v>
      </c>
      <c r="F51" s="2"/>
    </row>
    <row r="52" spans="1:6" x14ac:dyDescent="0.3">
      <c r="A52" s="1442"/>
      <c r="B52" s="478" t="s">
        <v>1454</v>
      </c>
      <c r="C52" s="226">
        <f>'Table S1.1 (complete_data)'!$D$548</f>
        <v>5.2239758999999999E-4</v>
      </c>
      <c r="D52" s="218">
        <f>$C$52*'Table S1.1 (complete_data)'!$D$17</f>
        <v>2.3745344999999998E-2</v>
      </c>
      <c r="E52" s="218">
        <f>$D$52/'Table S1.1 (complete_data)'!$D$926</f>
        <v>2.0417321582115216E-2</v>
      </c>
      <c r="F52" s="2"/>
    </row>
    <row r="53" spans="1:6" x14ac:dyDescent="0.3">
      <c r="A53" s="1442"/>
      <c r="B53" s="488" t="s">
        <v>1455</v>
      </c>
      <c r="C53" s="53" t="s">
        <v>418</v>
      </c>
      <c r="D53" s="53" t="s">
        <v>418</v>
      </c>
      <c r="E53" s="53" t="s">
        <v>418</v>
      </c>
      <c r="F53" s="2"/>
    </row>
    <row r="54" spans="1:6" x14ac:dyDescent="0.3">
      <c r="A54" s="1442"/>
      <c r="B54" s="519" t="s">
        <v>1456</v>
      </c>
      <c r="C54" s="166" t="s">
        <v>418</v>
      </c>
      <c r="D54" s="166" t="s">
        <v>418</v>
      </c>
      <c r="E54" s="166" t="s">
        <v>418</v>
      </c>
      <c r="F54" s="2"/>
    </row>
    <row r="55" spans="1:6" x14ac:dyDescent="0.3">
      <c r="A55" s="1442"/>
      <c r="B55" s="472" t="s">
        <v>1457</v>
      </c>
      <c r="C55" s="375" t="s">
        <v>492</v>
      </c>
      <c r="D55" s="375" t="s">
        <v>492</v>
      </c>
      <c r="E55" s="375" t="s">
        <v>492</v>
      </c>
      <c r="F55" s="2"/>
    </row>
    <row r="56" spans="1:6" x14ac:dyDescent="0.3">
      <c r="A56" s="1442"/>
      <c r="B56" s="478" t="s">
        <v>1458</v>
      </c>
      <c r="C56" s="453">
        <f>'Table S1.1 (complete_data)'!$D$552</f>
        <v>1.1507359500000001E-3</v>
      </c>
      <c r="D56" s="218">
        <f>$C$56*'Table S1.1 (complete_data)'!$D$17</f>
        <v>5.2306179545454544E-2</v>
      </c>
      <c r="E56" s="218">
        <f>$D$56/'Table S1.1 (complete_data)'!$D$926</f>
        <v>4.4975218869694363E-2</v>
      </c>
      <c r="F56" s="2"/>
    </row>
    <row r="57" spans="1:6" x14ac:dyDescent="0.3">
      <c r="A57" s="1442"/>
      <c r="B57" s="482" t="s">
        <v>1459</v>
      </c>
      <c r="C57" s="66" t="s">
        <v>418</v>
      </c>
      <c r="D57" s="66" t="s">
        <v>418</v>
      </c>
      <c r="E57" s="66" t="s">
        <v>418</v>
      </c>
      <c r="F57" s="2"/>
    </row>
    <row r="58" spans="1:6" x14ac:dyDescent="0.3">
      <c r="A58" s="1442"/>
      <c r="B58" s="482" t="s">
        <v>1460</v>
      </c>
      <c r="C58" s="66" t="s">
        <v>418</v>
      </c>
      <c r="D58" s="66" t="s">
        <v>418</v>
      </c>
      <c r="E58" s="66" t="s">
        <v>418</v>
      </c>
      <c r="F58" s="2"/>
    </row>
    <row r="59" spans="1:6" x14ac:dyDescent="0.3">
      <c r="A59" s="1442"/>
      <c r="B59" s="522" t="s">
        <v>1461</v>
      </c>
      <c r="C59" s="3" t="s">
        <v>418</v>
      </c>
      <c r="D59" s="3" t="s">
        <v>418</v>
      </c>
      <c r="E59" s="3" t="s">
        <v>418</v>
      </c>
      <c r="F59" s="2"/>
    </row>
    <row r="60" spans="1:6" ht="15.65" thickBot="1" x14ac:dyDescent="0.35">
      <c r="A60" s="1442"/>
      <c r="B60" s="509"/>
      <c r="C60" s="131"/>
      <c r="D60" s="131"/>
      <c r="E60" s="131"/>
      <c r="F60" s="131"/>
    </row>
    <row r="61" spans="1:6" ht="15.65" thickBot="1" x14ac:dyDescent="0.35">
      <c r="A61" s="1443"/>
      <c r="B61" s="338" t="s">
        <v>1006</v>
      </c>
      <c r="C61" s="458">
        <f>'Table S1.1 (complete_data)'!$D$557</f>
        <v>2.0115047062500002E-3</v>
      </c>
      <c r="D61" s="339">
        <f>C61*'Table S1.1 (complete_data)'!$D$17</f>
        <v>9.1432032102272728E-2</v>
      </c>
      <c r="E61" s="339">
        <f>$D$61/'Table S1.1 (complete_data)'!$D$926</f>
        <v>7.8617396476588761E-2</v>
      </c>
      <c r="F61" s="370">
        <f>$D$61/$D$124*100</f>
        <v>8.4931699737779802E-3</v>
      </c>
    </row>
    <row r="62" spans="1:6" ht="15.65" thickBot="1" x14ac:dyDescent="0.35">
      <c r="B62" s="30"/>
      <c r="C62" s="30"/>
      <c r="D62" s="30"/>
      <c r="E62" s="30"/>
      <c r="F62" s="30"/>
    </row>
    <row r="63" spans="1:6" x14ac:dyDescent="0.3">
      <c r="A63" s="1438" t="s">
        <v>1547</v>
      </c>
      <c r="B63" s="482" t="s">
        <v>1463</v>
      </c>
      <c r="C63" s="152">
        <f>'Table S1.1 (complete_data)'!$D$660</f>
        <v>1.5147404999999999E-2</v>
      </c>
      <c r="D63" s="332">
        <f>$C$63*'Table S1.1 (complete_data)'!$D$17</f>
        <v>0.688518409090909</v>
      </c>
      <c r="E63" s="332">
        <f>$D$63/'Table S1.1 (complete_data)'!$D$926</f>
        <v>0.59201926834987872</v>
      </c>
      <c r="F63" s="2"/>
    </row>
    <row r="64" spans="1:6" x14ac:dyDescent="0.3">
      <c r="A64" s="1439"/>
      <c r="B64" s="482" t="s">
        <v>1464</v>
      </c>
      <c r="C64" s="152">
        <f>'Table S1.1 (complete_data)'!$D$661</f>
        <v>3.6808200000000006E-2</v>
      </c>
      <c r="D64" s="332">
        <f>$C$64*'Table S1.1 (complete_data)'!$D$17</f>
        <v>1.6731000000000003</v>
      </c>
      <c r="E64" s="332">
        <f>$D$64/'Table S1.1 (complete_data)'!$D$926</f>
        <v>1.4386070507308686</v>
      </c>
      <c r="F64" s="2"/>
    </row>
    <row r="65" spans="1:8" x14ac:dyDescent="0.3">
      <c r="A65" s="1439"/>
      <c r="B65" s="482" t="s">
        <v>1465</v>
      </c>
      <c r="C65" s="66" t="s">
        <v>418</v>
      </c>
      <c r="D65" s="66" t="s">
        <v>418</v>
      </c>
      <c r="E65" s="66" t="s">
        <v>418</v>
      </c>
      <c r="F65" s="2"/>
    </row>
    <row r="66" spans="1:8" x14ac:dyDescent="0.3">
      <c r="A66" s="1439"/>
      <c r="B66" s="476" t="s">
        <v>1466</v>
      </c>
      <c r="C66" s="55" t="s">
        <v>418</v>
      </c>
      <c r="D66" s="55" t="s">
        <v>418</v>
      </c>
      <c r="E66" s="55" t="s">
        <v>418</v>
      </c>
      <c r="F66" s="2"/>
    </row>
    <row r="67" spans="1:8" x14ac:dyDescent="0.3">
      <c r="A67" s="1439"/>
      <c r="B67" s="478" t="s">
        <v>1467</v>
      </c>
      <c r="C67" s="333">
        <f>'Table S1.1 (complete_data)'!$D$664</f>
        <v>0.378</v>
      </c>
      <c r="D67" s="1023">
        <f>$C$67*'Table S1.1 (complete_data)'!$D$17</f>
        <v>17.18181818181818</v>
      </c>
      <c r="E67" s="1023">
        <f>$D$67/'Table S1.1 (complete_data)'!$D$926</f>
        <v>14.773704369577111</v>
      </c>
      <c r="F67" s="2"/>
      <c r="H67" s="355"/>
    </row>
    <row r="68" spans="1:8" x14ac:dyDescent="0.3">
      <c r="A68" s="1439"/>
      <c r="B68" s="488" t="s">
        <v>1468</v>
      </c>
      <c r="C68" s="53" t="s">
        <v>418</v>
      </c>
      <c r="D68" s="53" t="s">
        <v>418</v>
      </c>
      <c r="E68" s="53" t="s">
        <v>418</v>
      </c>
      <c r="F68" s="2"/>
    </row>
    <row r="69" spans="1:8" x14ac:dyDescent="0.3">
      <c r="A69" s="1439"/>
      <c r="B69" s="519" t="s">
        <v>1516</v>
      </c>
      <c r="C69" s="166" t="s">
        <v>418</v>
      </c>
      <c r="D69" s="166" t="s">
        <v>418</v>
      </c>
      <c r="E69" s="166" t="s">
        <v>418</v>
      </c>
      <c r="F69" s="2"/>
    </row>
    <row r="70" spans="1:8" x14ac:dyDescent="0.3">
      <c r="A70" s="1439"/>
      <c r="B70" s="472" t="s">
        <v>1469</v>
      </c>
      <c r="C70" s="375" t="s">
        <v>418</v>
      </c>
      <c r="D70" s="375" t="s">
        <v>418</v>
      </c>
      <c r="E70" s="375" t="s">
        <v>418</v>
      </c>
      <c r="F70" s="2"/>
    </row>
    <row r="71" spans="1:8" x14ac:dyDescent="0.3">
      <c r="A71" s="1439"/>
      <c r="B71" s="478" t="s">
        <v>1470</v>
      </c>
      <c r="C71" s="218">
        <f>'Table S1.1 (complete_data)'!$D$668</f>
        <v>5.3884799999999997E-2</v>
      </c>
      <c r="D71" s="333">
        <f>$C$71*'Table S1.1 (complete_data)'!$D$17</f>
        <v>2.4493090909090909</v>
      </c>
      <c r="E71" s="333">
        <f>$D$71/'Table S1.1 (complete_data)'!$D$926</f>
        <v>2.1060267333698115</v>
      </c>
      <c r="F71" s="2"/>
    </row>
    <row r="72" spans="1:8" x14ac:dyDescent="0.3">
      <c r="A72" s="1439"/>
      <c r="B72" s="269" t="s">
        <v>1471</v>
      </c>
      <c r="C72" s="110" t="s">
        <v>418</v>
      </c>
      <c r="D72" s="110" t="s">
        <v>418</v>
      </c>
      <c r="E72" s="110" t="s">
        <v>418</v>
      </c>
      <c r="F72" s="2"/>
    </row>
    <row r="73" spans="1:8" x14ac:dyDescent="0.3">
      <c r="A73" s="1439"/>
      <c r="B73" s="269" t="s">
        <v>1472</v>
      </c>
      <c r="C73" s="110" t="s">
        <v>418</v>
      </c>
      <c r="D73" s="110" t="s">
        <v>418</v>
      </c>
      <c r="E73" s="110" t="s">
        <v>418</v>
      </c>
      <c r="F73" s="2"/>
    </row>
    <row r="74" spans="1:8" x14ac:dyDescent="0.3">
      <c r="A74" s="1439"/>
      <c r="B74" s="522" t="s">
        <v>1473</v>
      </c>
      <c r="C74" s="3" t="s">
        <v>418</v>
      </c>
      <c r="D74" s="3" t="s">
        <v>418</v>
      </c>
      <c r="E74" s="3" t="s">
        <v>418</v>
      </c>
      <c r="F74" s="2"/>
    </row>
    <row r="75" spans="1:8" ht="15.65" thickBot="1" x14ac:dyDescent="0.35">
      <c r="A75" s="1439"/>
      <c r="B75" s="509"/>
      <c r="C75" s="131"/>
      <c r="D75" s="131"/>
      <c r="E75" s="131"/>
      <c r="F75" s="131"/>
    </row>
    <row r="76" spans="1:8" ht="15.65" thickBot="1" x14ac:dyDescent="0.35">
      <c r="A76" s="1440"/>
      <c r="B76" s="338" t="s">
        <v>1827</v>
      </c>
      <c r="C76" s="290">
        <f>'Table S1.1 (complete_data)'!$D$673</f>
        <v>0.48384040500000003</v>
      </c>
      <c r="D76" s="1135">
        <f>$C$76*'Table S1.1 (complete_data)'!$D$17</f>
        <v>21.992745681818182</v>
      </c>
      <c r="E76" s="1135">
        <f>$D$76/'Table S1.1 (complete_data)'!$D$926</f>
        <v>18.910357422027669</v>
      </c>
      <c r="F76" s="470">
        <f>$D$76/$D$124*100</f>
        <v>2.0429178152446474</v>
      </c>
    </row>
    <row r="77" spans="1:8" ht="15.65" thickBot="1" x14ac:dyDescent="0.35">
      <c r="B77" s="30"/>
      <c r="C77" s="30"/>
      <c r="D77" s="30"/>
      <c r="E77" s="30"/>
      <c r="F77" s="30"/>
    </row>
    <row r="78" spans="1:8" x14ac:dyDescent="0.3">
      <c r="A78" s="1441" t="s">
        <v>1548</v>
      </c>
      <c r="B78" s="269" t="s">
        <v>1474</v>
      </c>
      <c r="C78" s="463">
        <f>'Table S1.1 (complete_data)'!D759</f>
        <v>1.6965000000000001E-3</v>
      </c>
      <c r="D78" s="259">
        <f>$C$78*'Table S1.1 (complete_data)'!$D$17</f>
        <v>7.711363636363637E-2</v>
      </c>
      <c r="E78" s="259">
        <f>$D$78/'Table S1.1 (complete_data)'!$D$926</f>
        <v>6.6305792230125851E-2</v>
      </c>
      <c r="F78" s="2"/>
    </row>
    <row r="79" spans="1:8" x14ac:dyDescent="0.3">
      <c r="A79" s="1442"/>
      <c r="B79" s="269" t="s">
        <v>1475</v>
      </c>
      <c r="C79" s="463">
        <f>'Table S1.1 (complete_data)'!D760</f>
        <v>1.2440999999999999E-3</v>
      </c>
      <c r="D79" s="259">
        <f>$C$79*'Table S1.1 (complete_data)'!$D$17</f>
        <v>5.6549999999999996E-2</v>
      </c>
      <c r="E79" s="259">
        <f>$D$79/'Table S1.1 (complete_data)'!$D$926</f>
        <v>4.8624247635425617E-2</v>
      </c>
      <c r="F79" s="2"/>
    </row>
    <row r="80" spans="1:8" x14ac:dyDescent="0.3">
      <c r="A80" s="1442"/>
      <c r="B80" s="269" t="s">
        <v>1476</v>
      </c>
      <c r="C80" s="455">
        <f>'Table S1.1 (complete_data)'!D761</f>
        <v>4.176E-5</v>
      </c>
      <c r="D80" s="463">
        <f>$C$80*'Table S1.1 (complete_data)'!$D$17</f>
        <v>1.8981818181818182E-3</v>
      </c>
      <c r="E80" s="463">
        <f>$D$80/'Table S1.1 (complete_data)'!$D$926</f>
        <v>1.6321425779723285E-3</v>
      </c>
      <c r="F80" s="2"/>
    </row>
    <row r="81" spans="1:6" x14ac:dyDescent="0.3">
      <c r="A81" s="1442"/>
      <c r="B81" s="476" t="s">
        <v>1477</v>
      </c>
      <c r="C81" s="460">
        <f>'Table S1.1 (complete_data)'!D762</f>
        <v>8.5585499999999998E-3</v>
      </c>
      <c r="D81" s="1148">
        <f>$C$81*'Table S1.1 (complete_data)'!$D$17</f>
        <v>0.38902499999999995</v>
      </c>
      <c r="E81" s="1148">
        <f>$D$81/'Table S1.1 (complete_data)'!$D$926</f>
        <v>0.33450128976784171</v>
      </c>
      <c r="F81" s="2"/>
    </row>
    <row r="82" spans="1:6" x14ac:dyDescent="0.3">
      <c r="A82" s="1442"/>
      <c r="B82" s="478" t="s">
        <v>1478</v>
      </c>
      <c r="C82" s="218">
        <f>'Table S1.1 (complete_data)'!D763</f>
        <v>2.1396374999999999E-2</v>
      </c>
      <c r="D82" s="333">
        <f>$C$82*'Table S1.1 (complete_data)'!$D$17</f>
        <v>0.97256249999999989</v>
      </c>
      <c r="E82" s="333">
        <f>$D$82/'Table S1.1 (complete_data)'!$D$926</f>
        <v>0.83625322441960437</v>
      </c>
      <c r="F82" s="2"/>
    </row>
    <row r="83" spans="1:6" x14ac:dyDescent="0.3">
      <c r="A83" s="1442"/>
      <c r="B83" s="488" t="s">
        <v>1517</v>
      </c>
      <c r="C83" s="180">
        <f>'Table S1.1 (complete_data)'!D764</f>
        <v>3.2070425005395805E-3</v>
      </c>
      <c r="D83" s="194">
        <f>$C$83*'Table S1.1 (complete_data)'!$D$17</f>
        <v>0.14577465911543547</v>
      </c>
      <c r="E83" s="194">
        <f>$D$83/'Table S1.1 (complete_data)'!$D$926</f>
        <v>0.12534364498317752</v>
      </c>
      <c r="F83" s="2"/>
    </row>
    <row r="84" spans="1:6" x14ac:dyDescent="0.3">
      <c r="A84" s="1442"/>
      <c r="B84" s="519" t="s">
        <v>1518</v>
      </c>
      <c r="C84" s="166" t="s">
        <v>418</v>
      </c>
      <c r="D84" s="166" t="s">
        <v>418</v>
      </c>
      <c r="E84" s="166" t="s">
        <v>418</v>
      </c>
      <c r="F84" s="2"/>
    </row>
    <row r="85" spans="1:6" x14ac:dyDescent="0.3">
      <c r="A85" s="1442"/>
      <c r="B85" s="472" t="s">
        <v>1479</v>
      </c>
      <c r="C85" s="375" t="s">
        <v>492</v>
      </c>
      <c r="D85" s="375" t="s">
        <v>492</v>
      </c>
      <c r="E85" s="375" t="s">
        <v>492</v>
      </c>
      <c r="F85" s="2"/>
    </row>
    <row r="86" spans="1:6" x14ac:dyDescent="0.3">
      <c r="A86" s="1442"/>
      <c r="B86" s="478" t="s">
        <v>1480</v>
      </c>
      <c r="C86" s="218">
        <f>'Table S1.1 (complete_data)'!D767</f>
        <v>1.0167014E-2</v>
      </c>
      <c r="D86" s="333">
        <f>$C$86*'Table S1.1 (complete_data)'!$D$17</f>
        <v>0.46213700000000002</v>
      </c>
      <c r="E86" s="333">
        <f>$D$86/'Table S1.1 (complete_data)'!$D$926</f>
        <v>0.39736629406706792</v>
      </c>
      <c r="F86" s="2"/>
    </row>
    <row r="87" spans="1:6" x14ac:dyDescent="0.3">
      <c r="A87" s="1442"/>
      <c r="B87" s="482" t="s">
        <v>1481</v>
      </c>
      <c r="C87" s="452">
        <f>'Table S1.1 (complete_data)'!D768</f>
        <v>5.242532740677968E-3</v>
      </c>
      <c r="D87" s="152">
        <f>$C$87*'Table S1.1 (complete_data)'!$D$17</f>
        <v>0.23829694275808944</v>
      </c>
      <c r="E87" s="332">
        <f>$D$87/'Table S1.1 (complete_data)'!$D$926</f>
        <v>0.20489848904392899</v>
      </c>
      <c r="F87" s="2"/>
    </row>
    <row r="88" spans="1:6" x14ac:dyDescent="0.3">
      <c r="A88" s="1442"/>
      <c r="B88" s="482" t="s">
        <v>1482</v>
      </c>
      <c r="C88" s="111">
        <f>'Table S1.1 (complete_data)'!D769</f>
        <v>1.5E-5</v>
      </c>
      <c r="D88" s="452">
        <f>$C$88*'Table S1.1 (complete_data)'!$D$17</f>
        <v>6.8181818181818176E-4</v>
      </c>
      <c r="E88" s="452">
        <f>$D$88/'Table S1.1 (complete_data)'!$D$926</f>
        <v>5.8625810990385358E-4</v>
      </c>
      <c r="F88" s="2"/>
    </row>
    <row r="89" spans="1:6" x14ac:dyDescent="0.3">
      <c r="A89" s="1442"/>
      <c r="B89" s="522" t="s">
        <v>1483</v>
      </c>
      <c r="C89" s="3" t="s">
        <v>418</v>
      </c>
      <c r="D89" s="3" t="s">
        <v>418</v>
      </c>
      <c r="E89" s="3" t="s">
        <v>418</v>
      </c>
      <c r="F89" s="2"/>
    </row>
    <row r="90" spans="1:6" ht="15.65" thickBot="1" x14ac:dyDescent="0.35">
      <c r="A90" s="1442"/>
      <c r="B90" s="509"/>
      <c r="C90" s="131"/>
      <c r="D90" s="374"/>
      <c r="E90" s="131"/>
      <c r="F90" s="131"/>
    </row>
    <row r="91" spans="1:6" ht="15.65" thickBot="1" x14ac:dyDescent="0.35">
      <c r="A91" s="1443"/>
      <c r="B91" s="338" t="s">
        <v>1826</v>
      </c>
      <c r="C91" s="339">
        <f>$C$78+$C$79+$C$82+$C$86</f>
        <v>3.4503988999999999E-2</v>
      </c>
      <c r="D91" s="290">
        <f>$C$91*'Table S1.1 (complete_data)'!$D$17</f>
        <v>1.5683631363636363</v>
      </c>
      <c r="E91" s="290">
        <f>$D$91/'Table S1.1 (complete_data)'!$D$926</f>
        <v>1.3485495583522238</v>
      </c>
      <c r="F91" s="370">
        <f>$D$91/$D$124*100</f>
        <v>0.14568608387533355</v>
      </c>
    </row>
    <row r="92" spans="1:6" ht="15.65" thickBot="1" x14ac:dyDescent="0.35">
      <c r="B92" s="30"/>
      <c r="C92" s="30"/>
      <c r="D92" s="155"/>
      <c r="E92" s="30"/>
      <c r="F92" s="30"/>
    </row>
    <row r="93" spans="1:6" x14ac:dyDescent="0.3">
      <c r="A93" s="1444" t="s">
        <v>1549</v>
      </c>
      <c r="B93" s="486" t="s">
        <v>1519</v>
      </c>
      <c r="C93" s="450">
        <f>'Table S1.1 (complete_data)'!D832</f>
        <v>5.3644499999999998E-4</v>
      </c>
      <c r="D93" s="152">
        <f>$C$93*'Table S1.1 (complete_data)'!$D$17</f>
        <v>2.4383863636363634E-2</v>
      </c>
      <c r="E93" s="152">
        <f>$D$93/'Table S1.1 (complete_data)'!$D$926</f>
        <v>2.0966348784491516E-2</v>
      </c>
      <c r="F93" s="2"/>
    </row>
    <row r="94" spans="1:6" x14ac:dyDescent="0.3">
      <c r="A94" s="1445"/>
      <c r="B94" s="486" t="s">
        <v>1520</v>
      </c>
      <c r="C94" s="450">
        <f>'Table S1.1 (complete_data)'!D833</f>
        <v>3.9339299999999997E-4</v>
      </c>
      <c r="D94" s="152">
        <f>$C$94*'Table S1.1 (complete_data)'!$D$17</f>
        <v>1.7881499999999998E-2</v>
      </c>
      <c r="E94" s="452">
        <f>$D$94/'Table S1.1 (complete_data)'!$D$926</f>
        <v>1.5375322441960444E-2</v>
      </c>
      <c r="F94" s="2"/>
    </row>
    <row r="95" spans="1:6" x14ac:dyDescent="0.3">
      <c r="A95" s="1445"/>
      <c r="B95" s="486" t="s">
        <v>1521</v>
      </c>
      <c r="C95" s="65" t="s">
        <v>418</v>
      </c>
      <c r="D95" s="65" t="s">
        <v>418</v>
      </c>
      <c r="E95" s="65" t="s">
        <v>418</v>
      </c>
      <c r="F95" s="2"/>
    </row>
    <row r="96" spans="1:6" x14ac:dyDescent="0.3">
      <c r="A96" s="1445"/>
      <c r="B96" s="524" t="s">
        <v>1522</v>
      </c>
      <c r="C96" s="55" t="s">
        <v>418</v>
      </c>
      <c r="D96" s="55" t="s">
        <v>418</v>
      </c>
      <c r="E96" s="55" t="s">
        <v>418</v>
      </c>
      <c r="F96" s="2"/>
    </row>
    <row r="97" spans="1:6" x14ac:dyDescent="0.3">
      <c r="A97" s="1445"/>
      <c r="B97" s="478" t="s">
        <v>588</v>
      </c>
      <c r="C97" s="453">
        <f>'Table S1.1 (complete_data)'!D836</f>
        <v>1.3230000000000004E-2</v>
      </c>
      <c r="D97" s="333">
        <f>$C$97*'Table S1.1 (complete_data)'!$D$17</f>
        <v>0.60136363636363654</v>
      </c>
      <c r="E97" s="333">
        <f>$D$97/'Table S1.1 (complete_data)'!$D$926</f>
        <v>0.51707965293519909</v>
      </c>
      <c r="F97" s="2"/>
    </row>
    <row r="98" spans="1:6" x14ac:dyDescent="0.3">
      <c r="A98" s="1445"/>
      <c r="B98" s="502" t="s">
        <v>1524</v>
      </c>
      <c r="C98" s="53" t="s">
        <v>418</v>
      </c>
      <c r="D98" s="53" t="s">
        <v>418</v>
      </c>
      <c r="E98" s="53" t="s">
        <v>418</v>
      </c>
      <c r="F98" s="2"/>
    </row>
    <row r="99" spans="1:6" x14ac:dyDescent="0.3">
      <c r="A99" s="1445"/>
      <c r="B99" s="503" t="s">
        <v>1525</v>
      </c>
      <c r="C99" s="166" t="s">
        <v>418</v>
      </c>
      <c r="D99" s="166" t="s">
        <v>418</v>
      </c>
      <c r="E99" s="166" t="s">
        <v>418</v>
      </c>
      <c r="F99" s="2"/>
    </row>
    <row r="100" spans="1:6" x14ac:dyDescent="0.3">
      <c r="A100" s="1445"/>
      <c r="B100" s="504" t="s">
        <v>1526</v>
      </c>
      <c r="C100" s="375" t="s">
        <v>492</v>
      </c>
      <c r="D100" s="375" t="s">
        <v>492</v>
      </c>
      <c r="E100" s="375" t="s">
        <v>492</v>
      </c>
      <c r="F100" s="2"/>
    </row>
    <row r="101" spans="1:6" x14ac:dyDescent="0.3">
      <c r="A101" s="1445"/>
      <c r="B101" s="478" t="s">
        <v>589</v>
      </c>
      <c r="C101" s="453">
        <f>'Table S1.1 (complete_data)'!D840</f>
        <v>6.2865600000000009E-3</v>
      </c>
      <c r="D101" s="218">
        <f>$C$101*'Table S1.1 (complete_data)'!$D$17</f>
        <v>0.28575272727272732</v>
      </c>
      <c r="E101" s="218">
        <f>$D$101/'Table S1.1 (complete_data)'!$D$926</f>
        <v>0.24570311889314472</v>
      </c>
      <c r="F101" s="2"/>
    </row>
    <row r="102" spans="1:6" x14ac:dyDescent="0.3">
      <c r="A102" s="1445"/>
      <c r="B102" s="501" t="s">
        <v>1527</v>
      </c>
      <c r="C102" s="110" t="s">
        <v>418</v>
      </c>
      <c r="D102" s="110" t="s">
        <v>418</v>
      </c>
      <c r="E102" s="110" t="s">
        <v>418</v>
      </c>
      <c r="F102" s="2"/>
    </row>
    <row r="103" spans="1:6" x14ac:dyDescent="0.3">
      <c r="A103" s="1445"/>
      <c r="B103" s="501" t="s">
        <v>1528</v>
      </c>
      <c r="C103" s="110" t="s">
        <v>418</v>
      </c>
      <c r="D103" s="110" t="s">
        <v>418</v>
      </c>
      <c r="E103" s="110" t="s">
        <v>418</v>
      </c>
      <c r="F103" s="2"/>
    </row>
    <row r="104" spans="1:6" x14ac:dyDescent="0.3">
      <c r="A104" s="1445"/>
      <c r="B104" s="487" t="s">
        <v>1529</v>
      </c>
      <c r="C104" s="52" t="s">
        <v>418</v>
      </c>
      <c r="D104" s="52" t="s">
        <v>418</v>
      </c>
      <c r="E104" s="52" t="s">
        <v>418</v>
      </c>
      <c r="F104" s="2"/>
    </row>
    <row r="105" spans="1:6" ht="15.65" thickBot="1" x14ac:dyDescent="0.35">
      <c r="A105" s="1445"/>
      <c r="B105" s="509"/>
      <c r="C105" s="131"/>
      <c r="D105" s="131"/>
      <c r="E105" s="131"/>
      <c r="F105" s="131"/>
    </row>
    <row r="106" spans="1:6" ht="15.65" thickBot="1" x14ac:dyDescent="0.35">
      <c r="A106" s="1446"/>
      <c r="B106" s="597" t="s">
        <v>1825</v>
      </c>
      <c r="C106" s="339">
        <f>C93+C94+C97+C101</f>
        <v>2.0446398000000005E-2</v>
      </c>
      <c r="D106" s="290">
        <f>$C$106*'Table S1.1 (complete_data)'!$D$17</f>
        <v>0.9293817272727275</v>
      </c>
      <c r="E106" s="290">
        <f>$D$106/'Table S1.1 (complete_data)'!$D$926</f>
        <v>0.7991244430547958</v>
      </c>
      <c r="F106" s="370">
        <f>$D$106/$D$124*100</f>
        <v>8.6330761755588681E-2</v>
      </c>
    </row>
    <row r="107" spans="1:6" x14ac:dyDescent="0.3">
      <c r="B107" s="30"/>
      <c r="C107" s="30"/>
      <c r="D107" s="30"/>
      <c r="E107" s="30"/>
      <c r="F107" s="30"/>
    </row>
    <row r="108" spans="1:6" ht="15.65" thickBot="1" x14ac:dyDescent="0.35">
      <c r="B108" s="2"/>
      <c r="C108" s="2"/>
      <c r="D108" s="2"/>
      <c r="E108" s="2"/>
      <c r="F108" s="2"/>
    </row>
    <row r="109" spans="1:6" x14ac:dyDescent="0.3">
      <c r="A109" s="1441" t="s">
        <v>1550</v>
      </c>
      <c r="B109" s="482" t="s">
        <v>590</v>
      </c>
      <c r="C109" s="332">
        <f>'Table S1.1 (complete_data)'!D894</f>
        <v>1.0302250254604</v>
      </c>
      <c r="D109" s="332">
        <f>$C$109*'Table S1.1 (complete_data)'!$D$17</f>
        <v>46.828410248199994</v>
      </c>
      <c r="E109" s="332">
        <f>$D$109/'Table S1.1 (complete_data)'!$D$926</f>
        <v>40.26518508013757</v>
      </c>
      <c r="F109" s="2"/>
    </row>
    <row r="110" spans="1:6" x14ac:dyDescent="0.3">
      <c r="A110" s="1442"/>
      <c r="B110" s="482" t="s">
        <v>591</v>
      </c>
      <c r="C110" s="332">
        <f>'Table S1.1 (complete_data)'!D895</f>
        <v>1.5493186650042932</v>
      </c>
      <c r="D110" s="332">
        <f>$C$110*'Table S1.1 (complete_data)'!$D$17</f>
        <v>70.423575682013322</v>
      </c>
      <c r="E110" s="332">
        <f>$D$110/'Table S1.1 (complete_data)'!$D$926</f>
        <v>60.553375478945242</v>
      </c>
      <c r="F110" s="2"/>
    </row>
    <row r="111" spans="1:6" x14ac:dyDescent="0.3">
      <c r="A111" s="1442"/>
      <c r="B111" s="482" t="s">
        <v>592</v>
      </c>
      <c r="C111" s="66" t="s">
        <v>418</v>
      </c>
      <c r="D111" s="66" t="s">
        <v>418</v>
      </c>
      <c r="E111" s="66" t="s">
        <v>418</v>
      </c>
      <c r="F111" s="2"/>
    </row>
    <row r="112" spans="1:6" x14ac:dyDescent="0.3">
      <c r="A112" s="1442"/>
      <c r="B112" s="524" t="s">
        <v>593</v>
      </c>
      <c r="C112" s="55" t="s">
        <v>418</v>
      </c>
      <c r="D112" s="55" t="s">
        <v>418</v>
      </c>
      <c r="E112" s="55" t="s">
        <v>418</v>
      </c>
      <c r="F112" s="2"/>
    </row>
    <row r="113" spans="1:8" x14ac:dyDescent="0.3">
      <c r="A113" s="1442"/>
      <c r="B113" s="478" t="s">
        <v>594</v>
      </c>
      <c r="C113" s="1023">
        <f>'Table S1.1 (complete_data)'!D898</f>
        <v>13.278848624999998</v>
      </c>
      <c r="D113" s="1023">
        <f>$C$113*'Table S1.1 (complete_data)'!$D$17</f>
        <v>603.58402840909082</v>
      </c>
      <c r="E113" s="1023">
        <f>$D$113/'Table S1.1 (complete_data)'!$D$926</f>
        <v>518.98884643945894</v>
      </c>
      <c r="F113" s="2"/>
      <c r="H113" s="1096"/>
    </row>
    <row r="114" spans="1:8" x14ac:dyDescent="0.3">
      <c r="A114" s="1442"/>
      <c r="B114" s="488" t="s">
        <v>1420</v>
      </c>
      <c r="C114" s="53" t="s">
        <v>418</v>
      </c>
      <c r="D114" s="53" t="s">
        <v>418</v>
      </c>
      <c r="E114" s="53" t="s">
        <v>418</v>
      </c>
      <c r="F114" s="2"/>
    </row>
    <row r="115" spans="1:8" x14ac:dyDescent="0.3">
      <c r="A115" s="1442"/>
      <c r="B115" s="519" t="s">
        <v>1421</v>
      </c>
      <c r="C115" s="166" t="s">
        <v>418</v>
      </c>
      <c r="D115" s="166" t="s">
        <v>418</v>
      </c>
      <c r="E115" s="166" t="s">
        <v>418</v>
      </c>
      <c r="F115" s="2"/>
    </row>
    <row r="116" spans="1:8" x14ac:dyDescent="0.3">
      <c r="A116" s="1442"/>
      <c r="B116" s="472" t="s">
        <v>1422</v>
      </c>
      <c r="C116" s="375" t="s">
        <v>418</v>
      </c>
      <c r="D116" s="375" t="s">
        <v>418</v>
      </c>
      <c r="E116" s="375" t="s">
        <v>418</v>
      </c>
      <c r="F116" s="2"/>
    </row>
    <row r="117" spans="1:8" x14ac:dyDescent="0.3">
      <c r="A117" s="1442"/>
      <c r="B117" s="478" t="s">
        <v>595</v>
      </c>
      <c r="C117" s="333">
        <f>'Table S1.1 (complete_data)'!D902</f>
        <v>3.5547615459999995</v>
      </c>
      <c r="D117" s="1023">
        <f>$C$117*'Table S1.1 (complete_data)'!$D$17</f>
        <v>161.58007027272726</v>
      </c>
      <c r="E117" s="1023">
        <f>$D$117/'Table S1.1 (complete_data)'!$D$926</f>
        <v>138.93385234112404</v>
      </c>
      <c r="F117" s="2"/>
    </row>
    <row r="118" spans="1:8" x14ac:dyDescent="0.3">
      <c r="A118" s="1442"/>
      <c r="B118" s="482" t="s">
        <v>596</v>
      </c>
      <c r="C118" s="332">
        <f>'Table S1.1 (complete_data)'!D903</f>
        <v>0.40799999999999997</v>
      </c>
      <c r="D118" s="332">
        <f>$C$118*'Table S1.1 (complete_data)'!$D$17</f>
        <v>18.545454545454543</v>
      </c>
      <c r="E118" s="332">
        <f>$D$118/'Table S1.1 (complete_data)'!$D$926</f>
        <v>15.946220589384817</v>
      </c>
      <c r="F118" s="2"/>
    </row>
    <row r="119" spans="1:8" x14ac:dyDescent="0.3">
      <c r="A119" s="1442"/>
      <c r="B119" s="482" t="s">
        <v>597</v>
      </c>
      <c r="C119" s="152">
        <f>'Table S1.1 (complete_data)'!D904</f>
        <v>4.0139712000000001E-2</v>
      </c>
      <c r="D119" s="332">
        <f>$C$119*'Table S1.1 (complete_data)'!$D$17</f>
        <v>1.8245323636363637</v>
      </c>
      <c r="E119" s="332">
        <f>$D$119/'Table S1.1 (complete_data)'!$D$926</f>
        <v>1.5688154459470023</v>
      </c>
      <c r="F119" s="2"/>
    </row>
    <row r="120" spans="1:8" x14ac:dyDescent="0.3">
      <c r="A120" s="1442"/>
      <c r="B120" s="522" t="s">
        <v>1484</v>
      </c>
      <c r="C120" s="3" t="s">
        <v>418</v>
      </c>
      <c r="D120" s="3" t="s">
        <v>418</v>
      </c>
      <c r="E120" s="3" t="s">
        <v>418</v>
      </c>
      <c r="F120" s="2"/>
    </row>
    <row r="121" spans="1:8" ht="15.65" thickBot="1" x14ac:dyDescent="0.35">
      <c r="A121" s="1442"/>
      <c r="B121" s="509"/>
      <c r="C121" s="131"/>
      <c r="D121" s="131"/>
      <c r="E121" s="131"/>
      <c r="F121" s="131"/>
    </row>
    <row r="122" spans="1:8" ht="15.65" thickBot="1" x14ac:dyDescent="0.35">
      <c r="A122" s="1443"/>
      <c r="B122" s="338" t="s">
        <v>1824</v>
      </c>
      <c r="C122" s="1135">
        <f>'Table S1.1 (complete_data)'!$D$907</f>
        <v>19.861293573464689</v>
      </c>
      <c r="D122" s="1135">
        <f>$C$122*'Table S1.1 (complete_data)'!$D$17</f>
        <v>902.78607152112215</v>
      </c>
      <c r="E122" s="1135">
        <f>$D$122/'Table S1.1 (complete_data)'!$D$926</f>
        <v>776.25629537499753</v>
      </c>
      <c r="F122" s="471">
        <f>$D$122/$D$124*100</f>
        <v>83.86027718176004</v>
      </c>
    </row>
    <row r="123" spans="1:8" ht="15.65" thickBot="1" x14ac:dyDescent="0.35">
      <c r="B123" s="485"/>
      <c r="C123" s="485"/>
      <c r="D123" s="485"/>
      <c r="E123" s="485"/>
      <c r="F123" s="485"/>
    </row>
    <row r="124" spans="1:8" ht="15.65" thickBot="1" x14ac:dyDescent="0.35">
      <c r="A124" s="367" t="s">
        <v>1543</v>
      </c>
      <c r="B124" s="338" t="s">
        <v>1831</v>
      </c>
      <c r="C124" s="290">
        <f>C16+C31+C46+C61+C76+C91+C106+C122</f>
        <v>23.683791946474273</v>
      </c>
      <c r="D124" s="1135">
        <f>$C$124*'Table S1.1 (complete_data)'!$D$17</f>
        <v>1076.5359975670124</v>
      </c>
      <c r="E124" s="1135">
        <f>$D$124/'Table S1.1 (complete_data)'!$D$926</f>
        <v>925.65434012640787</v>
      </c>
      <c r="F124" s="471">
        <f>F16+F31+F46+F61+F76+F91+F106+F122</f>
        <v>100</v>
      </c>
    </row>
  </sheetData>
  <mergeCells count="8">
    <mergeCell ref="A63:A76"/>
    <mergeCell ref="A78:A91"/>
    <mergeCell ref="A93:A106"/>
    <mergeCell ref="A109:A122"/>
    <mergeCell ref="A3:A16"/>
    <mergeCell ref="A18:A31"/>
    <mergeCell ref="A33:A46"/>
    <mergeCell ref="A48:A6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20" sqref="C20"/>
    </sheetView>
  </sheetViews>
  <sheetFormatPr baseColWidth="10" defaultRowHeight="15.05" x14ac:dyDescent="0.3"/>
  <cols>
    <col min="1" max="1" width="72.44140625" bestFit="1" customWidth="1"/>
    <col min="2" max="2" width="15.44140625" bestFit="1" customWidth="1"/>
    <col min="4" max="4" width="16.77734375" bestFit="1" customWidth="1"/>
  </cols>
  <sheetData>
    <row r="1" spans="1:5" s="302" customFormat="1" ht="30.7" thickBot="1" x14ac:dyDescent="0.35">
      <c r="A1" s="1085" t="s">
        <v>2401</v>
      </c>
    </row>
    <row r="2" spans="1:5" s="302" customFormat="1" ht="15.65" thickBot="1" x14ac:dyDescent="0.35">
      <c r="A2" s="1084"/>
      <c r="B2" s="137" t="s">
        <v>1539</v>
      </c>
      <c r="C2" s="369" t="s">
        <v>948</v>
      </c>
      <c r="D2" s="369" t="s">
        <v>1540</v>
      </c>
      <c r="E2" s="1080" t="s">
        <v>4</v>
      </c>
    </row>
    <row r="3" spans="1:5" s="302" customFormat="1" x14ac:dyDescent="0.3">
      <c r="A3" s="604" t="s">
        <v>1830</v>
      </c>
      <c r="B3" s="1090">
        <f>'Table S1.8 Subcell'!$C$3+'Table S1.8 Subcell'!$C$4+'Table S1.8 Subcell'!$C$7+'Table S1.8 Subcell'!$C$11</f>
        <v>2.1692568665353069</v>
      </c>
      <c r="C3" s="1137">
        <f>B3*'Table S1.1 (complete_data)'!D17</f>
        <v>98.602584842513949</v>
      </c>
      <c r="D3" s="1137">
        <f>$C$3/'Table S1.1 (complete_data)'!$D$926</f>
        <v>84.782962031396337</v>
      </c>
      <c r="E3" s="1136">
        <f>$B$3/$B$12*100</f>
        <v>9.4245752630372621</v>
      </c>
    </row>
    <row r="4" spans="1:5" s="302" customFormat="1" x14ac:dyDescent="0.3">
      <c r="A4" s="605" t="s">
        <v>1829</v>
      </c>
      <c r="B4" s="1146">
        <f>'Table S1.8 Subcell'!$C$18+'Table S1.8 Subcell'!$C$19+'Table S1.8 Subcell'!$C$22+'Table S1.8 Subcell'!$C$26</f>
        <v>0.8647682894340285</v>
      </c>
      <c r="C4" s="377">
        <f>$B$4*'Table S1.1 (complete_data)'!$D$17</f>
        <v>39.307649519728564</v>
      </c>
      <c r="D4" s="377">
        <f>$C$4/'Table S1.1 (complete_data)'!$D$926</f>
        <v>33.798494857892145</v>
      </c>
      <c r="E4" s="1138">
        <f>$B$4/$B$12*100</f>
        <v>3.7570810329512176</v>
      </c>
    </row>
    <row r="5" spans="1:5" s="302" customFormat="1" x14ac:dyDescent="0.3">
      <c r="A5" s="606" t="s">
        <v>1828</v>
      </c>
      <c r="B5" s="610">
        <f>'Table S1.8 Subcell'!$C$33+'Table S1.8 Subcell'!$C$34+'Table S1.8 Subcell'!$C$37+'Table S1.8 Subcell'!$C$41</f>
        <v>2.9043920333999995E-2</v>
      </c>
      <c r="C5" s="1091">
        <f>$B$5*'Table S1.1 (complete_data)'!$D$17</f>
        <v>1.3201781969999997</v>
      </c>
      <c r="D5" s="1091">
        <f>$C$5/'Table S1.1 (complete_data)'!$D$926</f>
        <v>1.1351489226139293</v>
      </c>
      <c r="E5" s="1139">
        <f>$B$5/$B$12*100</f>
        <v>0.12618450924100652</v>
      </c>
    </row>
    <row r="6" spans="1:5" s="302" customFormat="1" x14ac:dyDescent="0.3">
      <c r="A6" s="606" t="str">
        <f>'Table S1.8 Subcell'!B61</f>
        <v>Total Golgi volume per g LFW (Epidermal pavement cells and mesophyll cells)</v>
      </c>
      <c r="B6" s="612">
        <f>'Table S1.8 Subcell'!$C$48+'Table S1.8 Subcell'!$C$49+'Table S1.8 Subcell'!$C$52+'Table S1.8 Subcell'!$C$56</f>
        <v>2.0115047062500002E-3</v>
      </c>
      <c r="C6" s="611">
        <f>$B$6*'Table S1.1 (complete_data)'!$D$17</f>
        <v>9.1432032102272728E-2</v>
      </c>
      <c r="D6" s="611">
        <f>$C$6/'Table S1.1 (complete_data)'!$D$926</f>
        <v>7.8617396476588761E-2</v>
      </c>
      <c r="E6" s="613">
        <f>$B$6/$B$12*100</f>
        <v>8.7392036362597507E-3</v>
      </c>
    </row>
    <row r="7" spans="1:5" s="302" customFormat="1" x14ac:dyDescent="0.3">
      <c r="A7" s="607" t="s">
        <v>1827</v>
      </c>
      <c r="B7" s="1145">
        <f>'Table S1.8 Subcell'!$C$63+'Table S1.8 Subcell'!$C$64+'Table S1.8 Subcell'!$C$67+'Table S1.8 Subcell'!$C$71</f>
        <v>0.48384040500000003</v>
      </c>
      <c r="C7" s="1140">
        <f>$B$7*'Table S1.1 (complete_data)'!$D$17</f>
        <v>21.992745681818182</v>
      </c>
      <c r="D7" s="1140">
        <f>$C$7/'Table S1.1 (complete_data)'!$D$926</f>
        <v>18.910357422027669</v>
      </c>
      <c r="E7" s="1092">
        <f>$B$7/$B$12*100</f>
        <v>2.1020979039259906</v>
      </c>
    </row>
    <row r="8" spans="1:5" s="302" customFormat="1" x14ac:dyDescent="0.3">
      <c r="A8" s="609" t="s">
        <v>1826</v>
      </c>
      <c r="B8" s="1149">
        <f>'Table S1.8 Subcell'!$C$78+'Table S1.8 Subcell'!$C$79+'Table S1.8 Subcell'!$C$82+'Table S1.8 Subcell'!$C$86</f>
        <v>3.4503988999999999E-2</v>
      </c>
      <c r="C8" s="1141">
        <f>$B$8*'Table S1.1 (complete_data)'!$D$17</f>
        <v>1.5683631363636363</v>
      </c>
      <c r="D8" s="1141">
        <f>$C$8/'Table S1.1 (complete_data)'!$D$926</f>
        <v>1.3485495583522238</v>
      </c>
      <c r="E8" s="1089">
        <f>$B$8/$B$12*100</f>
        <v>0.14990637864149733</v>
      </c>
    </row>
    <row r="9" spans="1:5" s="302" customFormat="1" x14ac:dyDescent="0.3">
      <c r="A9" s="614" t="s">
        <v>1825</v>
      </c>
      <c r="B9" s="1093">
        <f>'Table S1.8 Subcell'!$C$93+'Table S1.8 Subcell'!$C$94+'Table S1.8 Subcell'!$C$97+'Table S1.8 Subcell'!$C$101</f>
        <v>2.0446398000000005E-2</v>
      </c>
      <c r="C9" s="1143">
        <f>$B$9*'Table S1.1 (complete_data)'!$D$17</f>
        <v>0.9293817272727275</v>
      </c>
      <c r="D9" s="1143">
        <f>$C$9/'Table S1.1 (complete_data)'!$D$926</f>
        <v>0.7991244430547958</v>
      </c>
      <c r="E9" s="1144">
        <f>$B$9/$B$12*100</f>
        <v>8.8831626987904352E-2</v>
      </c>
    </row>
    <row r="10" spans="1:5" s="302" customFormat="1" x14ac:dyDescent="0.3">
      <c r="A10" s="632" t="s">
        <v>1824</v>
      </c>
      <c r="B10" s="1142">
        <f>'Table S1.8 Subcell'!$C$109+'Table S1.8 Subcell'!$C$110+'Table S1.8 Subcell'!$C$113+'Table S1.8 Subcell'!$C$117</f>
        <v>19.413153861464689</v>
      </c>
      <c r="C10" s="187">
        <f>ROUND($B$10*'Table S1.1 (complete_data)'!$D$17,-1)</f>
        <v>880</v>
      </c>
      <c r="D10" s="187">
        <f>ROUND($C$10/'Table S1.1 (complete_data)'!$D$926,-1)</f>
        <v>760</v>
      </c>
      <c r="E10" s="1147">
        <f>$B$10/$B$12*100</f>
        <v>84.342584081578863</v>
      </c>
    </row>
    <row r="11" spans="1:5" s="302" customFormat="1" x14ac:dyDescent="0.3">
      <c r="A11" s="605"/>
      <c r="B11" s="1082"/>
      <c r="C11" s="2"/>
      <c r="D11" s="2"/>
      <c r="E11" s="1083"/>
    </row>
    <row r="12" spans="1:5" s="302" customFormat="1" ht="15.65" thickBot="1" x14ac:dyDescent="0.35">
      <c r="A12" s="1081" t="s">
        <v>1831</v>
      </c>
      <c r="B12" s="1086">
        <f>SUM(B3:B10)</f>
        <v>23.017025234474275</v>
      </c>
      <c r="C12" s="1087">
        <f>ROUND($B$12*'Table S1.1 (complete_data)'!$D$17,-1)</f>
        <v>1050</v>
      </c>
      <c r="D12" s="1087">
        <f>ROUND($C$12/'Table S1.1 (complete_data)'!$D$926,-1)</f>
        <v>900</v>
      </c>
      <c r="E12" s="1088">
        <f>SUM(E3:E10)</f>
        <v>100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Table S1.1 (complete_data)</vt:lpstr>
      <vt:lpstr>Table S1.2 (veins data)</vt:lpstr>
      <vt:lpstr>Table S1.3(minor veins cells n)</vt:lpstr>
      <vt:lpstr>Table S1.4 (ER,Golgi)</vt:lpstr>
      <vt:lpstr>TableS.1.5 (areas, cell wall)</vt:lpstr>
      <vt:lpstr>Table S1.6 (Additional data)</vt:lpstr>
      <vt:lpstr>Table S1.7 Cells summary</vt:lpstr>
      <vt:lpstr>Table S1.8 Subcell</vt:lpstr>
      <vt:lpstr>Table S1.9 Subcell summary</vt:lpstr>
      <vt:lpstr>Table S1.10 Legend</vt:lpstr>
      <vt:lpstr>Table S1.11 Abbreviations</vt:lpstr>
    </vt:vector>
  </TitlesOfParts>
  <Company>CEA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CURIEN Gilles 203259</dc:creator>
  <cp:lastModifiedBy>CURIEN Gilles 203259</cp:lastModifiedBy>
  <dcterms:created xsi:type="dcterms:W3CDTF">2020-09-08T14:20:19Z</dcterms:created>
  <dcterms:modified xsi:type="dcterms:W3CDTF">2023-12-20T14:09:17Z</dcterms:modified>
</cp:coreProperties>
</file>