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68866416-BA1B-4EEE-95A7-777CCE036FAB}" xr6:coauthVersionLast="47" xr6:coauthVersionMax="47" xr10:uidLastSave="{00000000-0000-0000-0000-000000000000}"/>
  <bookViews>
    <workbookView xWindow="-120" yWindow="-120" windowWidth="29040" windowHeight="15720" tabRatio="732" activeTab="1" xr2:uid="{00000000-000D-0000-FFFF-FFFF00000000}"/>
  </bookViews>
  <sheets>
    <sheet name="Info&amp;Contents" sheetId="36" r:id="rId1"/>
    <sheet name="Assumptions&amp;Fields" sheetId="39" r:id="rId2"/>
    <sheet name="Au|Ag_Table" sheetId="4" r:id="rId3"/>
    <sheet name="Au|Ag_from_coins_29BCE-100CE" sheetId="33" r:id="rId4"/>
    <sheet name="Au|Ag_from_coins_100-400CE" sheetId="27" r:id="rId5"/>
    <sheet name="Roman_Coin_Calcs_Explanation" sheetId="40" r:id="rId6"/>
    <sheet name="Source_References" sheetId="3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5" i="27" l="1"/>
  <c r="N30" i="33"/>
  <c r="P8" i="33"/>
  <c r="R15" i="33"/>
  <c r="G8" i="33"/>
  <c r="H8" i="33"/>
  <c r="S8" i="33"/>
  <c r="S30" i="33"/>
  <c r="S20" i="33"/>
  <c r="S21" i="33"/>
  <c r="S22" i="33"/>
  <c r="S23" i="33"/>
  <c r="S24" i="33"/>
  <c r="S25" i="33"/>
  <c r="S26" i="33"/>
  <c r="S27" i="33"/>
  <c r="S28" i="33"/>
  <c r="S29" i="33"/>
  <c r="S9" i="33"/>
  <c r="S10" i="33"/>
  <c r="S11" i="33"/>
  <c r="S12" i="33"/>
  <c r="S13" i="33"/>
  <c r="S14" i="33"/>
  <c r="S15" i="33"/>
  <c r="S16" i="33"/>
  <c r="S17" i="33"/>
  <c r="S18" i="33"/>
  <c r="S19" i="33"/>
  <c r="J10" i="27"/>
  <c r="K10" i="27" s="1"/>
  <c r="M45" i="27"/>
  <c r="U41" i="27"/>
  <c r="U40" i="27"/>
  <c r="T41" i="27"/>
  <c r="T40" i="27"/>
  <c r="O41" i="27"/>
  <c r="O40" i="27"/>
  <c r="P41" i="27"/>
  <c r="P40" i="27"/>
  <c r="H41" i="27"/>
  <c r="H40" i="27"/>
  <c r="O8" i="33"/>
  <c r="J25" i="27"/>
  <c r="E111" i="4" l="1"/>
  <c r="Q30" i="33"/>
  <c r="R30" i="33" s="1"/>
  <c r="E73" i="4" l="1"/>
  <c r="H30" i="33" l="1"/>
  <c r="I30" i="33" s="1"/>
  <c r="I8" i="33"/>
  <c r="H9" i="33"/>
  <c r="I9" i="33" s="1"/>
  <c r="H10" i="33"/>
  <c r="I10" i="33" s="1"/>
  <c r="H11" i="33"/>
  <c r="I11" i="33" s="1"/>
  <c r="H12" i="33"/>
  <c r="I12" i="33" s="1"/>
  <c r="H13" i="33"/>
  <c r="I13" i="33" s="1"/>
  <c r="H14" i="33"/>
  <c r="I14" i="33" s="1"/>
  <c r="H15" i="33"/>
  <c r="I15" i="33" s="1"/>
  <c r="H16" i="33"/>
  <c r="I16" i="33" s="1"/>
  <c r="H17" i="33"/>
  <c r="I17" i="33" s="1"/>
  <c r="H18" i="33"/>
  <c r="I18" i="33" s="1"/>
  <c r="H19" i="33"/>
  <c r="I19" i="33" s="1"/>
  <c r="H20" i="33"/>
  <c r="I20" i="33" s="1"/>
  <c r="H21" i="33"/>
  <c r="I21" i="33" s="1"/>
  <c r="H22" i="33"/>
  <c r="I22" i="33" s="1"/>
  <c r="H23" i="33"/>
  <c r="I23" i="33" s="1"/>
  <c r="H24" i="33"/>
  <c r="I24" i="33" s="1"/>
  <c r="H25" i="33"/>
  <c r="I25" i="33" s="1"/>
  <c r="H26" i="33"/>
  <c r="I26" i="33" s="1"/>
  <c r="H27" i="33"/>
  <c r="I27" i="33" s="1"/>
  <c r="H28" i="33"/>
  <c r="I28" i="33" s="1"/>
  <c r="H29" i="33"/>
  <c r="I29" i="33" s="1"/>
  <c r="L11" i="27"/>
  <c r="L45" i="27"/>
  <c r="N45" i="27" s="1"/>
  <c r="G9" i="33"/>
  <c r="G10" i="33"/>
  <c r="G11" i="33"/>
  <c r="G12" i="33"/>
  <c r="G13" i="33"/>
  <c r="G14" i="33"/>
  <c r="G15" i="33"/>
  <c r="G16" i="33"/>
  <c r="G17" i="33"/>
  <c r="G18" i="33"/>
  <c r="G19" i="33"/>
  <c r="G20" i="33"/>
  <c r="G21" i="33"/>
  <c r="G22" i="33"/>
  <c r="G23" i="33"/>
  <c r="G24" i="33"/>
  <c r="G25" i="33"/>
  <c r="G26" i="33"/>
  <c r="G27" i="33"/>
  <c r="G28" i="33"/>
  <c r="G29" i="33"/>
  <c r="G30" i="33"/>
  <c r="O9" i="33"/>
  <c r="Q9" i="33" s="1"/>
  <c r="R9" i="33" s="1"/>
  <c r="O26" i="33"/>
  <c r="Q26" i="33" s="1"/>
  <c r="R26" i="33" s="1"/>
  <c r="O21" i="33"/>
  <c r="Q21" i="33" s="1"/>
  <c r="R21" i="33" s="1"/>
  <c r="O13" i="33"/>
  <c r="Q13" i="33" s="1"/>
  <c r="R13" i="33" s="1"/>
  <c r="O11" i="33"/>
  <c r="Q11" i="33" s="1"/>
  <c r="R11" i="33" s="1"/>
  <c r="O28" i="33"/>
  <c r="Q28" i="33" s="1"/>
  <c r="R28" i="33" s="1"/>
  <c r="O27" i="33"/>
  <c r="Q27" i="33" s="1"/>
  <c r="R27" i="33" s="1"/>
  <c r="O25" i="33"/>
  <c r="Q25" i="33" s="1"/>
  <c r="R25" i="33" s="1"/>
  <c r="O24" i="33"/>
  <c r="Q24" i="33" s="1"/>
  <c r="R24" i="33" s="1"/>
  <c r="O23" i="33"/>
  <c r="Q23" i="33" s="1"/>
  <c r="R23" i="33" s="1"/>
  <c r="O22" i="33"/>
  <c r="Q22" i="33" s="1"/>
  <c r="R22" i="33" s="1"/>
  <c r="O20" i="33"/>
  <c r="Q20" i="33" s="1"/>
  <c r="R20" i="33" s="1"/>
  <c r="O19" i="33"/>
  <c r="Q19" i="33" s="1"/>
  <c r="R19" i="33" s="1"/>
  <c r="O18" i="33"/>
  <c r="Q18" i="33" s="1"/>
  <c r="R18" i="33" s="1"/>
  <c r="O17" i="33"/>
  <c r="Q17" i="33" s="1"/>
  <c r="R17" i="33" s="1"/>
  <c r="O16" i="33"/>
  <c r="Q16" i="33" s="1"/>
  <c r="R16" i="33" s="1"/>
  <c r="O15" i="33"/>
  <c r="Q15" i="33" s="1"/>
  <c r="O14" i="33"/>
  <c r="Q14" i="33" s="1"/>
  <c r="R14" i="33" s="1"/>
  <c r="O12" i="33"/>
  <c r="Q12" i="33" s="1"/>
  <c r="R12" i="33" s="1"/>
  <c r="O10" i="33"/>
  <c r="Q10" i="33" s="1"/>
  <c r="R10" i="33" s="1"/>
  <c r="Q8" i="33"/>
  <c r="R8" i="33" s="1"/>
  <c r="O29" i="33"/>
  <c r="Q29" i="33" s="1"/>
  <c r="R29" i="33" s="1"/>
  <c r="P21" i="33" l="1"/>
  <c r="P13" i="33"/>
  <c r="P9" i="33"/>
  <c r="P11" i="33"/>
  <c r="P26" i="33"/>
  <c r="P19" i="33"/>
  <c r="P27" i="33"/>
  <c r="P24" i="33"/>
  <c r="P16" i="33"/>
  <c r="P17" i="33"/>
  <c r="P29" i="33"/>
  <c r="P10" i="33"/>
  <c r="P25" i="33"/>
  <c r="P15" i="33"/>
  <c r="P22" i="33"/>
  <c r="P14" i="33"/>
  <c r="P20" i="33"/>
  <c r="P23" i="33"/>
  <c r="P12" i="33"/>
  <c r="P28" i="33"/>
  <c r="P18" i="33"/>
  <c r="X11" i="27" l="1"/>
  <c r="Y11" i="27" s="1"/>
  <c r="V11" i="27"/>
  <c r="N11" i="27"/>
  <c r="J11" i="27"/>
  <c r="K11" i="27" s="1"/>
  <c r="O11" i="27" s="1"/>
  <c r="T11" i="27" l="1"/>
  <c r="W11" i="27"/>
  <c r="P11" i="27" s="1"/>
  <c r="X36" i="27"/>
  <c r="Y36" i="27" s="1"/>
  <c r="V36" i="27"/>
  <c r="N36" i="27"/>
  <c r="J36" i="27"/>
  <c r="L49" i="27"/>
  <c r="L48" i="27"/>
  <c r="L47" i="27"/>
  <c r="L46" i="27"/>
  <c r="J49" i="27"/>
  <c r="J48" i="27"/>
  <c r="J47" i="27"/>
  <c r="J46" i="27"/>
  <c r="J45" i="27"/>
  <c r="J44" i="27"/>
  <c r="J43" i="27"/>
  <c r="J42" i="27"/>
  <c r="J41" i="27"/>
  <c r="J40" i="27"/>
  <c r="J39" i="27"/>
  <c r="J38" i="27"/>
  <c r="J37" i="27"/>
  <c r="J35" i="27"/>
  <c r="J34" i="27"/>
  <c r="J33" i="27"/>
  <c r="K33" i="27" s="1"/>
  <c r="J32" i="27"/>
  <c r="J31" i="27"/>
  <c r="J30" i="27"/>
  <c r="J29" i="27"/>
  <c r="J28" i="27"/>
  <c r="J27" i="27"/>
  <c r="J26" i="27"/>
  <c r="J24" i="27"/>
  <c r="J23" i="27"/>
  <c r="J22" i="27"/>
  <c r="O22" i="27" s="1"/>
  <c r="J21" i="27"/>
  <c r="J20" i="27"/>
  <c r="J19" i="27"/>
  <c r="J18" i="27"/>
  <c r="J17" i="27"/>
  <c r="J16" i="27"/>
  <c r="J15" i="27"/>
  <c r="J14" i="27"/>
  <c r="J13" i="27"/>
  <c r="J12" i="27"/>
  <c r="L10" i="27"/>
  <c r="O10" i="27" s="1"/>
  <c r="X10" i="27"/>
  <c r="V10" i="27"/>
  <c r="Y10" i="27" l="1"/>
  <c r="N10" i="27"/>
  <c r="T10" i="27" s="1"/>
  <c r="U11" i="27"/>
  <c r="W36" i="27"/>
  <c r="P36" i="27" s="1"/>
  <c r="O36" i="27"/>
  <c r="K36" i="27"/>
  <c r="T36" i="27" s="1"/>
  <c r="W10" i="27"/>
  <c r="P10" i="27" l="1"/>
  <c r="U10" i="27" s="1"/>
  <c r="U36" i="27"/>
  <c r="X49" i="27" l="1"/>
  <c r="Y49" i="27" s="1"/>
  <c r="V49" i="27"/>
  <c r="N49" i="27"/>
  <c r="O49" i="27"/>
  <c r="X48" i="27"/>
  <c r="Y48" i="27" s="1"/>
  <c r="V48" i="27"/>
  <c r="N48" i="27"/>
  <c r="X47" i="27"/>
  <c r="Y47" i="27" s="1"/>
  <c r="V47" i="27"/>
  <c r="W47" i="27" s="1"/>
  <c r="N47" i="27"/>
  <c r="K47" i="27"/>
  <c r="O47" i="27"/>
  <c r="X46" i="27"/>
  <c r="Y46" i="27" s="1"/>
  <c r="V46" i="27"/>
  <c r="N46" i="27"/>
  <c r="O46" i="27"/>
  <c r="X45" i="27"/>
  <c r="Y45" i="27" s="1"/>
  <c r="V45" i="27"/>
  <c r="O45" i="27"/>
  <c r="X44" i="27"/>
  <c r="V44" i="27"/>
  <c r="K44" i="27"/>
  <c r="L44" i="27"/>
  <c r="X43" i="27"/>
  <c r="V43" i="27"/>
  <c r="L43" i="27"/>
  <c r="X42" i="27"/>
  <c r="V42" i="27"/>
  <c r="W42" i="27" s="1"/>
  <c r="L42" i="27"/>
  <c r="X41" i="27"/>
  <c r="Y41" i="27" s="1"/>
  <c r="N41" i="27"/>
  <c r="X40" i="27"/>
  <c r="Y40" i="27" s="1"/>
  <c r="V40" i="27"/>
  <c r="W40" i="27" s="1"/>
  <c r="N40" i="27"/>
  <c r="X39" i="27"/>
  <c r="Y39" i="27" s="1"/>
  <c r="V39" i="27"/>
  <c r="N39" i="27"/>
  <c r="O39" i="27"/>
  <c r="X38" i="27"/>
  <c r="Y38" i="27" s="1"/>
  <c r="V38" i="27"/>
  <c r="N38" i="27"/>
  <c r="O38" i="27"/>
  <c r="X37" i="27"/>
  <c r="Y37" i="27" s="1"/>
  <c r="V37" i="27"/>
  <c r="W37" i="27" s="1"/>
  <c r="N37" i="27"/>
  <c r="O37" i="27"/>
  <c r="X35" i="27"/>
  <c r="Y35" i="27" s="1"/>
  <c r="V35" i="27"/>
  <c r="N35" i="27"/>
  <c r="X34" i="27"/>
  <c r="Y34" i="27" s="1"/>
  <c r="V34" i="27"/>
  <c r="N34" i="27"/>
  <c r="O34" i="27"/>
  <c r="X33" i="27"/>
  <c r="Y33" i="27" s="1"/>
  <c r="V33" i="27"/>
  <c r="W33" i="27" s="1"/>
  <c r="N33" i="27"/>
  <c r="X32" i="27"/>
  <c r="Y32" i="27" s="1"/>
  <c r="V32" i="27"/>
  <c r="N32" i="27"/>
  <c r="O32" i="27"/>
  <c r="X31" i="27"/>
  <c r="Y31" i="27" s="1"/>
  <c r="V31" i="27"/>
  <c r="N31" i="27"/>
  <c r="K31" i="27"/>
  <c r="X30" i="27"/>
  <c r="Y30" i="27" s="1"/>
  <c r="V30" i="27"/>
  <c r="W30" i="27" s="1"/>
  <c r="O30" i="27"/>
  <c r="N30" i="27"/>
  <c r="K30" i="27"/>
  <c r="X29" i="27"/>
  <c r="Y29" i="27" s="1"/>
  <c r="V29" i="27"/>
  <c r="N29" i="27"/>
  <c r="K29" i="27"/>
  <c r="O29" i="27"/>
  <c r="X28" i="27"/>
  <c r="Y28" i="27" s="1"/>
  <c r="V28" i="27"/>
  <c r="N28" i="27"/>
  <c r="O28" i="27"/>
  <c r="X27" i="27"/>
  <c r="Y27" i="27" s="1"/>
  <c r="V27" i="27"/>
  <c r="N27" i="27"/>
  <c r="X26" i="27"/>
  <c r="Y26" i="27" s="1"/>
  <c r="V26" i="27"/>
  <c r="N26" i="27"/>
  <c r="O26" i="27"/>
  <c r="X25" i="27"/>
  <c r="Y25" i="27" s="1"/>
  <c r="V25" i="27"/>
  <c r="O25" i="27"/>
  <c r="N25" i="27"/>
  <c r="K25" i="27"/>
  <c r="X24" i="27"/>
  <c r="Y24" i="27" s="1"/>
  <c r="V24" i="27"/>
  <c r="N24" i="27"/>
  <c r="O24" i="27"/>
  <c r="X23" i="27"/>
  <c r="Y23" i="27" s="1"/>
  <c r="V23" i="27"/>
  <c r="W23" i="27" s="1"/>
  <c r="N23" i="27"/>
  <c r="K23" i="27"/>
  <c r="O23" i="27"/>
  <c r="X22" i="27"/>
  <c r="Y22" i="27" s="1"/>
  <c r="V22" i="27"/>
  <c r="N22" i="27"/>
  <c r="X21" i="27"/>
  <c r="Y21" i="27" s="1"/>
  <c r="V21" i="27"/>
  <c r="N21" i="27"/>
  <c r="K21" i="27"/>
  <c r="X20" i="27"/>
  <c r="Y20" i="27" s="1"/>
  <c r="V20" i="27"/>
  <c r="N20" i="27"/>
  <c r="K20" i="27"/>
  <c r="X19" i="27"/>
  <c r="Y19" i="27" s="1"/>
  <c r="V19" i="27"/>
  <c r="N19" i="27"/>
  <c r="K19" i="27"/>
  <c r="O19" i="27"/>
  <c r="X18" i="27"/>
  <c r="Y18" i="27" s="1"/>
  <c r="V18" i="27"/>
  <c r="N18" i="27"/>
  <c r="O18" i="27"/>
  <c r="X17" i="27"/>
  <c r="Y17" i="27" s="1"/>
  <c r="V17" i="27"/>
  <c r="N17" i="27"/>
  <c r="O17" i="27"/>
  <c r="X16" i="27"/>
  <c r="Y16" i="27" s="1"/>
  <c r="V16" i="27"/>
  <c r="W16" i="27" s="1"/>
  <c r="N16" i="27"/>
  <c r="K16" i="27"/>
  <c r="Y15" i="27"/>
  <c r="V15" i="27"/>
  <c r="W15" i="27" s="1"/>
  <c r="N15" i="27"/>
  <c r="K15" i="27"/>
  <c r="O15" i="27"/>
  <c r="X14" i="27"/>
  <c r="Y14" i="27" s="1"/>
  <c r="V14" i="27"/>
  <c r="N14" i="27"/>
  <c r="K14" i="27"/>
  <c r="X13" i="27"/>
  <c r="Y13" i="27" s="1"/>
  <c r="V13" i="27"/>
  <c r="N13" i="27"/>
  <c r="K13" i="27"/>
  <c r="O13" i="27"/>
  <c r="X12" i="27"/>
  <c r="Y12" i="27" s="1"/>
  <c r="V12" i="27"/>
  <c r="W12" i="27" s="1"/>
  <c r="N12" i="27"/>
  <c r="K12" i="27"/>
  <c r="O12" i="27" s="1"/>
  <c r="T25" i="27" l="1"/>
  <c r="T31" i="27"/>
  <c r="Y44" i="27"/>
  <c r="T30" i="27"/>
  <c r="T19" i="27"/>
  <c r="N43" i="27"/>
  <c r="O43" i="27"/>
  <c r="N42" i="27"/>
  <c r="O42" i="27"/>
  <c r="T12" i="27"/>
  <c r="O16" i="27"/>
  <c r="P37" i="27"/>
  <c r="W45" i="27"/>
  <c r="P45" i="27" s="1"/>
  <c r="W48" i="27"/>
  <c r="P48" i="27" s="1"/>
  <c r="O44" i="27"/>
  <c r="K48" i="27"/>
  <c r="T48" i="27" s="1"/>
  <c r="K49" i="27"/>
  <c r="T49" i="27" s="1"/>
  <c r="W44" i="27"/>
  <c r="T13" i="27"/>
  <c r="P16" i="27"/>
  <c r="Y43" i="27"/>
  <c r="O48" i="27"/>
  <c r="T15" i="27"/>
  <c r="W21" i="27"/>
  <c r="P21" i="27" s="1"/>
  <c r="T23" i="27"/>
  <c r="K24" i="27"/>
  <c r="T24" i="27" s="1"/>
  <c r="O33" i="27"/>
  <c r="Y42" i="27"/>
  <c r="P42" i="27" s="1"/>
  <c r="W43" i="27"/>
  <c r="N44" i="27"/>
  <c r="T44" i="27" s="1"/>
  <c r="T47" i="27"/>
  <c r="P30" i="27"/>
  <c r="W39" i="27"/>
  <c r="P39" i="27" s="1"/>
  <c r="P12" i="27"/>
  <c r="P15" i="27"/>
  <c r="T21" i="27"/>
  <c r="W22" i="27"/>
  <c r="P22" i="27" s="1"/>
  <c r="W24" i="27"/>
  <c r="P24" i="27" s="1"/>
  <c r="W27" i="27"/>
  <c r="P27" i="27" s="1"/>
  <c r="W35" i="27"/>
  <c r="P35" i="27" s="1"/>
  <c r="K39" i="27"/>
  <c r="T39" i="27" s="1"/>
  <c r="K43" i="27"/>
  <c r="W18" i="27"/>
  <c r="P18" i="27" s="1"/>
  <c r="O21" i="27"/>
  <c r="W26" i="27"/>
  <c r="P26" i="27" s="1"/>
  <c r="W29" i="27"/>
  <c r="P29" i="27" s="1"/>
  <c r="O31" i="27"/>
  <c r="K32" i="27"/>
  <c r="T32" i="27" s="1"/>
  <c r="P47" i="27"/>
  <c r="W17" i="27"/>
  <c r="P17" i="27" s="1"/>
  <c r="T33" i="27"/>
  <c r="W49" i="27"/>
  <c r="P49" i="27" s="1"/>
  <c r="T16" i="27"/>
  <c r="T14" i="27"/>
  <c r="T20" i="27"/>
  <c r="W20" i="27"/>
  <c r="P20" i="27" s="1"/>
  <c r="W13" i="27"/>
  <c r="P13" i="27" s="1"/>
  <c r="K18" i="27"/>
  <c r="T18" i="27" s="1"/>
  <c r="W19" i="27"/>
  <c r="P19" i="27" s="1"/>
  <c r="K26" i="27"/>
  <c r="T26" i="27" s="1"/>
  <c r="O27" i="27"/>
  <c r="T29" i="27"/>
  <c r="K42" i="27"/>
  <c r="W14" i="27"/>
  <c r="P14" i="27" s="1"/>
  <c r="O14" i="27"/>
  <c r="K17" i="27"/>
  <c r="T17" i="27" s="1"/>
  <c r="O20" i="27"/>
  <c r="K22" i="27"/>
  <c r="T22" i="27" s="1"/>
  <c r="P23" i="27"/>
  <c r="W31" i="27"/>
  <c r="P31" i="27" s="1"/>
  <c r="K34" i="27"/>
  <c r="T34" i="27" s="1"/>
  <c r="W34" i="27"/>
  <c r="P34" i="27" s="1"/>
  <c r="O35" i="27"/>
  <c r="P33" i="27"/>
  <c r="W25" i="27"/>
  <c r="P25" i="27" s="1"/>
  <c r="K28" i="27"/>
  <c r="T28" i="27" s="1"/>
  <c r="W28" i="27"/>
  <c r="P28" i="27" s="1"/>
  <c r="K40" i="27"/>
  <c r="W46" i="27"/>
  <c r="P46" i="27" s="1"/>
  <c r="K46" i="27"/>
  <c r="T46" i="27" s="1"/>
  <c r="W41" i="27"/>
  <c r="K27" i="27"/>
  <c r="T27" i="27" s="1"/>
  <c r="W32" i="27"/>
  <c r="P32" i="27" s="1"/>
  <c r="K35" i="27"/>
  <c r="T35" i="27" s="1"/>
  <c r="W38" i="27"/>
  <c r="P38" i="27" s="1"/>
  <c r="K38" i="27"/>
  <c r="T38" i="27" s="1"/>
  <c r="K41" i="27"/>
  <c r="K37" i="27"/>
  <c r="T37" i="27" s="1"/>
  <c r="K45" i="27"/>
  <c r="T45" i="27" s="1"/>
  <c r="T42" i="27" l="1"/>
  <c r="U42" i="27" s="1"/>
  <c r="U31" i="27"/>
  <c r="U39" i="27"/>
  <c r="U25" i="27"/>
  <c r="T43" i="27"/>
  <c r="P44" i="27"/>
  <c r="U44" i="27" s="1"/>
  <c r="U15" i="27"/>
  <c r="U12" i="27"/>
  <c r="U30" i="27"/>
  <c r="U16" i="27"/>
  <c r="U19" i="27"/>
  <c r="U45" i="27"/>
  <c r="U37" i="27"/>
  <c r="U27" i="27"/>
  <c r="U33" i="27"/>
  <c r="U23" i="27"/>
  <c r="U48" i="27"/>
  <c r="U24" i="27"/>
  <c r="U49" i="27"/>
  <c r="U13" i="27"/>
  <c r="P43" i="27"/>
  <c r="U35" i="27"/>
  <c r="U21" i="27"/>
  <c r="U47" i="27"/>
  <c r="U32" i="27"/>
  <c r="U22" i="27"/>
  <c r="U29" i="27"/>
  <c r="U18" i="27"/>
  <c r="U34" i="27"/>
  <c r="U17" i="27"/>
  <c r="U26" i="27"/>
  <c r="U28" i="27"/>
  <c r="U20" i="27"/>
  <c r="U14" i="27"/>
  <c r="U38" i="27"/>
  <c r="U46" i="27"/>
  <c r="U43" i="27" l="1"/>
</calcChain>
</file>

<file path=xl/sharedStrings.xml><?xml version="1.0" encoding="utf-8"?>
<sst xmlns="http://schemas.openxmlformats.org/spreadsheetml/2006/main" count="1929" uniqueCount="701">
  <si>
    <t>Where</t>
  </si>
  <si>
    <t>Ur</t>
  </si>
  <si>
    <t>When</t>
  </si>
  <si>
    <t>Lagash</t>
  </si>
  <si>
    <t>UR III</t>
  </si>
  <si>
    <t>Umma</t>
  </si>
  <si>
    <t>Ur III, Sha-Sin</t>
  </si>
  <si>
    <t>Drehem</t>
  </si>
  <si>
    <t>Ur III Umar Sin 8</t>
  </si>
  <si>
    <t>Nuzi</t>
  </si>
  <si>
    <t>? 15C</t>
  </si>
  <si>
    <t>Ur III Umar Sin 9</t>
  </si>
  <si>
    <t>Larsa</t>
  </si>
  <si>
    <t>Rim-Sin 4</t>
  </si>
  <si>
    <t>Rim-Sin 40</t>
  </si>
  <si>
    <t>Kish</t>
  </si>
  <si>
    <t>Babylon</t>
  </si>
  <si>
    <t>Hammurabi 35</t>
  </si>
  <si>
    <t>Neo Babylon</t>
  </si>
  <si>
    <t>Napopolassar 12</t>
  </si>
  <si>
    <t>Napopolassar 20</t>
  </si>
  <si>
    <t>Nebuchadnezzar 2</t>
  </si>
  <si>
    <t>Nebuchadnezzar 4</t>
  </si>
  <si>
    <t>Nabonidus 4</t>
  </si>
  <si>
    <t>Nabonidus 8</t>
  </si>
  <si>
    <t>Old Persian</t>
  </si>
  <si>
    <t>Cambyses</t>
  </si>
  <si>
    <t>Old Assyrian</t>
  </si>
  <si>
    <t>Mari</t>
  </si>
  <si>
    <t>Ugarit</t>
  </si>
  <si>
    <t>Kassite Babylon</t>
  </si>
  <si>
    <t>Hittite</t>
  </si>
  <si>
    <t>Egypt</t>
  </si>
  <si>
    <t>Possibly low purity (electrum)</t>
  </si>
  <si>
    <t>Assur</t>
  </si>
  <si>
    <t>Lydia</t>
  </si>
  <si>
    <t>Persia</t>
  </si>
  <si>
    <t>Greece</t>
  </si>
  <si>
    <t>Greece, Macedonia</t>
  </si>
  <si>
    <t>Reign of Phillip II Macedon</t>
  </si>
  <si>
    <t>Rome</t>
  </si>
  <si>
    <t>Old Assyrian period</t>
  </si>
  <si>
    <t>Veenhoff 2010</t>
  </si>
  <si>
    <t>Note that Au:Ag for gold loans was 4:1 at the same time for built-in profit</t>
  </si>
  <si>
    <t>Athens</t>
  </si>
  <si>
    <t>Ur III</t>
  </si>
  <si>
    <t>Kultepe</t>
  </si>
  <si>
    <t>Old Assyrian trading period</t>
  </si>
  <si>
    <t>Rameses IX</t>
  </si>
  <si>
    <t>Milne 1938</t>
  </si>
  <si>
    <t>after Alexandrian conquest</t>
  </si>
  <si>
    <t>Athenian system introduced to Egypt</t>
  </si>
  <si>
    <t>Introduced by Persians to Lydia</t>
  </si>
  <si>
    <t>Mundell 2002</t>
  </si>
  <si>
    <t>Hines 2010</t>
  </si>
  <si>
    <t>Rome/Byzantine</t>
  </si>
  <si>
    <t>late 20th Dynasty New Kingdom</t>
  </si>
  <si>
    <t>Dercksen 2014</t>
  </si>
  <si>
    <t>Assur &amp; Kanesh</t>
  </si>
  <si>
    <t>Assur or Kanesh?</t>
  </si>
  <si>
    <t xml:space="preserve">Notes " at the same time the silver  price of  gold  outside the  empire was half that". 
</t>
  </si>
  <si>
    <t>Rim-Sin 21</t>
  </si>
  <si>
    <t>Rim-Sin 24</t>
  </si>
  <si>
    <t>Rim-Sin 30</t>
  </si>
  <si>
    <t>Zimrilim</t>
  </si>
  <si>
    <t>Kassite king  Burnaburiash II  (1 375-1347BC)</t>
  </si>
  <si>
    <t>Gold was 3 and 1/3 times the price of silver</t>
  </si>
  <si>
    <t>Time of Sin-iddinam</t>
  </si>
  <si>
    <t>See also Garfinkle 2008</t>
  </si>
  <si>
    <t>Ebla</t>
  </si>
  <si>
    <t>6.5-21</t>
  </si>
  <si>
    <t>Ur?</t>
  </si>
  <si>
    <t>UrIII</t>
  </si>
  <si>
    <t>Late Kassite</t>
  </si>
  <si>
    <t>19th Dynasty</t>
  </si>
  <si>
    <t>20th Dynasty</t>
  </si>
  <si>
    <t>Persian influence on Babylon</t>
  </si>
  <si>
    <t>ratio was 9-14 in 5th and 6th C BC in Babylon</t>
  </si>
  <si>
    <t>purchase of Au by State</t>
  </si>
  <si>
    <t>Sale of Au by State</t>
  </si>
  <si>
    <t>Au coins issued by mint to compete with outside ratio of 13.33</t>
  </si>
  <si>
    <t>based on wt and price of golden crown</t>
  </si>
  <si>
    <t>Based on wt and price golden crown</t>
  </si>
  <si>
    <t>329/8</t>
  </si>
  <si>
    <t>305/4</t>
  </si>
  <si>
    <t>"Western Mediterranean after Alexander"</t>
  </si>
  <si>
    <t>W Med</t>
  </si>
  <si>
    <t>Trajan</t>
  </si>
  <si>
    <t>Diocletian</t>
  </si>
  <si>
    <t>12.5-13.1</t>
  </si>
  <si>
    <t>Panapolis, Egypt</t>
  </si>
  <si>
    <t>7.5-8</t>
  </si>
  <si>
    <t xml:space="preserve">    -440/39</t>
  </si>
  <si>
    <t xml:space="preserve">     -434/33</t>
  </si>
  <si>
    <t xml:space="preserve">      -408/7</t>
  </si>
  <si>
    <t xml:space="preserve">  -407-403</t>
  </si>
  <si>
    <t xml:space="preserve">    -420/19</t>
  </si>
  <si>
    <t xml:space="preserve">    -414/13</t>
  </si>
  <si>
    <t xml:space="preserve">    -402/01</t>
  </si>
  <si>
    <t xml:space="preserve">      -378/7</t>
  </si>
  <si>
    <t xml:space="preserve">      -369/8</t>
  </si>
  <si>
    <t xml:space="preserve">      -361/0</t>
  </si>
  <si>
    <t xml:space="preserve">      -355/4</t>
  </si>
  <si>
    <t>~14.5</t>
  </si>
  <si>
    <t>Old Akkadian ~2300</t>
  </si>
  <si>
    <t>Old Assyrian trading period 1935-1720</t>
  </si>
  <si>
    <t>XIIth dyn or Hyksos period</t>
  </si>
  <si>
    <t>Thutmosis III- Anemophis !! (18th dyn)</t>
  </si>
  <si>
    <t>Rameses IX (year 7 20th dyn)</t>
  </si>
  <si>
    <t>Year 1 of repeating births (yr 17 of Ramesses IX ac Cerny)</t>
  </si>
  <si>
    <t>Late Kassite: 4:1= "bright gold"; 8:1= "red gold"</t>
  </si>
  <si>
    <t>Cerny makes the point this was stated to be "good gold"</t>
  </si>
  <si>
    <t>3- 4:1</t>
  </si>
  <si>
    <t>"14 and 13 C"</t>
  </si>
  <si>
    <t>"Ramesside period"</t>
  </si>
  <si>
    <t>3-4</t>
  </si>
  <si>
    <t>16-48</t>
  </si>
  <si>
    <t>4-8</t>
  </si>
  <si>
    <t>Greece and Athens</t>
  </si>
  <si>
    <t xml:space="preserve">In the 7th C </t>
  </si>
  <si>
    <t>"During the reign of Nabonidus, Ebabbar paid 6 minas and 52 sh of Ag for 52 sh of Au"</t>
  </si>
  <si>
    <t>Nabonidus</t>
  </si>
  <si>
    <t>Rim-Sin 2, 9 and 7 according to RIA</t>
  </si>
  <si>
    <t>Rim-Sin 27 (RIA says 4 and 3)</t>
  </si>
  <si>
    <t>Region</t>
  </si>
  <si>
    <t>W. Europe</t>
  </si>
  <si>
    <t>Valentinian and Valens,  364-378</t>
  </si>
  <si>
    <t>Commodus</t>
  </si>
  <si>
    <t>Pertinax</t>
  </si>
  <si>
    <t>Caracalla</t>
  </si>
  <si>
    <t>Solidus</t>
  </si>
  <si>
    <t>10 shekels of red gold for 120 (shekels) of silver</t>
  </si>
  <si>
    <t>Weszeli 2010; see also Kleber 2016</t>
  </si>
  <si>
    <t>based on statement of 5 gold solidii per pound of silver [assume solidii are pure] -Hines refers to Mommsen and Meyer 1954</t>
  </si>
  <si>
    <t>Walker 1976</t>
  </si>
  <si>
    <t>Abdy 2012</t>
  </si>
  <si>
    <t>Sub-Region</t>
  </si>
  <si>
    <t>SE Mesopotamia</t>
  </si>
  <si>
    <t>W Mesopotamia/Levant</t>
  </si>
  <si>
    <t>N Mesopotamia</t>
  </si>
  <si>
    <t>Anatolia</t>
  </si>
  <si>
    <t>Unsure if these should be separate- Achaemenid power further west</t>
  </si>
  <si>
    <t>Y</t>
  </si>
  <si>
    <t>Ptolemy I [311-283]</t>
  </si>
  <si>
    <t>Ptolemy II [283-246]</t>
  </si>
  <si>
    <t>Ptolemy III [246-221]</t>
  </si>
  <si>
    <t>OR LESS (consequence of Au:Fe and Ag:Fe)</t>
  </si>
  <si>
    <t>calculated from price of gold in Egypt in denarius communi</t>
  </si>
  <si>
    <t>According to Farber this was Incorrectly 6:1 in Scwenzer and in Potts</t>
  </si>
  <si>
    <t>10-4</t>
  </si>
  <si>
    <t>Diocletian's first reform-  Argentus 96/lb but only 80% fine, aureus (laureate) pure 70/lb; Exch 1 au= 20 arg = 1,000 d.c.</t>
  </si>
  <si>
    <t>Period Reference</t>
  </si>
  <si>
    <t>Gold coin</t>
  </si>
  <si>
    <t>Silver coin</t>
  </si>
  <si>
    <t>Gold coin fineness (%)</t>
  </si>
  <si>
    <r>
      <t xml:space="preserve">Contained Ag (grams)  in silver coin </t>
    </r>
    <r>
      <rPr>
        <sz val="11"/>
        <color rgb="FFFF0000"/>
        <rFont val="Calibri"/>
        <family val="2"/>
        <scheme val="minor"/>
      </rPr>
      <t>DIRECT</t>
    </r>
    <r>
      <rPr>
        <sz val="11"/>
        <color theme="1"/>
        <rFont val="Calibri"/>
        <family val="2"/>
        <scheme val="minor"/>
      </rPr>
      <t xml:space="preserve"> from fineness</t>
    </r>
  </si>
  <si>
    <r>
      <t xml:space="preserve">Gold coin </t>
    </r>
    <r>
      <rPr>
        <sz val="11"/>
        <color rgb="FFFF0000"/>
        <rFont val="Calibri"/>
        <family val="2"/>
        <scheme val="minor"/>
      </rPr>
      <t>ASSUMED</t>
    </r>
    <r>
      <rPr>
        <sz val="11"/>
        <color theme="1"/>
        <rFont val="Calibri"/>
        <family val="2"/>
        <scheme val="minor"/>
      </rPr>
      <t xml:space="preserve"> fineness</t>
    </r>
  </si>
  <si>
    <r>
      <t xml:space="preserve">Contained Au(g) - from </t>
    </r>
    <r>
      <rPr>
        <sz val="11"/>
        <color rgb="FFFF0000"/>
        <rFont val="Calibri"/>
        <family val="2"/>
        <scheme val="minor"/>
      </rPr>
      <t>ASSUMED</t>
    </r>
    <r>
      <rPr>
        <sz val="11"/>
        <color theme="1"/>
        <rFont val="Calibri"/>
        <family val="2"/>
        <scheme val="minor"/>
      </rPr>
      <t xml:space="preserve"> fineness</t>
    </r>
  </si>
  <si>
    <r>
      <t xml:space="preserve">Silver coin </t>
    </r>
    <r>
      <rPr>
        <sz val="11"/>
        <color rgb="FFFF0000"/>
        <rFont val="Calibri"/>
        <family val="2"/>
        <scheme val="minor"/>
      </rPr>
      <t>ASSUMED</t>
    </r>
    <r>
      <rPr>
        <sz val="11"/>
        <color theme="1"/>
        <rFont val="Calibri"/>
        <family val="2"/>
        <scheme val="minor"/>
      </rPr>
      <t xml:space="preserve"> fineness (with purity assumption)</t>
    </r>
  </si>
  <si>
    <r>
      <t xml:space="preserve">Contained Ag(g)- from </t>
    </r>
    <r>
      <rPr>
        <sz val="11"/>
        <color rgb="FFFF0000"/>
        <rFont val="Calibri"/>
        <family val="2"/>
        <scheme val="minor"/>
      </rPr>
      <t>ASSUMED</t>
    </r>
    <r>
      <rPr>
        <sz val="11"/>
        <color theme="1"/>
        <rFont val="Calibri"/>
        <family val="2"/>
        <scheme val="minor"/>
      </rPr>
      <t xml:space="preserve"> fineness</t>
    </r>
  </si>
  <si>
    <t>Hadrian</t>
  </si>
  <si>
    <t>Aureus</t>
  </si>
  <si>
    <t>Denarius</t>
  </si>
  <si>
    <t>Pius (pre-debasement)</t>
  </si>
  <si>
    <t xml:space="preserve"> Pius</t>
  </si>
  <si>
    <t>Pius</t>
  </si>
  <si>
    <t>Marcus Aurelius (Stage I)</t>
  </si>
  <si>
    <t>Marcus Aurelius Stage II</t>
  </si>
  <si>
    <t>Marcus Aurelius Stage III</t>
  </si>
  <si>
    <t>180-189</t>
  </si>
  <si>
    <t xml:space="preserve">190-192 </t>
  </si>
  <si>
    <t xml:space="preserve">193-194 </t>
  </si>
  <si>
    <t>Sept Severus</t>
  </si>
  <si>
    <t>196-198</t>
  </si>
  <si>
    <t>198-211</t>
  </si>
  <si>
    <t>212-213</t>
  </si>
  <si>
    <t>213-217</t>
  </si>
  <si>
    <t>218-219</t>
  </si>
  <si>
    <t>Elagabalus</t>
  </si>
  <si>
    <t xml:space="preserve">220-222 </t>
  </si>
  <si>
    <t xml:space="preserve">222-228 </t>
  </si>
  <si>
    <t>Severus Alexius</t>
  </si>
  <si>
    <t xml:space="preserve">229-230 </t>
  </si>
  <si>
    <t xml:space="preserve">231-235 </t>
  </si>
  <si>
    <t xml:space="preserve">236-238 </t>
  </si>
  <si>
    <t>Maximus Thrax</t>
  </si>
  <si>
    <t xml:space="preserve">244-249 </t>
  </si>
  <si>
    <t>Philip I (Anton)</t>
  </si>
  <si>
    <t>?Antonianus</t>
  </si>
  <si>
    <t xml:space="preserve">249-251 </t>
  </si>
  <si>
    <t>Decius, civil war</t>
  </si>
  <si>
    <t xml:space="preserve">251-253 </t>
  </si>
  <si>
    <t>Gallus, civil war</t>
  </si>
  <si>
    <t>253 Aem</t>
  </si>
  <si>
    <t>Aemelian</t>
  </si>
  <si>
    <t>254-273</t>
  </si>
  <si>
    <t>Valerian-Galenius</t>
  </si>
  <si>
    <t>Aureus (laureate)</t>
  </si>
  <si>
    <t>Aurelianas</t>
  </si>
  <si>
    <t>294-295</t>
  </si>
  <si>
    <t>Diocletian/Maximian</t>
  </si>
  <si>
    <t>Argentus</t>
  </si>
  <si>
    <t>324-337</t>
  </si>
  <si>
    <t>Constantine I</t>
  </si>
  <si>
    <t>364-375</t>
  </si>
  <si>
    <t>Valens</t>
  </si>
  <si>
    <t>Siliquae</t>
  </si>
  <si>
    <t>375-395</t>
  </si>
  <si>
    <t>251-253</t>
  </si>
  <si>
    <t>Bubenius/Puprensis</t>
  </si>
  <si>
    <t>"Ordinary gold" according to Cerny 1954</t>
  </si>
  <si>
    <t>Based on 100:1 Ag:Cu and 200:1 Au:Cu</t>
  </si>
  <si>
    <t>Gardiner 1935</t>
  </si>
  <si>
    <t>EGYPT NOT USED</t>
  </si>
  <si>
    <t>Sulla First Au coin for 100 years minted 30/lb Harl 1996 p51; exchange rate 28-34 den/aureus Harl p 52 (assume den wt and purity as before &amp; after</t>
  </si>
  <si>
    <t>16 th regnal year of king Nabû-mukīn-apli (c. 978-943BC)</t>
  </si>
  <si>
    <t>Source is Papyrus Oxy.3773- interp by Bagnall to be monthly price declarations for a pound of gold and silver in talents- unit of account, = 1600 denari</t>
  </si>
  <si>
    <t>Declarations of gold and silver in Talents, at rates 14.4; 14.24; 14.75; &amp;16.25 with 14.4 most common</t>
  </si>
  <si>
    <t>From stated assumption in rate of dues to Confed of Delos</t>
  </si>
  <si>
    <t>from exchange rate of silver sigloi and gold darik</t>
  </si>
  <si>
    <t>Au:Ag:Pb 12:6:3</t>
  </si>
  <si>
    <t>Del Monte 2009</t>
  </si>
  <si>
    <t>Kassite period 1359-1233</t>
  </si>
  <si>
    <t>Edzard 1960</t>
  </si>
  <si>
    <t>4-6.4</t>
  </si>
  <si>
    <t>Au:Ag of 6 in 6 receipts with "normal gold" 5 in 5 receipts (Note Farber and Helzer indicate lower values 4-4.4)</t>
  </si>
  <si>
    <t>6-4</t>
  </si>
  <si>
    <t>Near East</t>
  </si>
  <si>
    <t>Near East NOT USED</t>
  </si>
  <si>
    <t>Dandamayev gives range 9-14 (assume highest = best quality gold</t>
  </si>
  <si>
    <t>Auqual</t>
  </si>
  <si>
    <t>GG</t>
  </si>
  <si>
    <t>Nimchuck 2002</t>
  </si>
  <si>
    <t>Archi 1988</t>
  </si>
  <si>
    <t>Dandamayev gives range 9-14 (assume lower = poorer quality gold</t>
  </si>
  <si>
    <t>Kleber 2016</t>
  </si>
  <si>
    <t>10-12</t>
  </si>
  <si>
    <t>Rome_CR</t>
  </si>
  <si>
    <t>First naltar gold in babylon "early in 7C"</t>
  </si>
  <si>
    <t>"Naltar gold" 12, pure gold 13</t>
  </si>
  <si>
    <t>Kroll 2020</t>
  </si>
  <si>
    <t>Ephesus</t>
  </si>
  <si>
    <t>From coinage- bimetallic Croesid coins</t>
  </si>
  <si>
    <t>14 and 15 gold type not specified - assumed "good gold"</t>
  </si>
  <si>
    <t>Cappadocia range 4-9</t>
  </si>
  <si>
    <t>Cappadocia</t>
  </si>
  <si>
    <t>395-402</t>
  </si>
  <si>
    <t>402-411</t>
  </si>
  <si>
    <t>Augustus, Gaius &amp; Lucius</t>
  </si>
  <si>
    <t>Tiberius-Caludius</t>
  </si>
  <si>
    <t>Claudius-Nero</t>
  </si>
  <si>
    <t>Nero, post reform 1st Neronian standard</t>
  </si>
  <si>
    <t>Nero, post reform Revised Neronian standard</t>
  </si>
  <si>
    <t>Galba, revised Neronian standard</t>
  </si>
  <si>
    <t>Otho, revised Neronian standard</t>
  </si>
  <si>
    <t>Otho, first Neronian standard</t>
  </si>
  <si>
    <t>Vitellius, first Neronian standard</t>
  </si>
  <si>
    <t>Vespacian, first Neronian standard</t>
  </si>
  <si>
    <t>Titus, first Neronian standard</t>
  </si>
  <si>
    <t>Domitian (pre reform)</t>
  </si>
  <si>
    <t>Domitian (post reform- period 1)</t>
  </si>
  <si>
    <t>Domitian (post reform- period 2)</t>
  </si>
  <si>
    <t>Nerva, revised Neronian standard phase 1</t>
  </si>
  <si>
    <t>Nerva, revised Neronian standard phase 2</t>
  </si>
  <si>
    <t>Trajan, revised Neronian standard</t>
  </si>
  <si>
    <t>Stated Fineness of denarius</t>
  </si>
  <si>
    <t>Wt Ag in denarius</t>
  </si>
  <si>
    <t>Solidus 72/lb (assume pure) but siliqua fell to 192/lb 1:24 exchange rate</t>
  </si>
  <si>
    <t>Aureus (pure) vs Argentus (80%), 1:20 exchange</t>
  </si>
  <si>
    <t>Solidus 72/lb = 24 Siliqua of 96/lb but fineness unknown, so cannot calc CR</t>
  </si>
  <si>
    <t>based on mint-set exchange rate- solidus to pound weight of silver</t>
  </si>
  <si>
    <t>Note based on maximum allowed prices so might not reflect real market (Bagnall says deliberately low rel to wheat)</t>
  </si>
  <si>
    <t>Valentinian and Valens restored purity of solidus and argentus (Siliqua)</t>
  </si>
  <si>
    <t>solidus 99.5% but retained light solidus 72/lb;  argentus ~98% pure; exch rate 1:24]</t>
  </si>
  <si>
    <t>Perhaps misleading because exchange rate of siliqua may have varied, cf Abdy 2012 p594</t>
  </si>
  <si>
    <t>Aurelians Aureus (Laureate)</t>
  </si>
  <si>
    <t>Aurelian reform; aureus 50/lb equiv to 400 aureliani @ 5% Ag &amp; 80/lb</t>
  </si>
  <si>
    <t>Inc</t>
  </si>
  <si>
    <t>N</t>
  </si>
  <si>
    <t>Augustus, Gaius &amp; Lucius,  Augustus restored purity of den and aureus</t>
  </si>
  <si>
    <t>Based on Tarriff rate</t>
  </si>
  <si>
    <t>Siliqa (Ag coin) fell to 192/lb and purity down "as low as" to 94%</t>
  </si>
  <si>
    <t xml:space="preserve"> Yields Tarrif rate 9, coinage rate 8.46</t>
  </si>
  <si>
    <t xml:space="preserve"> Yields Tarrif rate of 9, and coinage rate of 9 because both coins essentially pure</t>
  </si>
  <si>
    <t>Not used because timing is imprecise</t>
  </si>
  <si>
    <t>Based on coinage rate</t>
  </si>
  <si>
    <t>Favorable Ag:Au of 8:1 imposed by senate to attact silver; 3.4gm aureis exchange rate 6:1 vs 4.54gm (72/lb) denarius of 96.2%</t>
  </si>
  <si>
    <t>Sale of 10 aurei in exchange for 870 silver drachmai. Assume Cleopatra tetradrachm (=4 drachmai), with ca. 4.34 g of silver and assume pure. Aurei of time = 1/40th lb gold coins, with the Roman lb at ca. 323 g, the implied ratio here stands at 11.7.</t>
  </si>
  <si>
    <t>Stated Weight denarius</t>
  </si>
  <si>
    <t>From relationship of prices of cows in Au and Ag</t>
  </si>
  <si>
    <t xml:space="preserve">receipts for bullion levies at the Egyptian village of Karanis around AD 307/8 </t>
  </si>
  <si>
    <t>12 - 13</t>
  </si>
  <si>
    <t>14 - 15</t>
  </si>
  <si>
    <t>9 - 14</t>
  </si>
  <si>
    <t>Estiott: 1 lb Au = 60 aurei at 1,200 dc for 1 lb = 72,000 dc; 1 lb Ag =6,000 dc; Bagnall gold (28.1a: 48 Talents/lb. 2 ), silver (28.9: 4 T./lb.)</t>
  </si>
  <si>
    <t>Stieglitz 1979</t>
  </si>
  <si>
    <t>Info&amp;Contents</t>
  </si>
  <si>
    <t>This worksheet</t>
  </si>
  <si>
    <t>Au|Ag_Table</t>
  </si>
  <si>
    <t>(all values above these are treated as 100%)</t>
  </si>
  <si>
    <t>SOURCE: Butcher and Ponting 2014 Appendix 2</t>
  </si>
  <si>
    <t>In addition:</t>
  </si>
  <si>
    <t>Roman pound</t>
  </si>
  <si>
    <t>Mesopotamian chronology and periods:</t>
  </si>
  <si>
    <t>Egyptian chronology and periods:</t>
  </si>
  <si>
    <t>Dercksen 2014 p 86 says 8:1. P90: "The price of gold in silver in Anatolia ranged from 10 to 4 (from expensive to cheap),depending on its quality". Also, the price of gold in Anatolia and in Assur was similar.</t>
  </si>
  <si>
    <t>GSR_TR (Tariff rate)</t>
  </si>
  <si>
    <t>GSR_CR (Coinage rate)</t>
  </si>
  <si>
    <t>Plotting of imprecise dates</t>
  </si>
  <si>
    <t>For values specified as within certain periods or with uncertainty on dating, normally the mid-range has been chosen.</t>
  </si>
  <si>
    <t>30 BCE-14 CE</t>
  </si>
  <si>
    <t>14-51 CE</t>
  </si>
  <si>
    <t>51-64 CE</t>
  </si>
  <si>
    <t>64-68 CE</t>
  </si>
  <si>
    <t>68 CE</t>
  </si>
  <si>
    <t>68-69 CE</t>
  </si>
  <si>
    <t>69 CE</t>
  </si>
  <si>
    <t>69-79 CE</t>
  </si>
  <si>
    <t>79-81 CE</t>
  </si>
  <si>
    <t>81-82 CE</t>
  </si>
  <si>
    <t>82-85 CE</t>
  </si>
  <si>
    <t>85-96 CE</t>
  </si>
  <si>
    <t>96 CE</t>
  </si>
  <si>
    <t>97-98 CE</t>
  </si>
  <si>
    <t>98-99 CE</t>
  </si>
  <si>
    <t>100 CE</t>
  </si>
  <si>
    <t>99-117 CE</t>
  </si>
  <si>
    <t>397  CE</t>
  </si>
  <si>
    <t>84 BCE</t>
  </si>
  <si>
    <t>Early Dynastic, 2900-2350 BCE</t>
  </si>
  <si>
    <t>before Persian conquest 546 BCE</t>
  </si>
  <si>
    <t>550  BCE- 546  BCE</t>
  </si>
  <si>
    <t>546-500  BCE</t>
  </si>
  <si>
    <t>After Lydian conquest 546  BCE</t>
  </si>
  <si>
    <t>c 500  BCE</t>
  </si>
  <si>
    <t>405  BCE</t>
  </si>
  <si>
    <t>Alexander the Great (-323 BCE)</t>
  </si>
  <si>
    <t>211-208 BCE</t>
  </si>
  <si>
    <t>205-200 BCE</t>
  </si>
  <si>
    <t>Sulla at 84 BCE</t>
  </si>
  <si>
    <t>30 BCE- 14AD (Middle of range)</t>
  </si>
  <si>
    <t xml:space="preserve"> Approx 5-2 BCE</t>
  </si>
  <si>
    <t>14 CE-51 CE (Middle of range)</t>
  </si>
  <si>
    <t>51-64 CE (Middle of range)</t>
  </si>
  <si>
    <t>69-79 CE (Middle of range)</t>
  </si>
  <si>
    <t>85-96 CE (Middle of range)</t>
  </si>
  <si>
    <t>100 CE (99-117 Middle of range)</t>
  </si>
  <si>
    <t>99-117 CE (Middle of range)</t>
  </si>
  <si>
    <t>117-138 CE (Middle of range)</t>
  </si>
  <si>
    <t>138-148 CE (Middle of range)</t>
  </si>
  <si>
    <t>148-155 CE (Middle of range)</t>
  </si>
  <si>
    <t>155-161 CE (Middle of range)</t>
  </si>
  <si>
    <t>161-168 CE (Middle of range)</t>
  </si>
  <si>
    <t>168-170 CE</t>
  </si>
  <si>
    <t>170-180 CE (Middle of range)</t>
  </si>
  <si>
    <t>180-189 CE (Middle of range)</t>
  </si>
  <si>
    <t>190-192 CE</t>
  </si>
  <si>
    <t>193 CE</t>
  </si>
  <si>
    <t>193-194 CE</t>
  </si>
  <si>
    <t>196-198 CE</t>
  </si>
  <si>
    <t>198-211 CE (Middle of range)</t>
  </si>
  <si>
    <t>211 CE</t>
  </si>
  <si>
    <t>212-213 CE</t>
  </si>
  <si>
    <t>213-217 CE</t>
  </si>
  <si>
    <t>218-219 CE</t>
  </si>
  <si>
    <t>220-222 CE</t>
  </si>
  <si>
    <t>222-228 CE (Middle of range)</t>
  </si>
  <si>
    <t>229-230 CE</t>
  </si>
  <si>
    <t>231-235 CE</t>
  </si>
  <si>
    <t>236-238 CE</t>
  </si>
  <si>
    <t>238 CE</t>
  </si>
  <si>
    <t>244-249 CE</t>
  </si>
  <si>
    <t>249-251 CE</t>
  </si>
  <si>
    <t>274 CE</t>
  </si>
  <si>
    <t>294-295 CE</t>
  </si>
  <si>
    <t>Diocletian max price edict, end 301 CE</t>
  </si>
  <si>
    <t>324-337 CE (Middle of range)</t>
  </si>
  <si>
    <t>340 CE</t>
  </si>
  <si>
    <t>364-395 CE (Middle of range)</t>
  </si>
  <si>
    <t>395-402 CE</t>
  </si>
  <si>
    <t>407-411 CE</t>
  </si>
  <si>
    <t>211-208, based on imposed bullion rate. Woytek: first denarius 211 BCE; also no gold coins produced after 208BC (so difficult to calc ratios)</t>
  </si>
  <si>
    <t>205-200 BCE Harl 1996, p33 "bullion ratios shifted back to more typical 10-12 after booty from Spain" (no further info given)</t>
  </si>
  <si>
    <t>Regions</t>
  </si>
  <si>
    <t>Sub-regions</t>
  </si>
  <si>
    <t>PG</t>
  </si>
  <si>
    <t>LG</t>
  </si>
  <si>
    <t>Ebla merchant to exch 100 shekels Ag for 20 shekels gold in "Dugurasu" (possibly Egypt)</t>
  </si>
  <si>
    <t>Taffiff &amp; coinage rate</t>
  </si>
  <si>
    <t>Decreed by Lydian King</t>
  </si>
  <si>
    <t>Near East-OMITTED</t>
  </si>
  <si>
    <t>Valentinian solidus 72/lb; siliquae 144/lb; Standards maintained until 395 AD</t>
  </si>
  <si>
    <t>Gambacorta, F., 2014. Late Roman Silver Coinage (from Arcadius and Honorius to the end of the 5th century AD), Universita Karlova v Praze.</t>
  </si>
  <si>
    <r>
      <t xml:space="preserve">Abdy, R., 2012. Tetrarchy and the House of Constantine, in </t>
    </r>
    <r>
      <rPr>
        <i/>
        <sz val="11"/>
        <color theme="1"/>
        <rFont val="Calibri"/>
        <family val="2"/>
        <scheme val="minor"/>
      </rPr>
      <t>The Oxford Handbook of Greek and Roman Coinage</t>
    </r>
    <r>
      <rPr>
        <sz val="11"/>
        <color theme="1"/>
        <rFont val="Calibri"/>
        <family val="2"/>
        <scheme val="minor"/>
      </rPr>
      <t>, ed. W.E. Metcalf.Oxford, UK: Oxford University Press, 584-600.</t>
    </r>
  </si>
  <si>
    <r>
      <t xml:space="preserve">Archi, A., 1988. Prices, Workers' Wages and Maintenance at Ebla. </t>
    </r>
    <r>
      <rPr>
        <i/>
        <sz val="11"/>
        <color theme="1"/>
        <rFont val="Calibri"/>
        <family val="2"/>
        <scheme val="minor"/>
      </rPr>
      <t>Altorientalische Forschungen,</t>
    </r>
    <r>
      <rPr>
        <sz val="11"/>
        <color theme="1"/>
        <rFont val="Calibri"/>
        <family val="2"/>
        <scheme val="minor"/>
      </rPr>
      <t xml:space="preserve"> 15, 24-49.</t>
    </r>
  </si>
  <si>
    <r>
      <t xml:space="preserve">Archi, A., 1993. Trade and administrative practice: the case of Ebla. </t>
    </r>
    <r>
      <rPr>
        <i/>
        <sz val="11"/>
        <color theme="1"/>
        <rFont val="Calibri"/>
        <family val="2"/>
        <scheme val="minor"/>
      </rPr>
      <t>Altorientalische Forschungen,</t>
    </r>
    <r>
      <rPr>
        <sz val="11"/>
        <color theme="1"/>
        <rFont val="Calibri"/>
        <family val="2"/>
        <scheme val="minor"/>
      </rPr>
      <t xml:space="preserve"> 20(1), 43-58.</t>
    </r>
  </si>
  <si>
    <r>
      <t xml:space="preserve">Bagnall, R.S., 1977. Bullion purchases and landholding in the fourth century. </t>
    </r>
    <r>
      <rPr>
        <i/>
        <sz val="11"/>
        <color theme="1"/>
        <rFont val="Calibri"/>
        <family val="2"/>
        <scheme val="minor"/>
      </rPr>
      <t>Chronique d'Égypte,</t>
    </r>
    <r>
      <rPr>
        <sz val="11"/>
        <color theme="1"/>
        <rFont val="Calibri"/>
        <family val="2"/>
        <scheme val="minor"/>
      </rPr>
      <t xml:space="preserve"> 52(104), 322-36.</t>
    </r>
  </si>
  <si>
    <r>
      <t xml:space="preserve">Bagnall, R.S., 1989. Fourth-Century Prices: New Evidence and Further Thoughts. </t>
    </r>
    <r>
      <rPr>
        <i/>
        <sz val="11"/>
        <color theme="1"/>
        <rFont val="Calibri"/>
        <family val="2"/>
        <scheme val="minor"/>
      </rPr>
      <t>Zeitschrift für Papyrologie und Epigraphik,</t>
    </r>
    <r>
      <rPr>
        <sz val="11"/>
        <color theme="1"/>
        <rFont val="Calibri"/>
        <family val="2"/>
        <scheme val="minor"/>
      </rPr>
      <t xml:space="preserve"> 76, 69-76.</t>
    </r>
  </si>
  <si>
    <r>
      <t xml:space="preserve">Biga, M.G. &amp; P. Steinkeller, 2021. In Search of Dugurasu. </t>
    </r>
    <r>
      <rPr>
        <i/>
        <sz val="11"/>
        <color theme="1"/>
        <rFont val="Calibri"/>
        <family val="2"/>
        <scheme val="minor"/>
      </rPr>
      <t>Journal of Cuneiform Studies,</t>
    </r>
    <r>
      <rPr>
        <sz val="11"/>
        <color theme="1"/>
        <rFont val="Calibri"/>
        <family val="2"/>
        <scheme val="minor"/>
      </rPr>
      <t xml:space="preserve"> 73, 9-70.</t>
    </r>
  </si>
  <si>
    <r>
      <t xml:space="preserve">Boyle, R.W., 1968. </t>
    </r>
    <r>
      <rPr>
        <i/>
        <sz val="11"/>
        <color theme="1"/>
        <rFont val="Calibri"/>
        <family val="2"/>
        <scheme val="minor"/>
      </rPr>
      <t xml:space="preserve">The geochemistry of silver and its deposits: with notes on geochemical prospecting for the element, </t>
    </r>
    <r>
      <rPr>
        <sz val="11"/>
        <color theme="1"/>
        <rFont val="Calibri"/>
        <family val="2"/>
        <scheme val="minor"/>
      </rPr>
      <t>Ottawa, Canada: Geological Survey of Canada, Department of Energy, Mines, and Resources, Bulletin.</t>
    </r>
  </si>
  <si>
    <r>
      <t xml:space="preserve">Butcher, K. &amp; M. Ponting, 2014. </t>
    </r>
    <r>
      <rPr>
        <i/>
        <sz val="11"/>
        <color theme="1"/>
        <rFont val="Calibri"/>
        <family val="2"/>
        <scheme val="minor"/>
      </rPr>
      <t xml:space="preserve">The metallurgy of Roman silver coinage: from the reform of Nero to the reform of Trajan, </t>
    </r>
    <r>
      <rPr>
        <sz val="11"/>
        <color theme="1"/>
        <rFont val="Calibri"/>
        <family val="2"/>
        <scheme val="minor"/>
      </rPr>
      <t>Cambridge, UK: Cambridge University Press.</t>
    </r>
  </si>
  <si>
    <r>
      <t xml:space="preserve">Cahen, C., 1980. Commercial Relations between the Near East and Western Europe from the VIIth to the XIth century, in </t>
    </r>
    <r>
      <rPr>
        <i/>
        <sz val="11"/>
        <color theme="1"/>
        <rFont val="Calibri"/>
        <family val="2"/>
        <scheme val="minor"/>
      </rPr>
      <t>Islam and the Medieval West: aspects of intercultural relations</t>
    </r>
    <r>
      <rPr>
        <sz val="11"/>
        <color theme="1"/>
        <rFont val="Calibri"/>
        <family val="2"/>
        <scheme val="minor"/>
      </rPr>
      <t>, ed. K.I. Semaan.Albany, New York: State University of New York Press, 1-25.</t>
    </r>
  </si>
  <si>
    <r>
      <t xml:space="preserve">Černý, J., 1954. Prices and wages in Egypt in the Ramesside period. </t>
    </r>
    <r>
      <rPr>
        <i/>
        <sz val="11"/>
        <color theme="1"/>
        <rFont val="Calibri"/>
        <family val="2"/>
        <scheme val="minor"/>
      </rPr>
      <t>Journal of World History,</t>
    </r>
    <r>
      <rPr>
        <sz val="11"/>
        <color theme="1"/>
        <rFont val="Calibri"/>
        <family val="2"/>
        <scheme val="minor"/>
      </rPr>
      <t xml:space="preserve"> 1(4), 903.</t>
    </r>
  </si>
  <si>
    <r>
      <t xml:space="preserve">Dandamayev, M.A., 1988. Wages and Prices in Babylonia in the 6th and 5th Centuries B. C. </t>
    </r>
    <r>
      <rPr>
        <i/>
        <sz val="11"/>
        <color theme="1"/>
        <rFont val="Calibri"/>
        <family val="2"/>
        <scheme val="minor"/>
      </rPr>
      <t>Altorientalische Forschungen,</t>
    </r>
    <r>
      <rPr>
        <sz val="11"/>
        <color theme="1"/>
        <rFont val="Calibri"/>
        <family val="2"/>
        <scheme val="minor"/>
      </rPr>
      <t xml:space="preserve"> 15, 53-8.</t>
    </r>
  </si>
  <si>
    <r>
      <t xml:space="preserve">Davies, G., 2002. </t>
    </r>
    <r>
      <rPr>
        <i/>
        <sz val="11"/>
        <color theme="1"/>
        <rFont val="Calibri"/>
        <family val="2"/>
        <scheme val="minor"/>
      </rPr>
      <t xml:space="preserve">History of Money, From Ancient Times to the Present Day, </t>
    </r>
    <r>
      <rPr>
        <sz val="11"/>
        <color theme="1"/>
        <rFont val="Calibri"/>
        <family val="2"/>
        <scheme val="minor"/>
      </rPr>
      <t>Cardiff: University of Wales Press.</t>
    </r>
  </si>
  <si>
    <r>
      <t xml:space="preserve">Del Monte, G., 2009. La formazione dei prezzi delle derrate in età cassita. </t>
    </r>
    <r>
      <rPr>
        <i/>
        <sz val="11"/>
        <color theme="1"/>
        <rFont val="Calibri"/>
        <family val="2"/>
        <scheme val="minor"/>
      </rPr>
      <t>Rivista di storia economica,</t>
    </r>
    <r>
      <rPr>
        <sz val="11"/>
        <color theme="1"/>
        <rFont val="Calibri"/>
        <family val="2"/>
        <scheme val="minor"/>
      </rPr>
      <t xml:space="preserve"> 25(1), 103-42.</t>
    </r>
  </si>
  <si>
    <r>
      <t xml:space="preserve">Edzard, D.O., 1960. Die Beziehungen Babyloniens Und Ägyptens in Der Mittelbabylonischen Zeit Und Das Gold. </t>
    </r>
    <r>
      <rPr>
        <i/>
        <sz val="11"/>
        <color theme="1"/>
        <rFont val="Calibri"/>
        <family val="2"/>
        <scheme val="minor"/>
      </rPr>
      <t>Journal of the Economic and Social History of the Orient,</t>
    </r>
    <r>
      <rPr>
        <sz val="11"/>
        <color theme="1"/>
        <rFont val="Calibri"/>
        <family val="2"/>
        <scheme val="minor"/>
      </rPr>
      <t xml:space="preserve"> 3(1), 38-55.</t>
    </r>
  </si>
  <si>
    <r>
      <t xml:space="preserve">Entwistle, C., 2002. Byzantine Money: Its Production and Circulation, in </t>
    </r>
    <r>
      <rPr>
        <i/>
        <sz val="11"/>
        <color theme="1"/>
        <rFont val="Calibri"/>
        <family val="2"/>
        <scheme val="minor"/>
      </rPr>
      <t>The Economic History of Byzantium. From the Seventh through the Fifteenth Century. Volume 1</t>
    </r>
    <r>
      <rPr>
        <sz val="11"/>
        <color theme="1"/>
        <rFont val="Calibri"/>
        <family val="2"/>
        <scheme val="minor"/>
      </rPr>
      <t>, ed. A.E. Laiou.Washington, D.C: Dumbarton Oaks Research Library and Collection.</t>
    </r>
  </si>
  <si>
    <r>
      <t xml:space="preserve">Estiot, S., 2012. The Later Third Century, in </t>
    </r>
    <r>
      <rPr>
        <i/>
        <sz val="11"/>
        <color theme="1"/>
        <rFont val="Calibri"/>
        <family val="2"/>
        <scheme val="minor"/>
      </rPr>
      <t>The Oxford Handbook of Greek and Roman Coinage</t>
    </r>
    <r>
      <rPr>
        <sz val="11"/>
        <color theme="1"/>
        <rFont val="Calibri"/>
        <family val="2"/>
        <scheme val="minor"/>
      </rPr>
      <t>, ed. W.E. Metcalf.Oxford, UK: Oxford University Press, 538-60.</t>
    </r>
  </si>
  <si>
    <r>
      <t xml:space="preserve">Farber, H., 1978. A Price and Wage Study for Northern Babylonia during the Old Babylonian Period. </t>
    </r>
    <r>
      <rPr>
        <i/>
        <sz val="11"/>
        <color theme="1"/>
        <rFont val="Calibri"/>
        <family val="2"/>
        <scheme val="minor"/>
      </rPr>
      <t>Journal of the Economic and Social History of the Orient,</t>
    </r>
    <r>
      <rPr>
        <sz val="11"/>
        <color theme="1"/>
        <rFont val="Calibri"/>
        <family val="2"/>
        <scheme val="minor"/>
      </rPr>
      <t xml:space="preserve"> 21(1), 1-51.</t>
    </r>
  </si>
  <si>
    <r>
      <t xml:space="preserve">Gardiner, A.H., 1935. A Lawsuit Arising from the Purchase of Two Slaves. </t>
    </r>
    <r>
      <rPr>
        <i/>
        <sz val="11"/>
        <color theme="1"/>
        <rFont val="Calibri"/>
        <family val="2"/>
        <scheme val="minor"/>
      </rPr>
      <t>The Journal of Egyptian Archaeology,</t>
    </r>
    <r>
      <rPr>
        <sz val="11"/>
        <color theme="1"/>
        <rFont val="Calibri"/>
        <family val="2"/>
        <scheme val="minor"/>
      </rPr>
      <t xml:space="preserve"> 21(2), 140-6.</t>
    </r>
  </si>
  <si>
    <r>
      <t xml:space="preserve">Gelb, I.J., 1965. The Ancient Mesopotamian Ration System. </t>
    </r>
    <r>
      <rPr>
        <i/>
        <sz val="11"/>
        <color theme="1"/>
        <rFont val="Calibri"/>
        <family val="2"/>
        <scheme val="minor"/>
      </rPr>
      <t>Journal of Near Eastern Studies,</t>
    </r>
    <r>
      <rPr>
        <sz val="11"/>
        <color theme="1"/>
        <rFont val="Calibri"/>
        <family val="2"/>
        <scheme val="minor"/>
      </rPr>
      <t xml:space="preserve"> 24(3), 230-43.</t>
    </r>
  </si>
  <si>
    <r>
      <t xml:space="preserve">Harl, K.W., 1996. </t>
    </r>
    <r>
      <rPr>
        <i/>
        <sz val="11"/>
        <color theme="1"/>
        <rFont val="Calibri"/>
        <family val="2"/>
        <scheme val="minor"/>
      </rPr>
      <t xml:space="preserve">Coinage in the Roman Economy, 300 BC to AD 700, </t>
    </r>
    <r>
      <rPr>
        <sz val="11"/>
        <color theme="1"/>
        <rFont val="Calibri"/>
        <family val="2"/>
        <scheme val="minor"/>
      </rPr>
      <t>Baltimore and London: John Hopkins University Press.</t>
    </r>
  </si>
  <si>
    <r>
      <t xml:space="preserve">Hauptmann, A., S. Klein, P. Paoletti, R.L. Zettler &amp; M. Jansen, 2018. Types of Gold, Types of Silver: The Composition of Precious Metal Artifacts Found in the Royal Tombs of Ur, Mesopotamia. </t>
    </r>
    <r>
      <rPr>
        <i/>
        <sz val="11"/>
        <color theme="1"/>
        <rFont val="Calibri"/>
        <family val="2"/>
        <scheme val="minor"/>
      </rPr>
      <t>Zeitschrift für Assyriologie und vorderasiatische Archäologie,</t>
    </r>
    <r>
      <rPr>
        <sz val="11"/>
        <color theme="1"/>
        <rFont val="Calibri"/>
        <family val="2"/>
        <scheme val="minor"/>
      </rPr>
      <t xml:space="preserve"> 108(1), 100-31.</t>
    </r>
  </si>
  <si>
    <r>
      <t xml:space="preserve">Heltzer, M., 1977. The Metal Trade of Ugarit and the Problem of Transportation of Commercial Goods. </t>
    </r>
    <r>
      <rPr>
        <i/>
        <sz val="11"/>
        <color theme="1"/>
        <rFont val="Calibri"/>
        <family val="2"/>
        <scheme val="minor"/>
      </rPr>
      <t>Iraq,</t>
    </r>
    <r>
      <rPr>
        <sz val="11"/>
        <color theme="1"/>
        <rFont val="Calibri"/>
        <family val="2"/>
        <scheme val="minor"/>
      </rPr>
      <t xml:space="preserve"> 39(2), 203-11.</t>
    </r>
  </si>
  <si>
    <r>
      <t xml:space="preserve">Hines, J., 2010. Units of account in gold and silver in seventh-century England: scillingas, sceattas and pæningas. </t>
    </r>
    <r>
      <rPr>
        <i/>
        <sz val="11"/>
        <color theme="1"/>
        <rFont val="Calibri"/>
        <family val="2"/>
        <scheme val="minor"/>
      </rPr>
      <t>The Antiquaries Journal,</t>
    </r>
    <r>
      <rPr>
        <sz val="11"/>
        <color theme="1"/>
        <rFont val="Calibri"/>
        <family val="2"/>
        <scheme val="minor"/>
      </rPr>
      <t xml:space="preserve"> 90, 153-73.</t>
    </r>
  </si>
  <si>
    <r>
      <t xml:space="preserve">Janssen, J.J., 1975. </t>
    </r>
    <r>
      <rPr>
        <i/>
        <sz val="11"/>
        <color theme="1"/>
        <rFont val="Calibri"/>
        <family val="2"/>
        <scheme val="minor"/>
      </rPr>
      <t xml:space="preserve">Commodity Prices from the Ramessid Period: An economic study of the village of necropolis workmen at Thebes, </t>
    </r>
    <r>
      <rPr>
        <sz val="11"/>
        <color theme="1"/>
        <rFont val="Calibri"/>
        <family val="2"/>
        <scheme val="minor"/>
      </rPr>
      <t>Leiden: Brill Academic Pub.</t>
    </r>
  </si>
  <si>
    <r>
      <t xml:space="preserve">Jursa, M., 2010. </t>
    </r>
    <r>
      <rPr>
        <i/>
        <sz val="11"/>
        <color theme="1"/>
        <rFont val="Calibri"/>
        <family val="2"/>
        <scheme val="minor"/>
      </rPr>
      <t>Aspects of the economic history of Babylonia in the first millennium BC: Economic geography, economic mentalities, agriculture, the use of money and the problem of economic growth (AOAT 377). With contributions by J. Hackl, B. Janković, K. Kleber, E.E. Payne, C. Waerzeggers and M. Weszeli</t>
    </r>
    <r>
      <rPr>
        <sz val="11"/>
        <color theme="1"/>
        <rFont val="Calibri"/>
        <family val="2"/>
        <scheme val="minor"/>
      </rPr>
      <t>: Ugarit Verlag.</t>
    </r>
  </si>
  <si>
    <r>
      <t xml:space="preserve">Kleber, K., 2016. Arabian gold in Babylonia. </t>
    </r>
    <r>
      <rPr>
        <i/>
        <sz val="11"/>
        <color theme="1"/>
        <rFont val="Calibri"/>
        <family val="2"/>
        <scheme val="minor"/>
      </rPr>
      <t>Kaskal. Rivista di storia, ambienti e culture del Vicino Oriente Antico,</t>
    </r>
    <r>
      <rPr>
        <sz val="11"/>
        <color theme="1"/>
        <rFont val="Calibri"/>
        <family val="2"/>
        <scheme val="minor"/>
      </rPr>
      <t xml:space="preserve"> 13, 121-34.</t>
    </r>
  </si>
  <si>
    <r>
      <t xml:space="preserve">Lannoye, V., 2015. </t>
    </r>
    <r>
      <rPr>
        <i/>
        <sz val="11"/>
        <color theme="1"/>
        <rFont val="Calibri"/>
        <family val="2"/>
        <scheme val="minor"/>
      </rPr>
      <t>The History of Money for Understanding Economics</t>
    </r>
    <r>
      <rPr>
        <sz val="11"/>
        <color theme="1"/>
        <rFont val="Calibri"/>
        <family val="2"/>
        <scheme val="minor"/>
      </rPr>
      <t>: Vincent Lannoye.</t>
    </r>
  </si>
  <si>
    <r>
      <t xml:space="preserve">Leemans, W.F., 1969. Gold, A. Nach sumerischen und akkadischen Texten, in </t>
    </r>
    <r>
      <rPr>
        <i/>
        <sz val="11"/>
        <color theme="1"/>
        <rFont val="Calibri"/>
        <family val="2"/>
        <scheme val="minor"/>
      </rPr>
      <t>Reallexikon der Assyriologie 3</t>
    </r>
    <r>
      <rPr>
        <sz val="11"/>
        <color theme="1"/>
        <rFont val="Calibri"/>
        <family val="2"/>
        <scheme val="minor"/>
      </rPr>
      <t>Berlin, 504-31.</t>
    </r>
  </si>
  <si>
    <r>
      <t xml:space="preserve">Melville-Jones, J.R., 1978. The value of Gold at Athens in 329/8 BC. </t>
    </r>
    <r>
      <rPr>
        <i/>
        <sz val="11"/>
        <color theme="1"/>
        <rFont val="Calibri"/>
        <family val="2"/>
        <scheme val="minor"/>
      </rPr>
      <t>American journal of ancient history,</t>
    </r>
    <r>
      <rPr>
        <sz val="11"/>
        <color theme="1"/>
        <rFont val="Calibri"/>
        <family val="2"/>
        <scheme val="minor"/>
      </rPr>
      <t xml:space="preserve"> 3(2), 184-7.</t>
    </r>
  </si>
  <si>
    <r>
      <t xml:space="preserve">Milne, J.G., 1938. The Currency of Egypt under the Ptolemies. </t>
    </r>
    <r>
      <rPr>
        <i/>
        <sz val="11"/>
        <color theme="1"/>
        <rFont val="Calibri"/>
        <family val="2"/>
        <scheme val="minor"/>
      </rPr>
      <t>The Journal of Egyptian Archaeology,</t>
    </r>
    <r>
      <rPr>
        <sz val="11"/>
        <color theme="1"/>
        <rFont val="Calibri"/>
        <family val="2"/>
        <scheme val="minor"/>
      </rPr>
      <t xml:space="preserve"> 24(2), 200-7.</t>
    </r>
  </si>
  <si>
    <r>
      <t xml:space="preserve">Moorhead, S., 2012. The Coinage of the Later Roman Empire, in </t>
    </r>
    <r>
      <rPr>
        <i/>
        <sz val="11"/>
        <color theme="1"/>
        <rFont val="Calibri"/>
        <family val="2"/>
        <scheme val="minor"/>
      </rPr>
      <t>The Oxford Handbook of Greek and Roman Coinage</t>
    </r>
    <r>
      <rPr>
        <sz val="11"/>
        <color theme="1"/>
        <rFont val="Calibri"/>
        <family val="2"/>
        <scheme val="minor"/>
      </rPr>
      <t>, ed. W.E. Metcalf.Oxford, UK: Oxford University Press, 601-32.</t>
    </r>
  </si>
  <si>
    <r>
      <t xml:space="preserve">Mundell, R.A., 2002. Monetary unions and the problem of sovereignty. </t>
    </r>
    <r>
      <rPr>
        <i/>
        <sz val="11"/>
        <color theme="1"/>
        <rFont val="Calibri"/>
        <family val="2"/>
        <scheme val="minor"/>
      </rPr>
      <t>The Annals of the American Academy of Political and Social Science,</t>
    </r>
    <r>
      <rPr>
        <sz val="11"/>
        <color theme="1"/>
        <rFont val="Calibri"/>
        <family val="2"/>
        <scheme val="minor"/>
      </rPr>
      <t xml:space="preserve"> 579(1), 123-52.</t>
    </r>
  </si>
  <si>
    <r>
      <t xml:space="preserve">Munro, J.H., 1983. Medieval Monetary Problems: Bimetallism and Bullionism. </t>
    </r>
    <r>
      <rPr>
        <i/>
        <sz val="11"/>
        <color theme="1"/>
        <rFont val="Calibri"/>
        <family val="2"/>
        <scheme val="minor"/>
      </rPr>
      <t>Journal of Economic History,</t>
    </r>
    <r>
      <rPr>
        <sz val="11"/>
        <color theme="1"/>
        <rFont val="Calibri"/>
        <family val="2"/>
        <scheme val="minor"/>
      </rPr>
      <t xml:space="preserve"> 43(01), 294-8.</t>
    </r>
  </si>
  <si>
    <r>
      <t xml:space="preserve">Nimchuk, C.L., 2002. The "Archers" of Darius: Coinage or Tokens of Royal Esteem? </t>
    </r>
    <r>
      <rPr>
        <i/>
        <sz val="11"/>
        <color theme="1"/>
        <rFont val="Calibri"/>
        <family val="2"/>
        <scheme val="minor"/>
      </rPr>
      <t>Ars Orientalis,</t>
    </r>
    <r>
      <rPr>
        <sz val="11"/>
        <color theme="1"/>
        <rFont val="Calibri"/>
        <family val="2"/>
        <scheme val="minor"/>
      </rPr>
      <t xml:space="preserve"> 32, 55-79.</t>
    </r>
  </si>
  <si>
    <r>
      <t xml:space="preserve">Panagopoulou, K., 2016. Gold in Ptolemaic Egypt. Exchange Practices in Light of P. Cair. Zen. I 59021. </t>
    </r>
    <r>
      <rPr>
        <i/>
        <sz val="11"/>
        <color theme="1"/>
        <rFont val="Calibri"/>
        <family val="2"/>
        <scheme val="minor"/>
      </rPr>
      <t>ZPE,</t>
    </r>
    <r>
      <rPr>
        <sz val="11"/>
        <color theme="1"/>
        <rFont val="Calibri"/>
        <family val="2"/>
        <scheme val="minor"/>
      </rPr>
      <t xml:space="preserve"> 197, 179-90.</t>
    </r>
  </si>
  <si>
    <r>
      <t xml:space="preserve">Potts, D.T., 1997. </t>
    </r>
    <r>
      <rPr>
        <i/>
        <sz val="11"/>
        <color theme="1"/>
        <rFont val="Calibri"/>
        <family val="2"/>
        <scheme val="minor"/>
      </rPr>
      <t xml:space="preserve">Mesopotamian civilization: The material foundations, </t>
    </r>
    <r>
      <rPr>
        <sz val="11"/>
        <color theme="1"/>
        <rFont val="Calibri"/>
        <family val="2"/>
        <scheme val="minor"/>
      </rPr>
      <t>London: A&amp;C Black.</t>
    </r>
  </si>
  <si>
    <r>
      <t xml:space="preserve">Powell, M.A., 1990. Identification and interpretation of long term price fluctuations in Babylonia: more on the history of money in Mesopotamia. </t>
    </r>
    <r>
      <rPr>
        <i/>
        <sz val="11"/>
        <color theme="1"/>
        <rFont val="Calibri"/>
        <family val="2"/>
        <scheme val="minor"/>
      </rPr>
      <t>Altorientalische Forschungen,</t>
    </r>
    <r>
      <rPr>
        <sz val="11"/>
        <color theme="1"/>
        <rFont val="Calibri"/>
        <family val="2"/>
        <scheme val="minor"/>
      </rPr>
      <t xml:space="preserve"> 17(1), 76.</t>
    </r>
  </si>
  <si>
    <r>
      <t xml:space="preserve">Rodrigues, M., F. Cappa, M. Schreiner, P. Ferloni, M. Radtke, U. Reinholz, B. Woytek &amp; M. Alram, 2011. Further metallurgical analyses on silver coins of Trajan (AD 98–117). </t>
    </r>
    <r>
      <rPr>
        <i/>
        <sz val="11"/>
        <color theme="1"/>
        <rFont val="Calibri"/>
        <family val="2"/>
        <scheme val="minor"/>
      </rPr>
      <t>Journal of Analytical Atomic Spectrometry,</t>
    </r>
    <r>
      <rPr>
        <sz val="11"/>
        <color theme="1"/>
        <rFont val="Calibri"/>
        <family val="2"/>
        <scheme val="minor"/>
      </rPr>
      <t xml:space="preserve"> 26(5), 984-91.</t>
    </r>
  </si>
  <si>
    <r>
      <t xml:space="preserve">Stieglitz, R.R., 1979. Commodity Prices at Ugarit. </t>
    </r>
    <r>
      <rPr>
        <i/>
        <sz val="11"/>
        <color theme="1"/>
        <rFont val="Calibri"/>
        <family val="2"/>
        <scheme val="minor"/>
      </rPr>
      <t>Journal of the American Oriental Society,</t>
    </r>
    <r>
      <rPr>
        <sz val="11"/>
        <color theme="1"/>
        <rFont val="Calibri"/>
        <family val="2"/>
        <scheme val="minor"/>
      </rPr>
      <t xml:space="preserve"> 99(1), 15-23.</t>
    </r>
  </si>
  <si>
    <r>
      <t xml:space="preserve">Thompson, W.E., 1964. Gold and silver ratios at Athens during the fifth century. </t>
    </r>
    <r>
      <rPr>
        <i/>
        <sz val="11"/>
        <color theme="1"/>
        <rFont val="Calibri"/>
        <family val="2"/>
        <scheme val="minor"/>
      </rPr>
      <t>The Numismatic Chronicle and Journal of the Royal Numismatic Society,</t>
    </r>
    <r>
      <rPr>
        <sz val="11"/>
        <color theme="1"/>
        <rFont val="Calibri"/>
        <family val="2"/>
        <scheme val="minor"/>
      </rPr>
      <t xml:space="preserve"> 4, 103-23.</t>
    </r>
  </si>
  <si>
    <r>
      <t xml:space="preserve">Treister, M.Y., 1996. </t>
    </r>
    <r>
      <rPr>
        <i/>
        <sz val="11"/>
        <color theme="1"/>
        <rFont val="Calibri"/>
        <family val="2"/>
        <scheme val="minor"/>
      </rPr>
      <t>The role of metals in ancient Greek history</t>
    </r>
    <r>
      <rPr>
        <sz val="11"/>
        <color theme="1"/>
        <rFont val="Calibri"/>
        <family val="2"/>
        <scheme val="minor"/>
      </rPr>
      <t>: Brill.</t>
    </r>
  </si>
  <si>
    <r>
      <t xml:space="preserve">Van de Mieroop, M., 2007. </t>
    </r>
    <r>
      <rPr>
        <i/>
        <sz val="11"/>
        <color theme="1"/>
        <rFont val="Calibri"/>
        <family val="2"/>
        <scheme val="minor"/>
      </rPr>
      <t xml:space="preserve">A history of the Ancient Near East ca 3000-323BC, </t>
    </r>
    <r>
      <rPr>
        <sz val="11"/>
        <color theme="1"/>
        <rFont val="Calibri"/>
        <family val="2"/>
        <scheme val="minor"/>
      </rPr>
      <t>Oxford UK: Blackwell Publishing.</t>
    </r>
  </si>
  <si>
    <r>
      <t xml:space="preserve">Waetzoldt, H., 1985. Rotes Gold? </t>
    </r>
    <r>
      <rPr>
        <i/>
        <sz val="11"/>
        <color theme="1"/>
        <rFont val="Calibri"/>
        <family val="2"/>
        <scheme val="minor"/>
      </rPr>
      <t>Oriens Antiquus,</t>
    </r>
    <r>
      <rPr>
        <sz val="11"/>
        <color theme="1"/>
        <rFont val="Calibri"/>
        <family val="2"/>
        <scheme val="minor"/>
      </rPr>
      <t xml:space="preserve"> 24, 1-16.</t>
    </r>
  </si>
  <si>
    <r>
      <t xml:space="preserve">Weszeli, M., 2010. A New Boundary Stone of the Reign of Nabû-mukīn-apli (978-943 BC). </t>
    </r>
    <r>
      <rPr>
        <i/>
        <sz val="11"/>
        <color theme="1"/>
        <rFont val="Calibri"/>
        <family val="2"/>
        <scheme val="minor"/>
      </rPr>
      <t>Revue d'assyriologie et d'archéologie orientale,</t>
    </r>
    <r>
      <rPr>
        <sz val="11"/>
        <color theme="1"/>
        <rFont val="Calibri"/>
        <family val="2"/>
        <scheme val="minor"/>
      </rPr>
      <t xml:space="preserve"> 104(1).</t>
    </r>
  </si>
  <si>
    <r>
      <t xml:space="preserve">Wilkinson, T.C., 2010. </t>
    </r>
    <r>
      <rPr>
        <i/>
        <sz val="11"/>
        <color theme="1"/>
        <rFont val="Calibri"/>
        <family val="2"/>
        <scheme val="minor"/>
      </rPr>
      <t xml:space="preserve">The rise and fall of ancient Egypt, </t>
    </r>
    <r>
      <rPr>
        <sz val="11"/>
        <color theme="1"/>
        <rFont val="Calibri"/>
        <family val="2"/>
        <scheme val="minor"/>
      </rPr>
      <t>Camden, UK: Bloomsbury Publishing.</t>
    </r>
  </si>
  <si>
    <r>
      <t xml:space="preserve">Woytek, B.E., 2012. The Denarius Coinage of the Roman Republic., in </t>
    </r>
    <r>
      <rPr>
        <i/>
        <sz val="11"/>
        <color theme="1"/>
        <rFont val="Calibri"/>
        <family val="2"/>
        <scheme val="minor"/>
      </rPr>
      <t>The Oxford Handbook of Greek and Roman Coinage</t>
    </r>
    <r>
      <rPr>
        <sz val="11"/>
        <color theme="1"/>
        <rFont val="Calibri"/>
        <family val="2"/>
        <scheme val="minor"/>
      </rPr>
      <t>, ed. W.E. Metcalf.Oxford, UK: Oxford University Press, 315-34.</t>
    </r>
  </si>
  <si>
    <r>
      <t xml:space="preserve">Yalçın, Ü., 1999. Early Iron Metallurgy in Anatolia. </t>
    </r>
    <r>
      <rPr>
        <i/>
        <sz val="11"/>
        <color theme="1"/>
        <rFont val="Calibri"/>
        <family val="2"/>
        <scheme val="minor"/>
      </rPr>
      <t>Anatolian Studies,</t>
    </r>
    <r>
      <rPr>
        <sz val="11"/>
        <color theme="1"/>
        <rFont val="Calibri"/>
        <family val="2"/>
        <scheme val="minor"/>
      </rPr>
      <t xml:space="preserve"> 49, 177-87.</t>
    </r>
  </si>
  <si>
    <t>Dercksen, J.G., 2014. The Old Assyrian Trade and its Participants, in Documentary Sources in Ancient Near Eastern and Greco-Roman Economic History: Methodology and Practice, eds H.D. Baker &amp; M. Jursa.Oxford: Oxbow, 59-112.</t>
  </si>
  <si>
    <t>Englund, R.K., 2012. Equivalency Values and the Command Economy of the Ur III Period in Mesopotamia, in The Construction of Value in the Ancient World. , eds J.K. Papadopoulos &amp; G. Urton.Los Angeles: Cotsen Institute of Archaeology, University of California, 427-58.</t>
  </si>
  <si>
    <t>Kleber, K., 2020. As Skillful As Croesus. Evidence for the Parting of Gold and Silver from Second and First Millennium Mesopotamia, in White Gold: Studies in Early Electrum Coinage, eds P. van Alfen &amp; U. Wartenberg.New York: American Numismatic Society and the Israel Museum, Jerusalem, 17-34.</t>
  </si>
  <si>
    <t>Kroll, J.H., 2020. The Inscribed Account on Lead from the Ephesian Artemisium, in White Gold: Studies in Early Electrum Coinage, eds P. van Alfen &amp; U. Warternburg.New York: American Numismatic Society and the Israel Museum, Jerusalem, 49-64.</t>
  </si>
  <si>
    <t>Lewis, D.M., 1968. New evidence for the gold-silver ratio, in Essays in Greek Coinage Presented to Stanley Robinson, eds S. Robinson, C.M. Kraay &amp; G.K. Jenkins.Oxford: Clarenden, 105-10.</t>
  </si>
  <si>
    <t>Rathbone, D.W. &amp; S. von Reden, 2015. Mediterranean Grain Prices in Classical Antiquity, in A History of Market Performance: From Ancient Babylonia to the Modern World, eds R.J. Van der Spek, B. van Leeuwen &amp; J.L. van Zanden.London: Routledge.</t>
  </si>
  <si>
    <t>These references are the sources cited for data in this Online Appendix. Some are repeated in the publication reference list if also cited therein</t>
  </si>
  <si>
    <t>Maximum value 6.37 given in Waetzold. Archi:"where ratio of 5:1... gold of better quality is indicated"</t>
  </si>
  <si>
    <t>Some dispute about date as from a document doc written later but  regarded as a fair copy</t>
  </si>
  <si>
    <t xml:space="preserve">No comments re fineness </t>
  </si>
  <si>
    <t>"Naltar"gold from Arabia (? 90% pure) (mentioned in 3 texts)</t>
  </si>
  <si>
    <t>Weighed bullion, incl refined gold in Ephesus temple</t>
  </si>
  <si>
    <t>"Naltar"gold from Arabia (thought to be approx 90%) but poss declining quality</t>
  </si>
  <si>
    <t>Range 5-12 "perhaps higher"</t>
  </si>
  <si>
    <t>Range 5-12</t>
  </si>
  <si>
    <t>See also Rhodes 2010 p. 98 - relation of 40 Talents Au and 560 t Ag on Pheidia's statue.</t>
  </si>
  <si>
    <t>Possibly based on 1 gold stater to 15 Ag hemidrachmae</t>
  </si>
  <si>
    <t>Based on assumption that denarius was tariffed at 1000 per pound of gold</t>
  </si>
  <si>
    <t>-&gt; estimated</t>
  </si>
  <si>
    <t>Butcher and Ponting 2014 Appendix 1 Denarius weight &amp; fineness</t>
  </si>
  <si>
    <r>
      <t xml:space="preserve">Our calculated
</t>
    </r>
    <r>
      <rPr>
        <b/>
        <sz val="11"/>
        <color rgb="FFFF0000"/>
        <rFont val="Calibri"/>
        <family val="2"/>
        <scheme val="minor"/>
      </rPr>
      <t>Tariff rate GSR</t>
    </r>
  </si>
  <si>
    <t xml:space="preserve">Note: In all our coinage rate calculations; Au&gt;99.45% pure, and Ag &gt;95% pure are  both treated as 100% </t>
  </si>
  <si>
    <t>Assumptions&amp;fields</t>
  </si>
  <si>
    <t>Worksheet detailing overarching assumptions and explanation of field names; note that any assumptions linked to a specific entry in the Au/Ag table are included in the "Notes" field</t>
  </si>
  <si>
    <t>Silver coin  fineness (%)</t>
  </si>
  <si>
    <t>217-211 BCE</t>
  </si>
  <si>
    <t>Range given as "7.5-8".  Fineness unknown but excellent discussion of problem</t>
  </si>
  <si>
    <t>"In the reign of Pharaoh Menes"</t>
  </si>
  <si>
    <t>Notes2</t>
  </si>
  <si>
    <t>Yalcin 1999</t>
  </si>
  <si>
    <t>Leemans RIA 1969</t>
  </si>
  <si>
    <t>Leemans 1969</t>
  </si>
  <si>
    <t>Janssen 1975</t>
  </si>
  <si>
    <t>Cooper unpubl 2015 quoting Janssen 1975</t>
  </si>
  <si>
    <t>Kleber 2020 and pers comm Feb 2017</t>
  </si>
  <si>
    <t>Lewis1968 and Thompson 1964</t>
  </si>
  <si>
    <t>Thompson 1964</t>
  </si>
  <si>
    <t>Panagopoulu 2016</t>
  </si>
  <si>
    <t>Butcher &amp; Ponting 2014; Rodrigues et al 2011</t>
  </si>
  <si>
    <t>Moorehead 2012</t>
  </si>
  <si>
    <t>Potts 1997: 183</t>
  </si>
  <si>
    <t>Waetzold 1985; Archi 1993: 51 quoting tablet ARET VII(8)</t>
  </si>
  <si>
    <t>Cerny 1954: 905</t>
  </si>
  <si>
    <t>Farber 1978: 3</t>
  </si>
  <si>
    <t>Leemans 1969 RLA table (Potts 1997: 183 says 5)</t>
  </si>
  <si>
    <t>Potts 1997: 183 also Leemans 1969 RLA table</t>
  </si>
  <si>
    <t>Cerny 1954: 606</t>
  </si>
  <si>
    <t>Farber 1978: 6 footnote</t>
  </si>
  <si>
    <t>Janssen 1975: 307 also Cerny 1954</t>
  </si>
  <si>
    <t>Lannoye 2015: 36</t>
  </si>
  <si>
    <t>Davies 2002: 85</t>
  </si>
  <si>
    <t>Lewis 1968: 107</t>
  </si>
  <si>
    <t>Davies 2002: 86</t>
  </si>
  <si>
    <t>Crawford 1974 Vol2: 626</t>
  </si>
  <si>
    <t>Harl 1996: 28 note 22</t>
  </si>
  <si>
    <t>Harl 1996: 33.: 33; Woytek 2012</t>
  </si>
  <si>
    <t>Harl 1996: 126</t>
  </si>
  <si>
    <t>Harl1996: 159</t>
  </si>
  <si>
    <t>Moorehead 2012: 509</t>
  </si>
  <si>
    <t>Constantine II reduced wt of argentus by one third; but both solidus and denarius 98% fine, so tariff &amp; coinage rates are identical</t>
  </si>
  <si>
    <t>From"Glossary of Old Akkadian, Chicago, 1957: 133</t>
  </si>
  <si>
    <t xml:space="preserve">"Yellow brilliant gold" according to Hauptman et al = best = 15-21 shekels Ag; Ur anomalous according to Powell: 81- Outside Ur, during entire Bronze Age, was 2-10:1; </t>
  </si>
  <si>
    <t>Dandamayev 1988: 57</t>
  </si>
  <si>
    <t>Davies 2002: 86 Melville-Jones 1978</t>
  </si>
  <si>
    <t>Melville-Jones 1978</t>
  </si>
  <si>
    <t>Woytek 2012;Harl 1996: 33</t>
  </si>
  <si>
    <t>Woytek 2012 Harl 1996: 33</t>
  </si>
  <si>
    <t>Att Date</t>
  </si>
  <si>
    <r>
      <rPr>
        <b/>
        <sz val="14"/>
        <color theme="1"/>
        <rFont val="Calibri"/>
        <family val="2"/>
        <scheme val="minor"/>
      </rPr>
      <t>Accepted Value</t>
    </r>
    <r>
      <rPr>
        <b/>
        <sz val="11"/>
        <color theme="1"/>
        <rFont val="Calibri"/>
        <family val="2"/>
        <scheme val="minor"/>
      </rPr>
      <t xml:space="preserve">
Au:Ag 
(= GSR)</t>
    </r>
  </si>
  <si>
    <t>Not used as huge range and atypical of period</t>
  </si>
  <si>
    <t>Derived from range 16-48</t>
  </si>
  <si>
    <t>Powell 1990:81 concludes red =fine gold but thinks high UrIII ratios were anomalous in historic context; See however Hauptman et al. 2018</t>
  </si>
  <si>
    <t>Note contrast 30 years earlier. Possibly different fineness</t>
  </si>
  <si>
    <t>Sale of Ag by State could be 11 or 12 but Thompson favours 11.</t>
  </si>
  <si>
    <t xml:space="preserve"> Tariff rate GSR and Coinage rate GSR calculated from data provided in Butcher and Ponting 2014: 701 (Appendix 1) &amp; : 704 (Appendix 2) for specified periods</t>
  </si>
  <si>
    <t>Butcher &amp; Ponting 2014: 704 App2</t>
  </si>
  <si>
    <t>Butcher &amp; Ponting 2014: 701 App1 &amp;: 704 App2</t>
  </si>
  <si>
    <t>117-138 CE</t>
  </si>
  <si>
    <t xml:space="preserve">138-148 CE </t>
  </si>
  <si>
    <t>148-155 CE</t>
  </si>
  <si>
    <t>155-161 CE</t>
  </si>
  <si>
    <t>161-168 CE</t>
  </si>
  <si>
    <t xml:space="preserve">170-180 </t>
  </si>
  <si>
    <t>301 (end of yr)</t>
  </si>
  <si>
    <t>NO CALCULATION POSSIBLE</t>
  </si>
  <si>
    <t>Butcher &amp; Ponting, 2014; Rodrigues et al. 2011</t>
  </si>
  <si>
    <t>Estiot 2012 Table 29.D</t>
  </si>
  <si>
    <t>Moorhead 2012</t>
  </si>
  <si>
    <t>Au fineness assumed &lt;= 100 %</t>
  </si>
  <si>
    <t>Ag fineness assumed =&gt; 100  %</t>
  </si>
  <si>
    <r>
      <rPr>
        <b/>
        <sz val="11"/>
        <color rgb="FFFF0000"/>
        <rFont val="Calibri"/>
        <family val="2"/>
        <scheme val="minor"/>
      </rPr>
      <t xml:space="preserve">OR </t>
    </r>
    <r>
      <rPr>
        <b/>
        <sz val="11"/>
        <rFont val="Calibri"/>
        <family val="2"/>
        <scheme val="minor"/>
      </rPr>
      <t>No of gold coins per Roman pound</t>
    </r>
  </si>
  <si>
    <r>
      <t xml:space="preserve">Silver coin weight </t>
    </r>
    <r>
      <rPr>
        <b/>
        <sz val="11"/>
        <color rgb="FFFF0000"/>
        <rFont val="Calibri"/>
        <family val="2"/>
        <scheme val="minor"/>
      </rPr>
      <t>DIRECT (g)</t>
    </r>
  </si>
  <si>
    <r>
      <rPr>
        <b/>
        <sz val="11"/>
        <color rgb="FF7030A0"/>
        <rFont val="Calibri"/>
        <family val="2"/>
        <scheme val="minor"/>
      </rPr>
      <t>ADOPTED "</t>
    </r>
    <r>
      <rPr>
        <b/>
        <u/>
        <sz val="11"/>
        <color rgb="FF7030A0"/>
        <rFont val="Calibri"/>
        <family val="2"/>
        <scheme val="minor"/>
      </rPr>
      <t>Tariff GSR</t>
    </r>
    <r>
      <rPr>
        <b/>
        <sz val="11"/>
        <color rgb="FF7030A0"/>
        <rFont val="Calibri"/>
        <family val="2"/>
        <scheme val="minor"/>
      </rPr>
      <t>"</t>
    </r>
    <r>
      <rPr>
        <b/>
        <sz val="11"/>
        <color theme="1"/>
        <rFont val="Calibri"/>
        <family val="2"/>
        <scheme val="minor"/>
      </rPr>
      <t xml:space="preserve"> (calculated from </t>
    </r>
    <r>
      <rPr>
        <b/>
        <sz val="11"/>
        <color rgb="FFFF0000"/>
        <rFont val="Calibri"/>
        <family val="2"/>
        <scheme val="minor"/>
      </rPr>
      <t xml:space="preserve">DIRECT </t>
    </r>
    <r>
      <rPr>
        <b/>
        <sz val="11"/>
        <color theme="1"/>
        <rFont val="Calibri"/>
        <family val="2"/>
        <scheme val="minor"/>
      </rPr>
      <t>coin weights assuming 100% pure</t>
    </r>
  </si>
  <si>
    <t>Siliqua (Denarius argentus of Abdy)</t>
  </si>
  <si>
    <r>
      <t xml:space="preserve">Derived Au:Ag </t>
    </r>
    <r>
      <rPr>
        <b/>
        <sz val="11"/>
        <color rgb="FFFF0000"/>
        <rFont val="Calibri"/>
        <family val="2"/>
        <scheme val="minor"/>
      </rPr>
      <t>DIRECT</t>
    </r>
    <r>
      <rPr>
        <b/>
        <sz val="11"/>
        <color theme="1"/>
        <rFont val="Calibri"/>
        <family val="2"/>
        <scheme val="minor"/>
      </rPr>
      <t xml:space="preserve"> (with no rounding to 100%)</t>
    </r>
  </si>
  <si>
    <r>
      <rPr>
        <b/>
        <sz val="11"/>
        <color rgb="FFDF21BB"/>
        <rFont val="Calibri"/>
        <family val="2"/>
        <scheme val="minor"/>
      </rPr>
      <t>ADOPTED  
"</t>
    </r>
    <r>
      <rPr>
        <b/>
        <u/>
        <sz val="11"/>
        <color rgb="FFDF21BB"/>
        <rFont val="Calibri"/>
        <family val="2"/>
        <scheme val="minor"/>
      </rPr>
      <t>Coinage rate GSR</t>
    </r>
    <r>
      <rPr>
        <b/>
        <sz val="11"/>
        <color rgb="FFDF21BB"/>
        <rFont val="Calibri"/>
        <family val="2"/>
        <scheme val="minor"/>
      </rPr>
      <t>"</t>
    </r>
    <r>
      <rPr>
        <b/>
        <sz val="11"/>
        <color theme="1"/>
        <rFont val="Calibri"/>
        <family val="2"/>
        <scheme val="minor"/>
      </rPr>
      <t xml:space="preserve"> (incorporating purity assumptions for both Au and Ag)</t>
    </r>
  </si>
  <si>
    <r>
      <t xml:space="preserve">Gold coin weight </t>
    </r>
    <r>
      <rPr>
        <sz val="11"/>
        <color rgb="FFFF0000"/>
        <rFont val="Calibri"/>
        <family val="2"/>
        <scheme val="minor"/>
      </rPr>
      <t>DERIVED from No per pound</t>
    </r>
    <r>
      <rPr>
        <sz val="11"/>
        <color theme="1"/>
        <rFont val="Calibri"/>
        <family val="2"/>
        <scheme val="minor"/>
      </rPr>
      <t xml:space="preserve"> OR direct weight if that not available</t>
    </r>
  </si>
  <si>
    <t>Calculation of Au:Ag "Tariff rate GSR" and "Coinage rate GSR" from coinage exchange rates, weights and fineness- with assumptions on levels of purity that can be considered as 100%</t>
  </si>
  <si>
    <t>Assumed Roman pound = &gt;</t>
  </si>
  <si>
    <t>(grams)</t>
  </si>
  <si>
    <t>Exchange rate: number of silver coins  for 1 gold coin</t>
  </si>
  <si>
    <r>
      <t>Gold coin weight direct</t>
    </r>
    <r>
      <rPr>
        <b/>
        <sz val="11"/>
        <color rgb="FFFF0000"/>
        <rFont val="Calibri"/>
        <family val="2"/>
        <scheme val="minor"/>
      </rPr>
      <t xml:space="preserve"> (g)</t>
    </r>
  </si>
  <si>
    <r>
      <t xml:space="preserve">Contained Au (grams) in gold coin </t>
    </r>
    <r>
      <rPr>
        <sz val="11"/>
        <color rgb="FFFF0000"/>
        <rFont val="Calibri"/>
        <family val="2"/>
        <scheme val="minor"/>
      </rPr>
      <t xml:space="preserve">DIRECT </t>
    </r>
    <r>
      <rPr>
        <sz val="11"/>
        <color theme="1"/>
        <rFont val="Calibri"/>
        <family val="2"/>
        <scheme val="minor"/>
      </rPr>
      <t>from fineness and weight</t>
    </r>
  </si>
  <si>
    <t>Republican</t>
  </si>
  <si>
    <t xml:space="preserve">Powell 1990: 81 &amp; source is I.J. Gelb 1957 </t>
  </si>
  <si>
    <t>Hauptman et al 2018; see also Waetzoldt 1985; Powell 1990</t>
  </si>
  <si>
    <t>Cross-check Difference (%) Direct vs with purity assumption</t>
  </si>
  <si>
    <t>Author1; Harl, 1996: 132</t>
  </si>
  <si>
    <t>Author1: Harl, 1996: 127</t>
  </si>
  <si>
    <t>Rathbone &amp; von Redden 2015: 227 quoting Bagnall 1977: 336-327</t>
  </si>
  <si>
    <t>Bagnall 1989: 69-76 monthly gold quotations in papyrus P. Oxy. 3773 ; range 14.25-16.25 but most c. 14.4</t>
  </si>
  <si>
    <t xml:space="preserve">Gitler &amp; Ponting 2007 </t>
  </si>
  <si>
    <r>
      <rPr>
        <b/>
        <u/>
        <sz val="14"/>
        <color theme="1"/>
        <rFont val="Calibri"/>
        <family val="2"/>
        <scheme val="minor"/>
      </rPr>
      <t xml:space="preserve">Source </t>
    </r>
    <r>
      <rPr>
        <b/>
        <sz val="11"/>
        <color theme="1"/>
        <rFont val="Calibri"/>
        <family val="2"/>
        <scheme val="minor"/>
      </rPr>
      <t xml:space="preserve">
</t>
    </r>
    <r>
      <rPr>
        <b/>
        <sz val="11"/>
        <color rgb="FFFF0000"/>
        <rFont val="Calibri"/>
        <family val="2"/>
        <scheme val="minor"/>
      </rPr>
      <t xml:space="preserve">
Note that full bibliographic references for all sources are listed in the worksheet 
</t>
    </r>
    <r>
      <rPr>
        <b/>
        <i/>
        <sz val="11"/>
        <color rgb="FFFF0000"/>
        <rFont val="Calibri"/>
        <family val="2"/>
        <scheme val="minor"/>
      </rPr>
      <t>"Source_References"</t>
    </r>
  </si>
  <si>
    <t>Source_References</t>
  </si>
  <si>
    <t>List of worksheets</t>
  </si>
  <si>
    <t>Date for plotting</t>
  </si>
  <si>
    <t>Time range</t>
  </si>
  <si>
    <t>Period</t>
  </si>
  <si>
    <t>Aureus weight (grams)</t>
  </si>
  <si>
    <t>Weight of Ag in 25 denari (grams)</t>
  </si>
  <si>
    <t>B&amp;P stated GSR</t>
  </si>
  <si>
    <t>Calculated weight of Ag in 1 denarius (grams)</t>
  </si>
  <si>
    <t>Note 1: Butcher &amp; Ponting 2014 is abbvreviated "B&amp;P" in these tables</t>
  </si>
  <si>
    <t>Cross-check fineness</t>
  </si>
  <si>
    <t>Coss-check fineness % diff</t>
  </si>
  <si>
    <r>
      <t xml:space="preserve">Our calculated 
</t>
    </r>
    <r>
      <rPr>
        <b/>
        <sz val="11"/>
        <color rgb="FFFF0000"/>
        <rFont val="Calibri"/>
        <family val="2"/>
        <scheme val="minor"/>
      </rPr>
      <t>Coinage rate GSR</t>
    </r>
    <r>
      <rPr>
        <sz val="11"/>
        <color theme="1"/>
        <rFont val="Calibri"/>
        <family val="2"/>
        <scheme val="minor"/>
      </rPr>
      <t xml:space="preserve">
(this generally agrees with B&amp;P stated ratio - see next column)</t>
    </r>
  </si>
  <si>
    <t>Cross-check % difference of calculated Au:Ag vs B&amp;P table values</t>
  </si>
  <si>
    <t>Cross-check wt Ag in denarius % diff</t>
  </si>
  <si>
    <t>Asumed exchange rate silver coins for 
1 gold coin</t>
  </si>
  <si>
    <r>
      <t xml:space="preserve">GSR (Au:Ag) TABLE.    
</t>
    </r>
    <r>
      <rPr>
        <sz val="12"/>
        <color theme="1"/>
        <rFont val="Calibri"/>
        <family val="2"/>
        <scheme val="minor"/>
      </rPr>
      <t xml:space="preserve">[for explanation of fields, refer worksheet "Assumptions&amp;fields"]
</t>
    </r>
    <r>
      <rPr>
        <b/>
        <sz val="14"/>
        <color theme="1"/>
        <rFont val="Calibri"/>
        <family val="2"/>
        <scheme val="minor"/>
      </rPr>
      <t>Notes1</t>
    </r>
    <r>
      <rPr>
        <sz val="14"/>
        <color theme="1"/>
        <rFont val="Calibri"/>
        <family val="2"/>
        <scheme val="minor"/>
      </rPr>
      <t xml:space="preserve">
</t>
    </r>
  </si>
  <si>
    <t>Boyle 1968: 1</t>
  </si>
  <si>
    <t>Biga and Steinkeller(2021: 16)</t>
  </si>
  <si>
    <t>Gilles Bransbourg personal communication: email 11/5/19</t>
  </si>
  <si>
    <t>Augustan-era document (5-2 BCE) Chla 43 1241 = CPL 247 (Recalculated for consistency at Roman pound 327 because Bransbourgh used 323)</t>
  </si>
  <si>
    <t>Column name</t>
  </si>
  <si>
    <t>Content</t>
  </si>
  <si>
    <t>Explanation</t>
  </si>
  <si>
    <t>Gold Quality</t>
  </si>
  <si>
    <t>The GSR as calculated from known/assumed exchange rate of gold and silver coins, and specified coin weights, but assuming 100% purity</t>
  </si>
  <si>
    <t>After Wilkinson, 2010 pp. xiv-xxiii [OLD KINGDOM, 2575–2125 BCE; MIDDLE KINGDOM, 2010–1630 BCE; NEW KINGDOM, 1539–1069 BCE]</t>
  </si>
  <si>
    <t>After van der Mieroop, 2007 [This is equivalent to the "Middle chronology". It fixes the reign of Hammurabi to 1792–1750 BCE and the sack of Babylon at end of First Dynasty to 1595 BCE]</t>
  </si>
  <si>
    <t>Sulla First Au coin for 100 years minted at 30/lb Harl 1996 p. 51; exchange rate 28-34 denari per aureus; refer Harl 1996: 52</t>
  </si>
  <si>
    <t>Estiot 2012- Aurelian reform; aureus 50/lb equiv to 400 aureliani @ 5% Ag &amp; 80/lb</t>
  </si>
  <si>
    <t>Estiot 2012: 458 and  Table 29.D- - Argentus 80% fine</t>
  </si>
  <si>
    <t xml:space="preserve">Moorhead 2012  - Valentinian solidus 72/lb; siliquae 144/lb </t>
  </si>
  <si>
    <t>Moorhead 2012- Standards maintained until 395 CE</t>
  </si>
  <si>
    <t>Moorhead 2012- siliqua 192/lb</t>
  </si>
  <si>
    <t>Woytek, 2012;Harl,1996: 33. First denarius 2011 96.2% 72/lb; Aureus ceased around 208-209. Harl 1996: 33- Ag:Au of 8:1 imposed by senate to attact Ag; 3.4gm aureis tariffed 6:1 vs 4.54gm den</t>
  </si>
  <si>
    <t>Caracalla In 213CE lowered aureus to 50/lb 6.54 gms</t>
  </si>
  <si>
    <t>ESTIMATES OF ROMAN COIN METROLOGY AND FINENESS</t>
  </si>
  <si>
    <t xml:space="preserve">Coin fineness: </t>
  </si>
  <si>
    <t>Butcher &amp; Ponting 2012 Table 2</t>
  </si>
  <si>
    <t>Butcher &amp; Ponting 2012 Table 3</t>
  </si>
  <si>
    <t>Butcher &amp; Ponting 2012 Table 4</t>
  </si>
  <si>
    <t>Butcher &amp; Ponting 2012 Table 5; Harl11996:132</t>
  </si>
  <si>
    <t>Gitler &amp; Ponting 2007; Harl 1996:127</t>
  </si>
  <si>
    <t>Walker 1976 (**Adj)</t>
  </si>
  <si>
    <t>Woytek 2012: 318-319 from marked coins. denarius = 10 asses so 6d to 1 aureus</t>
  </si>
  <si>
    <t>Au|Ag_from_coins_29BCE-100CE</t>
  </si>
  <si>
    <t>Au|Ag_from_coins_100-400CE</t>
  </si>
  <si>
    <t>Roman_Coin_Calcs_Explanation</t>
  </si>
  <si>
    <t>Worksheet containing full bibliographic citations  for all sources of data listed in the other worksheets</t>
  </si>
  <si>
    <r>
      <t>Pense, A.W. 1992. The decline and fall of the roman Denarius.</t>
    </r>
    <r>
      <rPr>
        <i/>
        <sz val="11"/>
        <color theme="1"/>
        <rFont val="Calibri"/>
        <family val="2"/>
        <scheme val="minor"/>
      </rPr>
      <t xml:space="preserve"> Materials Characterization</t>
    </r>
    <r>
      <rPr>
        <sz val="11"/>
        <color theme="1"/>
        <rFont val="Calibri"/>
        <family val="2"/>
        <scheme val="minor"/>
      </rPr>
      <t xml:space="preserve"> 29(2) 213-222. Doi: https://doi.org/10.1016/1044-5803(92)90116-Y.</t>
    </r>
  </si>
  <si>
    <t>Harl 1996:132</t>
  </si>
  <si>
    <t>The percentages of gold and silver in the coins come directly from referenced sources, except from the period 212-253 CE (discussed below). Other than that interval, the fineness chosen is believed to represent silver contents from beneath the surface zone of silver enrichment in samples of representative coins (Butcher and Ponting 2012; 2014).</t>
  </si>
  <si>
    <r>
      <t xml:space="preserve">Walker, D.R., 1976. Metrology of Roman Silver Coinage, Parts 1-3. </t>
    </r>
    <r>
      <rPr>
        <i/>
        <sz val="11"/>
        <color theme="1"/>
        <rFont val="Calibri"/>
        <family val="2"/>
        <scheme val="minor"/>
      </rPr>
      <t>British Archaeological Reports Supplement,</t>
    </r>
    <r>
      <rPr>
        <sz val="11"/>
        <color theme="1"/>
        <rFont val="Calibri"/>
        <family val="2"/>
        <scheme val="minor"/>
      </rPr>
      <t xml:space="preserve"> 5.</t>
    </r>
  </si>
  <si>
    <r>
      <t xml:space="preserve">Walker, D.R., 1977. Metrology of Roman Silver Coinage, Volume II. From3 Nerva to Commodus. </t>
    </r>
    <r>
      <rPr>
        <i/>
        <sz val="11"/>
        <color theme="1"/>
        <rFont val="Calibri"/>
        <family val="2"/>
        <scheme val="minor"/>
      </rPr>
      <t xml:space="preserve">British Archaeological Reports Supplement </t>
    </r>
    <r>
      <rPr>
        <sz val="11"/>
        <color theme="1"/>
        <rFont val="Calibri"/>
        <family val="2"/>
        <scheme val="minor"/>
      </rPr>
      <t>22.</t>
    </r>
  </si>
  <si>
    <r>
      <t xml:space="preserve">Walker, D.R., 1978. Metrology of Roman Silver Coinage, Volume III. From3 From Pertinax to Uranius Antoninus. </t>
    </r>
    <r>
      <rPr>
        <i/>
        <sz val="11"/>
        <color theme="1"/>
        <rFont val="Calibri"/>
        <family val="2"/>
        <scheme val="minor"/>
      </rPr>
      <t xml:space="preserve">British Archaeological Reports Supplement </t>
    </r>
    <r>
      <rPr>
        <sz val="11"/>
        <color theme="1"/>
        <rFont val="Calibri"/>
        <family val="2"/>
        <scheme val="minor"/>
      </rPr>
      <t>40</t>
    </r>
  </si>
  <si>
    <t>Worksheet Roman_Coin_Calcs_Explanation</t>
  </si>
  <si>
    <t>Worsheet "Au|Ag_from_coins_29BCE-100CE"</t>
  </si>
  <si>
    <t>Paper submitted to Cambridge Archaeological Journal August 2023</t>
  </si>
  <si>
    <r>
      <rPr>
        <b/>
        <u/>
        <sz val="11"/>
        <color rgb="FFFF0000"/>
        <rFont val="Calibri"/>
        <family val="2"/>
        <scheme val="minor"/>
      </rPr>
      <t xml:space="preserve">MAIN TABLE: </t>
    </r>
    <r>
      <rPr>
        <u/>
        <sz val="11"/>
        <color rgb="FFFF0000"/>
        <rFont val="Calibri"/>
        <family val="2"/>
        <scheme val="minor"/>
      </rPr>
      <t xml:space="preserve"> </t>
    </r>
    <r>
      <rPr>
        <sz val="11"/>
        <color rgb="FFFF0000"/>
        <rFont val="Calibri"/>
        <family val="2"/>
        <scheme val="minor"/>
      </rPr>
      <t>Compilation of GSR (Gold:Silver ratio) values assembled from various sources, from 2900 BCE to 400CE</t>
    </r>
  </si>
  <si>
    <t>Worksheet for calculating tarrif rate GSR and coinage rate GSR from stated coin weights, purities and exchange rates</t>
  </si>
  <si>
    <t>Worksheet calculating tarrif rate GSR and coinage rate GSR from data provided in Butcher &amp; Ponting 2014 their Appendix 1 and Appendix 2</t>
  </si>
  <si>
    <t>Worksheet giving explanation of method of calculation of coin fineness for interval 212-253 CE</t>
  </si>
  <si>
    <t>Worksheet "Assumptions&amp;Fields"</t>
  </si>
  <si>
    <r>
      <t xml:space="preserve">This is the on-line Supplementary data Appendix 1 for the paper 
</t>
    </r>
    <r>
      <rPr>
        <b/>
        <sz val="14"/>
        <color theme="1"/>
        <rFont val="Calibri"/>
        <family val="2"/>
        <scheme val="minor"/>
      </rPr>
      <t>"HOW VALUABLE WERE GOLD AND SILVER IN THE ANCIENT PAST? PART I: THEIR RELATIVE VALUES, 2500 BCE-400 CE." by James Ross and Leigh Bettenay</t>
    </r>
  </si>
  <si>
    <t>Aurelian (reform)</t>
  </si>
  <si>
    <t>Most are either described in the text or are self-evident. Note, however, that Egypt is plotted as a discrete entity to emphasize its long-term changes even though it formed part of various empires including Neo-Assyrian, Achaemanid, Ptolemaic, Rome/Byzantine and Islamic caliphates</t>
  </si>
  <si>
    <t xml:space="preserve"> Att Date</t>
  </si>
  <si>
    <t>Attributed date (for plotting)</t>
  </si>
  <si>
    <t>Best estimate of date, based on description in source reference and the choronologies as described above. Could be quite precise or imprecise depending on source information</t>
  </si>
  <si>
    <t>Accepted value</t>
  </si>
  <si>
    <t>Accepted/chosen value for gold:silver ratio (GSR)</t>
  </si>
  <si>
    <t>Probably quality-dependent. Note similar values at both Assur and Kultepe [top of range chosen for "LG"]</t>
  </si>
  <si>
    <t>Probably quality-dependent. Note similar values at both Assur and Kultepe [Top of range chosen for "GG"]</t>
  </si>
  <si>
    <t>Englund 2012: 442</t>
  </si>
  <si>
    <t>7-20</t>
  </si>
  <si>
    <t>Del Monte 2009; Powell 1990 [top of range chosen for "GG"]</t>
  </si>
  <si>
    <t>Del Monte 2009; Powell 1990 [Bottom of range chosen to plot "other gold"]</t>
  </si>
  <si>
    <t>Dandamayev 1988 [Top of range chosen for "LG"]</t>
  </si>
  <si>
    <t>Dandamayev 1988 [Bottom of range chosen to plot "other gold"]</t>
  </si>
  <si>
    <t>Quoted by Boyle without attributed source (but same statement also appears in other books)</t>
  </si>
  <si>
    <t>Range or value quoted, or calculation</t>
  </si>
  <si>
    <t>Range or value quoted, or calculations</t>
  </si>
  <si>
    <t>Value(s) extracted from source, or if necessary calculated from data in source</t>
  </si>
  <si>
    <t>Include [Y/N/C]</t>
  </si>
  <si>
    <t>Field to include or exclude certain values from plotting (particlualry where better data are avalable from other sources or where chronology cannot be established. Note "C" is a special case where GSR is derived from coinage rate</t>
  </si>
  <si>
    <t>C</t>
  </si>
  <si>
    <t>Philip I (Anton) Based on exch rate of aureus: antonianas of 1:25Introd at nominal 2 denari but only had Ag of 1.5 a/c Wiki]</t>
  </si>
  <si>
    <t>Decius, civil war Based on exch rate of aureus: antonianas of 1:25</t>
  </si>
  <si>
    <t>Gallus, civil war Based on exch rate of aureus: antonianas of 1:25</t>
  </si>
  <si>
    <t>Worksheet "Au|Ag_from_coins_100-400CE"</t>
  </si>
  <si>
    <t>Refer: Worksheet "Au|Ag_from_coins_100-400CE"</t>
  </si>
  <si>
    <t>Refer: Worsheet "Au|Ag_from_coins_29BCE-100CE"</t>
  </si>
  <si>
    <t>Caracalla (In 213CE he lowered aureus to 50/lb 6.54 gms)</t>
  </si>
  <si>
    <t>Heltzer 1977: 205</t>
  </si>
  <si>
    <t>Waetzold 1985; see also Faber 1978: 3 and Heltzer 1977: 205</t>
  </si>
  <si>
    <t>Heltzer 1977: 205; also Zaccagnini 1988</t>
  </si>
  <si>
    <t>Heltzer 1977: 205 quoting Cerny 1953</t>
  </si>
  <si>
    <t>Haring 2009 also Helzer 1977 note 29: 205</t>
  </si>
  <si>
    <t>Janssen 1975: 306 quoting corrected data in Cerny 1954 wrong in table there)</t>
  </si>
  <si>
    <t>Jursa 2010: 524 Note 2856</t>
  </si>
  <si>
    <t>Treister 1996: 251</t>
  </si>
  <si>
    <t>Treister 1996: 252 (quoting Guepin 1979)</t>
  </si>
  <si>
    <t>Walker 1976 (**Adj); see fineness data in worksheet "Au|Ag coin calcs"</t>
  </si>
  <si>
    <t>Walker 1976 (**Adj);: Harl 1996: 127</t>
  </si>
  <si>
    <t>Walker 1976 (**Adj);</t>
  </si>
  <si>
    <t>Harl 1996: 151-2</t>
  </si>
  <si>
    <t>Walker 1976 (**Adj); Harl 1996 p132</t>
  </si>
  <si>
    <t>Walker 1976 (**Adj);  Harl 1996: 127</t>
  </si>
  <si>
    <t>Walker 1976 (**Adj);  Harl 1996: 128</t>
  </si>
  <si>
    <t>Walker 1976 (**Adj); Harl 1996 p127</t>
  </si>
  <si>
    <t>Source</t>
  </si>
  <si>
    <t>Source of information</t>
  </si>
  <si>
    <t>Refer worksheet "Source references" for full bibliographic citations of each</t>
  </si>
  <si>
    <t>Notes1</t>
  </si>
  <si>
    <t>Site for which information is recorded (generalized into "region" and "sub-region")</t>
  </si>
  <si>
    <t>Explained in the text and refer Figures 5 and 6 [note colours are purely used for visual discrimination of sub-regions and have no other significance]</t>
  </si>
  <si>
    <t>Assur, recovery of funds in joint stock co based on 8:1 ratio [not used as probably has no reflection to relative values ]</t>
  </si>
  <si>
    <t>Investors in a Naruqqum invested at notional 4:1 ratio, but investment liquidated at 8:1</t>
  </si>
  <si>
    <t>Worksheet "Au|Ag_Table" fields explanations</t>
  </si>
  <si>
    <r>
      <t xml:space="preserve">SOURCE Reference
</t>
    </r>
    <r>
      <rPr>
        <i/>
        <sz val="11"/>
        <color theme="1"/>
        <rFont val="Calibri"/>
        <family val="2"/>
        <scheme val="minor"/>
      </rPr>
      <t>For entries labelled "Walker 1976 (**Adj) refer worksheet "Roman_Coin_Calcs_Explanation"</t>
    </r>
  </si>
  <si>
    <t>Worksheet "Source_References"</t>
  </si>
  <si>
    <t>Worksheet "Info&amp;Contents"</t>
  </si>
  <si>
    <t>These fields are intermediate calculation fields</t>
  </si>
  <si>
    <r>
      <t>Coin weights: These are d</t>
    </r>
    <r>
      <rPr>
        <sz val="11"/>
        <color theme="1"/>
        <rFont val="Calibri"/>
        <family val="2"/>
        <scheme val="minor"/>
      </rPr>
      <t>erived from the quoted source references until 118 CE. From 118-253 CE, we have employed the weights recorded by Walker (1976; 1977; 1978), re-calculated where necessary to a Roman pound of 327 grams. According to Kevin Butcher (personal communication to the first author by email, 30 June 2020) our adopted coin weights or this period concur with the general consensus.</t>
    </r>
  </si>
  <si>
    <r>
      <t>From about 170CE it is widely accepted that fineness of the denarius and other Roman silver coins deteriorated dramatically (Pense 1991 Figure 1). However, the main coinage study in this period by Walker (1976; 1977; 1978) has been criticised by Butcher and Ponting 2014 on the basis that it failed to account for surface enrichment and was based on pure metal rather than bullion.</t>
    </r>
    <r>
      <rPr>
        <b/>
        <sz val="11"/>
        <color theme="1"/>
        <rFont val="Calibri"/>
        <family val="2"/>
        <scheme val="minor"/>
      </rPr>
      <t xml:space="preserve"> </t>
    </r>
    <r>
      <rPr>
        <sz val="11"/>
        <color theme="1"/>
        <rFont val="Calibri"/>
        <family val="2"/>
        <scheme val="minor"/>
      </rPr>
      <t xml:space="preserve">Therefore, for the period 212-253 CE, coin Ag percentages were derived indirectly from the data of Walker by the following method: First, the possibility that some of Walker’s many samples may have penetrated beneath the surface zone of silver enrichment was tested by comparing the median fineness of the lowest ten percent of Walker’s results for a given time interval with the results obtained by Butcher and Ponting 2014 for the same period. This comparison was repeated for 20 more intervals and in 19 of the 21 comparisons, the Walker data was no more than 3.3 higher percent higher and mostly less than two percent, indicating that those particular samples had avoided strong surface enrichment of silver. Second, allowance for the conversion of Walker’s data expressed in silver, to the bullion used by Butcher and Ponting 2014 requires addition of almost another two percent to the difference. The mean of the resulting comparisons indicates that the adjusted Walker data is higher than the Butcher and Ponting estimate of silver content by 4.27 percent in the 19 examples. We have then assumed that the Walker data for periods not covered by Butcher and Ponting sampling would have a similar character. Therefore, </t>
    </r>
    <r>
      <rPr>
        <b/>
        <i/>
        <sz val="11"/>
        <color theme="1"/>
        <rFont val="Calibri"/>
        <family val="2"/>
        <scheme val="minor"/>
      </rPr>
      <t xml:space="preserve">for the intervals during 212-253 CE, we have taken the lowest ten percent of the Walker data and factored the mean of that population down by 0.96. to derive the fineness applied in our table. </t>
    </r>
    <r>
      <rPr>
        <sz val="11"/>
        <color theme="1"/>
        <rFont val="Calibri"/>
        <family val="2"/>
        <scheme val="minor"/>
      </rPr>
      <t>The resulting estimates of fineness were shared with Kevin Butcher who observed that “the fineness figures are probably about right” in an email to the first author of 8 June, 2018.</t>
    </r>
  </si>
  <si>
    <r>
      <t xml:space="preserve">Set as constant </t>
    </r>
    <r>
      <rPr>
        <b/>
        <sz val="11"/>
        <color theme="1"/>
        <rFont val="Calibri"/>
        <family val="2"/>
        <scheme val="minor"/>
      </rPr>
      <t>327g</t>
    </r>
    <r>
      <rPr>
        <sz val="11"/>
        <color theme="1"/>
        <rFont val="Calibri"/>
        <family val="2"/>
        <scheme val="minor"/>
      </rPr>
      <t xml:space="preserve"> after Butcher and Ponting, 2014: 703 (notwithstanding the likeliehood that it decreased- perhaps to as low as 319g in Byzantine times, c.f. Entwhislte, 2002: 612; but note this still amounts to less than a 3% change so has limited effect on calculations)</t>
    </r>
  </si>
  <si>
    <r>
      <t xml:space="preserve">The GSR as calculated from coinage exchange rate, specified coin weights, </t>
    </r>
    <r>
      <rPr>
        <b/>
        <i/>
        <sz val="11"/>
        <color theme="1"/>
        <rFont val="Calibri"/>
        <family val="2"/>
        <scheme val="minor"/>
      </rPr>
      <t xml:space="preserve">plus </t>
    </r>
    <r>
      <rPr>
        <sz val="11"/>
        <color theme="1"/>
        <rFont val="Calibri"/>
        <family val="2"/>
        <scheme val="minor"/>
      </rPr>
      <t xml:space="preserve">measured metal purity and hence precious metal content in each coin. Since silver coinage is more prone to debasement, the coinage rate can be substantially lower than the tariff rate </t>
    </r>
  </si>
  <si>
    <r>
      <t xml:space="preserve">Refer discussion in paper. Attestations of "good gold" and "red gold" are assumed to provide GSR values for essentially pure gold and classified as </t>
    </r>
    <r>
      <rPr>
        <b/>
        <sz val="11"/>
        <color rgb="FFFF0000"/>
        <rFont val="Calibri"/>
        <family val="2"/>
        <scheme val="minor"/>
      </rPr>
      <t>GG</t>
    </r>
    <r>
      <rPr>
        <sz val="11"/>
        <color theme="1"/>
        <rFont val="Calibri"/>
        <family val="2"/>
        <scheme val="minor"/>
      </rPr>
      <t xml:space="preserve"> (11 examples); GSR values at the top of a range of concurrent values, but lacking attestation of either "good gold" or "red gold" are assumed to be essentially for pure gold and classified as "likely good gold" </t>
    </r>
    <r>
      <rPr>
        <b/>
        <sz val="11"/>
        <color rgb="FFFF0000"/>
        <rFont val="Calibri"/>
        <family val="2"/>
        <scheme val="minor"/>
      </rPr>
      <t>LG</t>
    </r>
    <r>
      <rPr>
        <sz val="11"/>
        <color theme="1"/>
        <rFont val="Calibri"/>
        <family val="2"/>
        <scheme val="minor"/>
      </rPr>
      <t xml:space="preserve"> (8 values); isolated GSR values that appear to be relatively high in the context of surrounding values, and have a chronological separation of at least 50 years from adjacent isolated values from the same region, are classified as "possibly good gold" </t>
    </r>
    <r>
      <rPr>
        <b/>
        <sz val="11"/>
        <color rgb="FFFF0000"/>
        <rFont val="Calibri"/>
        <family val="2"/>
        <scheme val="minor"/>
      </rPr>
      <t xml:space="preserve">PG </t>
    </r>
    <r>
      <rPr>
        <sz val="11"/>
        <color theme="1"/>
        <rFont val="Calibri"/>
        <family val="2"/>
        <scheme val="minor"/>
      </rPr>
      <t>(6 values).</t>
    </r>
  </si>
  <si>
    <r>
      <rPr>
        <sz val="11"/>
        <color theme="1"/>
        <rFont val="Calibri"/>
        <family val="2"/>
        <scheme val="minor"/>
      </rPr>
      <t xml:space="preserve">Note 2: Calculated Tariff GSR and Coinage GSR are copied from this calculation table into the worksheet </t>
    </r>
    <r>
      <rPr>
        <b/>
        <i/>
        <sz val="11"/>
        <color theme="1"/>
        <rFont val="Calibri"/>
        <family val="2"/>
        <scheme val="minor"/>
      </rPr>
      <t>"Au|Ag_Table"</t>
    </r>
  </si>
  <si>
    <t>Note 1: FOR PERIOD 30 BCE-100 CE, REFER SEPARATE WORKSHEET "Au|Ag_from_coins_29BCE-100CE", which is based directly on data in Butcher and Ponting 2014: 701 (Appendix 1) &amp; : 704 (Appendix 2)</t>
  </si>
  <si>
    <r>
      <t xml:space="preserve">Note: Assumptions for specific entries are included in the "Notes1" and "Notes2 fields of the worksheet </t>
    </r>
    <r>
      <rPr>
        <b/>
        <i/>
        <sz val="11"/>
        <color theme="1"/>
        <rFont val="Calibri"/>
        <family val="2"/>
        <scheme val="minor"/>
      </rPr>
      <t>"Au|Ag_Table"</t>
    </r>
  </si>
  <si>
    <t>Statements  given in source reference from which GSR is extracted or calculated</t>
  </si>
  <si>
    <t>Additional information and qualifications, if any</t>
  </si>
  <si>
    <t>Old Akkadian</t>
  </si>
  <si>
    <t>Old Akkadian but unknown loc- assumed Akkad</t>
  </si>
  <si>
    <r>
      <t xml:space="preserve">Ratios of 7, 10 and 15:1 dominant; pure = 15-21 according to Hauptman et al and Powell </t>
    </r>
    <r>
      <rPr>
        <sz val="11"/>
        <color rgb="FFFF0000"/>
        <rFont val="Calibri"/>
        <family val="2"/>
        <scheme val="minor"/>
      </rPr>
      <t>[Top of range chosen for "GG"]</t>
    </r>
  </si>
  <si>
    <t>Ratios of 7, 10 and 15:1 dominant; pure = 15-21 according to Hauptman et al and Powell [Top of range chosen]</t>
  </si>
  <si>
    <t>7-20:1 [middle value, as above at same time interval cover largest]</t>
  </si>
  <si>
    <t>7-20:1 [lowest value chosen for plotting]</t>
  </si>
  <si>
    <t>[Top of range]</t>
  </si>
  <si>
    <t>[Bottom of range]</t>
  </si>
  <si>
    <t>Excluded as timeframe uncertain- possibly dated 1850+/-</t>
  </si>
  <si>
    <t>"earlier than 625BC" Kerschner &amp; Konuk 2020</t>
  </si>
  <si>
    <t>Omitted as better data from other sources</t>
  </si>
  <si>
    <t>after Persian rule ~500  BCE</t>
  </si>
  <si>
    <t xml:space="preserve">Estiot 2012 </t>
  </si>
  <si>
    <t>Estiot 2012: 549 Table 29.D</t>
  </si>
  <si>
    <t>Estiot 2012; Bagnall 1989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</si>
</sst>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5"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4"/>
      <color theme="1"/>
      <name val="Calibri"/>
      <family val="2"/>
      <scheme val="minor"/>
    </font>
    <font>
      <b/>
      <sz val="11"/>
      <name val="Calibri"/>
      <family val="2"/>
      <scheme val="minor"/>
    </font>
    <font>
      <sz val="8"/>
      <name val="Calibri"/>
      <family val="2"/>
      <scheme val="minor"/>
    </font>
    <font>
      <b/>
      <sz val="11"/>
      <color rgb="FF7030A0"/>
      <name val="Calibri"/>
      <family val="2"/>
      <scheme val="minor"/>
    </font>
    <font>
      <b/>
      <sz val="11"/>
      <color rgb="FFDF21BB"/>
      <name val="Calibri"/>
      <family val="2"/>
      <scheme val="minor"/>
    </font>
    <font>
      <b/>
      <u/>
      <sz val="11"/>
      <color rgb="FFDF21BB"/>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sz val="14"/>
      <color theme="1"/>
      <name val="Calibri"/>
      <family val="2"/>
      <scheme val="minor"/>
    </font>
    <font>
      <sz val="12"/>
      <color theme="1"/>
      <name val="Calibri"/>
      <family val="2"/>
      <scheme val="minor"/>
    </font>
    <font>
      <b/>
      <u/>
      <sz val="14"/>
      <color theme="1"/>
      <name val="Calibri"/>
      <family val="2"/>
      <scheme val="minor"/>
    </font>
    <font>
      <b/>
      <i/>
      <sz val="11"/>
      <color rgb="FFFF0000"/>
      <name val="Calibri"/>
      <family val="2"/>
      <scheme val="minor"/>
    </font>
    <font>
      <b/>
      <u/>
      <sz val="11"/>
      <color rgb="FF7030A0"/>
      <name val="Calibri"/>
      <family val="2"/>
      <scheme val="minor"/>
    </font>
    <font>
      <b/>
      <i/>
      <sz val="14"/>
      <color theme="1"/>
      <name val="Calibri"/>
      <family val="2"/>
      <scheme val="minor"/>
    </font>
    <font>
      <u/>
      <sz val="11"/>
      <color rgb="FFFF0000"/>
      <name val="Calibri"/>
      <family val="2"/>
      <scheme val="minor"/>
    </font>
    <font>
      <b/>
      <u/>
      <sz val="11"/>
      <color rgb="FFFF0000"/>
      <name val="Calibri"/>
      <family val="2"/>
      <scheme val="minor"/>
    </font>
    <font>
      <i/>
      <sz val="14"/>
      <color theme="1"/>
      <name val="Calibri"/>
      <family val="2"/>
      <scheme val="minor"/>
    </font>
    <font>
      <b/>
      <i/>
      <u/>
      <sz val="14"/>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s>
  <borders count="25">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s>
  <cellStyleXfs count="2">
    <xf numFmtId="0" fontId="0" fillId="0" borderId="0"/>
    <xf numFmtId="43" fontId="4" fillId="0" borderId="0" applyFont="0" applyFill="0" applyBorder="0" applyAlignment="0" applyProtection="0"/>
  </cellStyleXfs>
  <cellXfs count="187">
    <xf numFmtId="0" fontId="0" fillId="0" borderId="0" xfId="0"/>
    <xf numFmtId="0" fontId="0" fillId="0" borderId="0" xfId="0" applyAlignment="1">
      <alignment horizontal="center"/>
    </xf>
    <xf numFmtId="0" fontId="0" fillId="0" borderId="0" xfId="0" applyAlignment="1">
      <alignment wrapText="1"/>
    </xf>
    <xf numFmtId="0" fontId="2" fillId="0" borderId="0" xfId="0" applyFont="1"/>
    <xf numFmtId="0" fontId="0" fillId="0" borderId="1" xfId="0" applyBorder="1"/>
    <xf numFmtId="0" fontId="3" fillId="0" borderId="1" xfId="0" applyFont="1" applyBorder="1" applyAlignment="1">
      <alignment horizontal="center"/>
    </xf>
    <xf numFmtId="0" fontId="3" fillId="3" borderId="1" xfId="0" applyFont="1" applyFill="1" applyBorder="1" applyAlignment="1">
      <alignment horizontal="center"/>
    </xf>
    <xf numFmtId="0" fontId="0" fillId="8" borderId="1" xfId="0" applyFill="1" applyBorder="1"/>
    <xf numFmtId="0" fontId="3" fillId="4" borderId="1" xfId="0" applyFont="1" applyFill="1" applyBorder="1" applyAlignment="1">
      <alignment horizontal="center"/>
    </xf>
    <xf numFmtId="0" fontId="5" fillId="0" borderId="1" xfId="0" quotePrefix="1" applyFont="1" applyBorder="1" applyAlignment="1">
      <alignment horizontal="center"/>
    </xf>
    <xf numFmtId="0" fontId="5" fillId="0" borderId="1" xfId="0" applyFont="1" applyBorder="1" applyAlignment="1">
      <alignment horizontal="center"/>
    </xf>
    <xf numFmtId="0" fontId="3" fillId="5" borderId="1" xfId="0" applyFont="1" applyFill="1" applyBorder="1" applyAlignment="1">
      <alignment horizontal="center"/>
    </xf>
    <xf numFmtId="0" fontId="1" fillId="0" borderId="1" xfId="0" applyFont="1" applyBorder="1"/>
    <xf numFmtId="0" fontId="0" fillId="0" borderId="1" xfId="0" applyBorder="1" applyAlignment="1">
      <alignment wrapText="1"/>
    </xf>
    <xf numFmtId="0" fontId="3" fillId="6" borderId="1" xfId="0" applyFont="1" applyFill="1" applyBorder="1" applyAlignment="1">
      <alignment horizontal="center"/>
    </xf>
    <xf numFmtId="0" fontId="1" fillId="0" borderId="1" xfId="0" applyFont="1" applyBorder="1" applyAlignment="1">
      <alignment horizontal="center"/>
    </xf>
    <xf numFmtId="0" fontId="3" fillId="0" borderId="1" xfId="0" applyFont="1" applyBorder="1"/>
    <xf numFmtId="2" fontId="3" fillId="0" borderId="1" xfId="0" applyNumberFormat="1" applyFont="1" applyBorder="1" applyAlignment="1">
      <alignment horizontal="center"/>
    </xf>
    <xf numFmtId="0" fontId="5" fillId="0" borderId="1" xfId="1" applyNumberFormat="1" applyFont="1" applyBorder="1" applyAlignment="1">
      <alignment horizontal="center"/>
    </xf>
    <xf numFmtId="0" fontId="1" fillId="11" borderId="1" xfId="0" applyFont="1" applyFill="1" applyBorder="1"/>
    <xf numFmtId="0" fontId="1" fillId="11" borderId="1" xfId="0" applyFont="1" applyFill="1" applyBorder="1" applyAlignment="1">
      <alignment horizontal="center"/>
    </xf>
    <xf numFmtId="0" fontId="3" fillId="11" borderId="1" xfId="0" applyFont="1" applyFill="1" applyBorder="1" applyAlignment="1">
      <alignment horizontal="center"/>
    </xf>
    <xf numFmtId="0" fontId="0" fillId="0" borderId="3" xfId="0" applyBorder="1"/>
    <xf numFmtId="0" fontId="3" fillId="0" borderId="3"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7" fillId="0" borderId="1" xfId="0" applyFont="1" applyBorder="1" applyAlignment="1">
      <alignment horizontal="center"/>
    </xf>
    <xf numFmtId="0" fontId="2" fillId="7" borderId="1" xfId="0" applyFont="1" applyFill="1" applyBorder="1" applyAlignment="1">
      <alignment horizontal="center"/>
    </xf>
    <xf numFmtId="0" fontId="0" fillId="0" borderId="4" xfId="0" applyBorder="1"/>
    <xf numFmtId="0" fontId="2" fillId="0" borderId="1" xfId="0" applyFont="1" applyBorder="1" applyAlignment="1">
      <alignment horizontal="left" indent="2"/>
    </xf>
    <xf numFmtId="0" fontId="0" fillId="8" borderId="1" xfId="0" applyFill="1" applyBorder="1" applyAlignment="1">
      <alignment horizontal="center"/>
    </xf>
    <xf numFmtId="0" fontId="0" fillId="8" borderId="1" xfId="0" applyFill="1" applyBorder="1" applyAlignment="1">
      <alignment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0" fillId="0" borderId="1" xfId="0" applyBorder="1" applyAlignment="1">
      <alignment vertical="center" wrapText="1"/>
    </xf>
    <xf numFmtId="0" fontId="2" fillId="8" borderId="1" xfId="0" applyFont="1" applyFill="1" applyBorder="1" applyAlignment="1">
      <alignment horizontal="left" indent="2"/>
    </xf>
    <xf numFmtId="0" fontId="2" fillId="8" borderId="1" xfId="0" applyFont="1" applyFill="1" applyBorder="1" applyAlignment="1">
      <alignment horizontal="center"/>
    </xf>
    <xf numFmtId="0" fontId="12" fillId="0" borderId="0" xfId="0" applyFont="1"/>
    <xf numFmtId="0" fontId="0" fillId="0" borderId="3" xfId="0" applyBorder="1" applyAlignment="1">
      <alignment wrapText="1"/>
    </xf>
    <xf numFmtId="0" fontId="5" fillId="0" borderId="1" xfId="0" applyFont="1" applyBorder="1" applyAlignment="1">
      <alignment wrapText="1"/>
    </xf>
    <xf numFmtId="0" fontId="1" fillId="0" borderId="1" xfId="0" applyFont="1" applyBorder="1" applyAlignment="1">
      <alignment wrapText="1"/>
    </xf>
    <xf numFmtId="0" fontId="0" fillId="0" borderId="0" xfId="0" applyAlignment="1">
      <alignment vertical="center"/>
    </xf>
    <xf numFmtId="0" fontId="13" fillId="0" borderId="0" xfId="0" applyFont="1"/>
    <xf numFmtId="0" fontId="0" fillId="0" borderId="0" xfId="0" applyAlignment="1">
      <alignment horizontal="left" vertical="center" indent="5"/>
    </xf>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11" xfId="0" applyBorder="1"/>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0" fillId="0" borderId="10" xfId="0" quotePrefix="1" applyBorder="1" applyAlignment="1">
      <alignment horizontal="right"/>
    </xf>
    <xf numFmtId="0" fontId="1" fillId="0" borderId="11" xfId="0" applyFont="1" applyBorder="1" applyAlignment="1">
      <alignment horizontal="center"/>
    </xf>
    <xf numFmtId="0" fontId="2" fillId="0" borderId="9" xfId="0" applyFont="1" applyBorder="1" applyAlignment="1">
      <alignment horizontal="center"/>
    </xf>
    <xf numFmtId="0" fontId="2" fillId="0" borderId="12" xfId="0" applyFont="1" applyBorder="1" applyAlignment="1">
      <alignment horizontal="center"/>
    </xf>
    <xf numFmtId="0" fontId="14" fillId="0" borderId="0" xfId="0" applyFont="1"/>
    <xf numFmtId="0" fontId="6" fillId="0" borderId="2" xfId="0" applyFont="1" applyBorder="1" applyAlignment="1">
      <alignment horizontal="center" vertical="center" wrapText="1"/>
    </xf>
    <xf numFmtId="0" fontId="2" fillId="0" borderId="0" xfId="0" applyFont="1" applyAlignment="1">
      <alignment horizontal="center" vertical="center" wrapText="1"/>
    </xf>
    <xf numFmtId="0" fontId="1" fillId="11" borderId="0" xfId="0" applyFont="1" applyFill="1"/>
    <xf numFmtId="0" fontId="1" fillId="11" borderId="1" xfId="0" applyFont="1" applyFill="1" applyBorder="1" applyAlignment="1">
      <alignment wrapText="1"/>
    </xf>
    <xf numFmtId="0" fontId="6" fillId="7" borderId="2" xfId="0" applyFont="1" applyFill="1" applyBorder="1" applyAlignment="1">
      <alignment horizontal="center" vertical="center" wrapText="1"/>
    </xf>
    <xf numFmtId="164" fontId="0" fillId="8" borderId="1" xfId="0" applyNumberFormat="1" applyFill="1" applyBorder="1"/>
    <xf numFmtId="0" fontId="0" fillId="0" borderId="15" xfId="0" applyBorder="1"/>
    <xf numFmtId="0" fontId="0" fillId="0" borderId="15" xfId="0" applyBorder="1" applyAlignment="1">
      <alignment wrapText="1"/>
    </xf>
    <xf numFmtId="0" fontId="0" fillId="2" borderId="15" xfId="0" applyFill="1" applyBorder="1"/>
    <xf numFmtId="0" fontId="2" fillId="0" borderId="15" xfId="0" applyFont="1" applyBorder="1" applyAlignment="1">
      <alignment horizontal="left" indent="2"/>
    </xf>
    <xf numFmtId="0" fontId="2" fillId="0" borderId="15" xfId="0" applyFont="1" applyBorder="1" applyAlignment="1">
      <alignment horizontal="center"/>
    </xf>
    <xf numFmtId="0" fontId="2" fillId="8" borderId="15" xfId="0" applyFont="1" applyFill="1" applyBorder="1" applyAlignment="1">
      <alignment horizontal="center"/>
    </xf>
    <xf numFmtId="0" fontId="2" fillId="0" borderId="14" xfId="0" applyFont="1" applyBorder="1" applyAlignment="1">
      <alignment horizontal="center" vertical="center" wrapText="1"/>
    </xf>
    <xf numFmtId="0" fontId="2" fillId="8" borderId="14" xfId="0" applyFont="1" applyFill="1" applyBorder="1" applyAlignment="1">
      <alignment horizontal="center" vertical="center" wrapText="1"/>
    </xf>
    <xf numFmtId="0" fontId="0" fillId="8" borderId="14" xfId="0" applyFill="1" applyBorder="1" applyAlignment="1">
      <alignment vertical="center" wrapText="1"/>
    </xf>
    <xf numFmtId="0" fontId="2" fillId="8" borderId="14" xfId="0" applyFont="1" applyFill="1" applyBorder="1" applyAlignment="1">
      <alignment horizontal="left" vertical="center" wrapText="1"/>
    </xf>
    <xf numFmtId="0" fontId="0" fillId="0" borderId="14" xfId="0" applyBorder="1" applyAlignment="1">
      <alignment vertical="center" wrapText="1"/>
    </xf>
    <xf numFmtId="0" fontId="2" fillId="9" borderId="14" xfId="0" applyFont="1" applyFill="1" applyBorder="1" applyAlignment="1">
      <alignment horizontal="left" vertical="center" wrapText="1"/>
    </xf>
    <xf numFmtId="0" fontId="2" fillId="9" borderId="14" xfId="0" applyFont="1" applyFill="1" applyBorder="1" applyAlignment="1">
      <alignment horizontal="center" vertical="center" wrapText="1"/>
    </xf>
    <xf numFmtId="0" fontId="0" fillId="0" borderId="14" xfId="0" applyBorder="1" applyAlignment="1">
      <alignment horizontal="center" vertical="center" wrapText="1"/>
    </xf>
    <xf numFmtId="0" fontId="20" fillId="0" borderId="16" xfId="0" applyFont="1" applyBorder="1" applyAlignment="1">
      <alignment horizontal="left" vertical="top"/>
    </xf>
    <xf numFmtId="0" fontId="0" fillId="0" borderId="19" xfId="0" applyBorder="1"/>
    <xf numFmtId="0" fontId="2" fillId="0" borderId="19" xfId="0" applyFont="1" applyBorder="1" applyAlignment="1">
      <alignment horizontal="left" indent="2"/>
    </xf>
    <xf numFmtId="0" fontId="2" fillId="0" borderId="19" xfId="0" applyFont="1" applyBorder="1" applyAlignment="1">
      <alignment horizontal="center"/>
    </xf>
    <xf numFmtId="0" fontId="0" fillId="8" borderId="19" xfId="0" applyFill="1" applyBorder="1"/>
    <xf numFmtId="0" fontId="2" fillId="8" borderId="18" xfId="0" applyFont="1" applyFill="1" applyBorder="1"/>
    <xf numFmtId="0" fontId="0" fillId="8" borderId="13" xfId="0" applyFill="1" applyBorder="1"/>
    <xf numFmtId="0" fontId="0" fillId="0" borderId="18" xfId="0" applyBorder="1"/>
    <xf numFmtId="0" fontId="2" fillId="0" borderId="0" xfId="0" applyFont="1" applyAlignment="1">
      <alignment horizontal="left" indent="2"/>
    </xf>
    <xf numFmtId="0" fontId="0" fillId="8" borderId="0" xfId="0" applyFill="1"/>
    <xf numFmtId="0" fontId="0" fillId="0" borderId="0" xfId="0" applyAlignment="1">
      <alignment vertical="center" wrapText="1"/>
    </xf>
    <xf numFmtId="0" fontId="0" fillId="8" borderId="15" xfId="0" applyFill="1" applyBorder="1"/>
    <xf numFmtId="0" fontId="0" fillId="0" borderId="8" xfId="0" applyBorder="1" applyAlignment="1">
      <alignment vertical="center" wrapText="1"/>
    </xf>
    <xf numFmtId="0" fontId="0" fillId="0" borderId="9" xfId="0" applyBorder="1" applyAlignment="1">
      <alignment vertical="center" wrapText="1"/>
    </xf>
    <xf numFmtId="0" fontId="0" fillId="0" borderId="8" xfId="0" applyBorder="1" applyAlignment="1">
      <alignment horizontal="center"/>
    </xf>
    <xf numFmtId="0" fontId="0" fillId="0" borderId="10" xfId="0" applyBorder="1" applyAlignment="1">
      <alignment horizontal="center"/>
    </xf>
    <xf numFmtId="0" fontId="5" fillId="0" borderId="11" xfId="0" applyFont="1" applyBorder="1" applyAlignment="1">
      <alignment horizontal="center"/>
    </xf>
    <xf numFmtId="0" fontId="5" fillId="8" borderId="1" xfId="0" applyFont="1" applyFill="1" applyBorder="1" applyAlignment="1">
      <alignment wrapText="1"/>
    </xf>
    <xf numFmtId="0" fontId="2" fillId="0" borderId="20" xfId="0" applyFont="1" applyBorder="1"/>
    <xf numFmtId="0" fontId="0" fillId="0" borderId="20" xfId="0" applyBorder="1"/>
    <xf numFmtId="0" fontId="0" fillId="0" borderId="20" xfId="0" applyBorder="1" applyAlignment="1">
      <alignment wrapText="1"/>
    </xf>
    <xf numFmtId="0" fontId="0" fillId="8" borderId="20" xfId="0" applyFill="1" applyBorder="1"/>
    <xf numFmtId="0" fontId="21" fillId="0" borderId="0" xfId="0" applyFont="1"/>
    <xf numFmtId="0" fontId="18" fillId="0" borderId="0" xfId="0" applyFont="1"/>
    <xf numFmtId="0" fontId="15" fillId="0" borderId="0" xfId="0" applyFont="1"/>
    <xf numFmtId="0" fontId="15" fillId="0" borderId="0" xfId="0" applyFont="1" applyAlignment="1">
      <alignment wrapText="1"/>
    </xf>
    <xf numFmtId="0" fontId="6" fillId="0" borderId="0" xfId="0" applyFont="1"/>
    <xf numFmtId="0" fontId="20" fillId="0" borderId="0" xfId="0" applyFont="1"/>
    <xf numFmtId="0" fontId="23" fillId="0" borderId="0" xfId="0" applyFont="1"/>
    <xf numFmtId="0" fontId="24" fillId="0" borderId="0" xfId="0" applyFont="1"/>
    <xf numFmtId="0" fontId="20" fillId="0" borderId="16" xfId="0" applyFont="1" applyBorder="1" applyAlignment="1">
      <alignment horizontal="left" indent="2"/>
    </xf>
    <xf numFmtId="0" fontId="20" fillId="0" borderId="16" xfId="0" applyFont="1" applyBorder="1" applyAlignment="1">
      <alignment horizontal="center"/>
    </xf>
    <xf numFmtId="0" fontId="20" fillId="0" borderId="0" xfId="0" applyFont="1" applyAlignment="1">
      <alignment horizontal="left" indent="2"/>
    </xf>
    <xf numFmtId="0" fontId="20" fillId="0" borderId="16" xfId="0" applyFont="1" applyBorder="1"/>
    <xf numFmtId="0" fontId="20" fillId="0" borderId="16" xfId="0" applyFont="1" applyBorder="1" applyAlignment="1">
      <alignment wrapText="1"/>
    </xf>
    <xf numFmtId="0" fontId="20" fillId="8" borderId="16" xfId="0" applyFont="1" applyFill="1" applyBorder="1"/>
    <xf numFmtId="0" fontId="20" fillId="8" borderId="0" xfId="0" applyFont="1" applyFill="1"/>
    <xf numFmtId="0" fontId="20" fillId="0" borderId="17" xfId="0" applyFont="1" applyBorder="1" applyAlignment="1">
      <alignment wrapText="1"/>
    </xf>
    <xf numFmtId="0" fontId="20" fillId="0" borderId="4" xfId="0" applyFont="1" applyBorder="1"/>
    <xf numFmtId="0" fontId="20" fillId="0" borderId="21" xfId="0" applyFont="1" applyBorder="1"/>
    <xf numFmtId="0" fontId="20" fillId="0" borderId="0" xfId="0" applyFont="1" applyAlignment="1">
      <alignment horizontal="left" vertical="top"/>
    </xf>
    <xf numFmtId="0" fontId="20" fillId="0" borderId="0" xfId="0" applyFont="1" applyAlignment="1">
      <alignment wrapText="1"/>
    </xf>
    <xf numFmtId="0" fontId="20" fillId="0" borderId="21" xfId="0" applyFont="1" applyBorder="1" applyAlignment="1">
      <alignment horizontal="left" indent="2"/>
    </xf>
    <xf numFmtId="0" fontId="20" fillId="0" borderId="21" xfId="0" applyFont="1" applyBorder="1" applyAlignment="1">
      <alignment horizontal="center"/>
    </xf>
    <xf numFmtId="0" fontId="20" fillId="8" borderId="21" xfId="0" applyFont="1" applyFill="1" applyBorder="1"/>
    <xf numFmtId="0" fontId="20" fillId="0" borderId="22" xfId="0" applyFont="1" applyBorder="1" applyAlignment="1">
      <alignment wrapText="1"/>
    </xf>
    <xf numFmtId="0" fontId="20" fillId="0" borderId="3" xfId="0" applyFont="1" applyBorder="1"/>
    <xf numFmtId="0" fontId="1" fillId="8" borderId="1" xfId="0" applyFont="1" applyFill="1" applyBorder="1" applyAlignment="1">
      <alignment wrapText="1"/>
    </xf>
    <xf numFmtId="0" fontId="2" fillId="0" borderId="0" xfId="0" applyFont="1" applyAlignment="1">
      <alignment wrapText="1"/>
    </xf>
    <xf numFmtId="0" fontId="7" fillId="0" borderId="1" xfId="0" applyFont="1" applyBorder="1" applyAlignment="1">
      <alignment horizontal="center" wrapText="1"/>
    </xf>
    <xf numFmtId="0" fontId="5" fillId="0" borderId="1" xfId="0" quotePrefix="1" applyFont="1" applyBorder="1" applyAlignment="1">
      <alignment horizontal="center" wrapText="1"/>
    </xf>
    <xf numFmtId="0" fontId="1" fillId="0" borderId="1" xfId="0" quotePrefix="1" applyFont="1" applyBorder="1" applyAlignment="1">
      <alignment horizontal="center"/>
    </xf>
    <xf numFmtId="0" fontId="3" fillId="3" borderId="1" xfId="0" applyFont="1" applyFill="1" applyBorder="1" applyAlignment="1">
      <alignment horizontal="center" wrapText="1"/>
    </xf>
    <xf numFmtId="0" fontId="2" fillId="8" borderId="3" xfId="0" applyFont="1" applyFill="1" applyBorder="1" applyAlignment="1">
      <alignment horizontal="center"/>
    </xf>
    <xf numFmtId="0" fontId="2" fillId="8" borderId="1" xfId="0" applyFont="1" applyFill="1" applyBorder="1" applyAlignment="1">
      <alignment horizontal="center" wrapText="1"/>
    </xf>
    <xf numFmtId="0" fontId="2" fillId="0" borderId="20" xfId="0" applyFont="1" applyBorder="1" applyAlignment="1">
      <alignment horizontal="left" indent="2"/>
    </xf>
    <xf numFmtId="0" fontId="2" fillId="0" borderId="20" xfId="0" applyFont="1" applyBorder="1" applyAlignment="1">
      <alignment horizontal="center"/>
    </xf>
    <xf numFmtId="0" fontId="0" fillId="0" borderId="4" xfId="0" applyBorder="1" applyAlignment="1">
      <alignment vertical="center"/>
    </xf>
    <xf numFmtId="0" fontId="3" fillId="0" borderId="4" xfId="0" applyFont="1"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 fillId="0" borderId="4" xfId="0" applyFont="1" applyBorder="1" applyAlignment="1">
      <alignment horizontal="right" vertical="center" wrapText="1"/>
    </xf>
    <xf numFmtId="0" fontId="3" fillId="2" borderId="4" xfId="0" applyFont="1" applyFill="1" applyBorder="1" applyAlignment="1">
      <alignment horizontal="center" vertical="center"/>
    </xf>
    <xf numFmtId="0" fontId="0" fillId="0" borderId="4" xfId="0" applyBorder="1" applyAlignment="1">
      <alignment horizontal="center"/>
    </xf>
    <xf numFmtId="0" fontId="0" fillId="8" borderId="4" xfId="0" applyFill="1" applyBorder="1" applyAlignment="1">
      <alignment horizontal="center"/>
    </xf>
    <xf numFmtId="0" fontId="2" fillId="0" borderId="3" xfId="0" applyFont="1" applyBorder="1" applyAlignment="1">
      <alignment horizontal="left" indent="2"/>
    </xf>
    <xf numFmtId="0" fontId="2" fillId="0" borderId="23" xfId="0" applyFont="1" applyBorder="1" applyAlignment="1">
      <alignment horizontal="left" indent="2"/>
    </xf>
    <xf numFmtId="0" fontId="2" fillId="0" borderId="23" xfId="0" applyFont="1" applyBorder="1" applyAlignment="1">
      <alignment horizontal="center"/>
    </xf>
    <xf numFmtId="0" fontId="0" fillId="0" borderId="23" xfId="0" applyBorder="1" applyAlignment="1">
      <alignment wrapText="1"/>
    </xf>
    <xf numFmtId="0" fontId="0" fillId="8" borderId="23" xfId="0" applyFill="1" applyBorder="1"/>
    <xf numFmtId="0" fontId="0" fillId="8" borderId="23" xfId="0" applyFill="1" applyBorder="1" applyAlignment="1">
      <alignment wrapText="1"/>
    </xf>
    <xf numFmtId="0" fontId="0" fillId="8" borderId="24" xfId="0" applyFill="1" applyBorder="1"/>
    <xf numFmtId="0" fontId="0" fillId="8" borderId="23" xfId="0" applyFill="1" applyBorder="1" applyAlignment="1">
      <alignment horizontal="center"/>
    </xf>
    <xf numFmtId="164" fontId="0" fillId="8" borderId="23" xfId="0" applyNumberFormat="1" applyFill="1" applyBorder="1"/>
    <xf numFmtId="0" fontId="2" fillId="8" borderId="23" xfId="0" applyFont="1" applyFill="1" applyBorder="1" applyAlignment="1">
      <alignment horizontal="center"/>
    </xf>
    <xf numFmtId="0" fontId="2" fillId="8" borderId="23" xfId="0" applyFont="1" applyFill="1" applyBorder="1" applyAlignment="1">
      <alignment horizontal="left" indent="2"/>
    </xf>
    <xf numFmtId="0" fontId="20" fillId="0" borderId="21" xfId="0" applyFont="1" applyBorder="1" applyAlignment="1">
      <alignment wrapText="1"/>
    </xf>
    <xf numFmtId="0" fontId="0" fillId="0" borderId="19" xfId="0" applyBorder="1" applyAlignment="1">
      <alignment wrapText="1"/>
    </xf>
    <xf numFmtId="0" fontId="5" fillId="8" borderId="23" xfId="0" applyFont="1" applyFill="1" applyBorder="1" applyAlignment="1">
      <alignment wrapText="1"/>
    </xf>
    <xf numFmtId="0" fontId="0" fillId="0" borderId="10" xfId="0" applyBorder="1"/>
    <xf numFmtId="0" fontId="0" fillId="0" borderId="12" xfId="0" applyBorder="1"/>
    <xf numFmtId="0" fontId="0" fillId="0" borderId="6" xfId="0" applyBorder="1" applyAlignment="1">
      <alignment horizontal="center" vertical="center"/>
    </xf>
    <xf numFmtId="0" fontId="13" fillId="0" borderId="0" xfId="0" applyFont="1" applyAlignment="1">
      <alignment horizontal="center" vertical="center" wrapText="1"/>
    </xf>
    <xf numFmtId="0" fontId="2" fillId="0" borderId="0" xfId="0" applyFont="1" applyAlignment="1">
      <alignment vertical="center" wrapText="1"/>
    </xf>
    <xf numFmtId="0" fontId="0" fillId="0" borderId="3" xfId="0" applyBorder="1" applyAlignment="1">
      <alignment horizontal="center"/>
    </xf>
    <xf numFmtId="0" fontId="0" fillId="3" borderId="1" xfId="0" applyFill="1" applyBorder="1"/>
    <xf numFmtId="0" fontId="0" fillId="0" borderId="1" xfId="0" applyBorder="1" applyAlignment="1">
      <alignment horizontal="center"/>
    </xf>
    <xf numFmtId="0" fontId="0" fillId="4" borderId="1" xfId="0" applyFill="1" applyBorder="1"/>
    <xf numFmtId="0" fontId="0" fillId="3" borderId="1" xfId="0" applyFill="1" applyBorder="1" applyAlignment="1">
      <alignment wrapText="1"/>
    </xf>
    <xf numFmtId="0" fontId="0" fillId="0" borderId="1" xfId="0" applyBorder="1" applyAlignment="1">
      <alignment horizontal="center" wrapText="1"/>
    </xf>
    <xf numFmtId="49" fontId="0" fillId="0" borderId="1" xfId="0" applyNumberFormat="1" applyBorder="1" applyAlignment="1">
      <alignment wrapText="1"/>
    </xf>
    <xf numFmtId="0" fontId="0" fillId="0" borderId="1" xfId="0" quotePrefix="1" applyBorder="1" applyAlignment="1">
      <alignment horizontal="center"/>
    </xf>
    <xf numFmtId="0" fontId="0" fillId="5" borderId="1" xfId="0" applyFill="1" applyBorder="1"/>
    <xf numFmtId="0" fontId="0" fillId="6" borderId="1" xfId="0" applyFill="1" applyBorder="1"/>
    <xf numFmtId="0" fontId="0" fillId="10" borderId="0" xfId="0" applyFill="1"/>
    <xf numFmtId="0" fontId="0" fillId="10" borderId="1" xfId="0" applyFill="1" applyBorder="1"/>
    <xf numFmtId="16" fontId="0" fillId="0" borderId="1" xfId="0" quotePrefix="1" applyNumberFormat="1" applyBorder="1" applyAlignment="1">
      <alignment horizontal="center"/>
    </xf>
    <xf numFmtId="17" fontId="0" fillId="0" borderId="1" xfId="0" quotePrefix="1" applyNumberFormat="1" applyBorder="1" applyAlignment="1">
      <alignment horizontal="center"/>
    </xf>
    <xf numFmtId="2" fontId="0" fillId="0" borderId="1" xfId="0" applyNumberFormat="1" applyBorder="1"/>
    <xf numFmtId="2" fontId="0" fillId="8" borderId="1" xfId="0" applyNumberFormat="1" applyFill="1" applyBorder="1"/>
    <xf numFmtId="0" fontId="0" fillId="7" borderId="1" xfId="0" applyFill="1" applyBorder="1"/>
    <xf numFmtId="0" fontId="0" fillId="7" borderId="1" xfId="0" applyFill="1" applyBorder="1" applyAlignment="1">
      <alignment horizontal="center"/>
    </xf>
    <xf numFmtId="2" fontId="0" fillId="7" borderId="1" xfId="0" applyNumberFormat="1" applyFill="1" applyBorder="1"/>
    <xf numFmtId="2" fontId="0" fillId="3" borderId="1" xfId="0" applyNumberFormat="1" applyFill="1" applyBorder="1"/>
    <xf numFmtId="2" fontId="0" fillId="0" borderId="1" xfId="0" applyNumberFormat="1" applyBorder="1" applyAlignment="1">
      <alignment wrapText="1"/>
    </xf>
    <xf numFmtId="0" fontId="0" fillId="0" borderId="13" xfId="0" applyBorder="1"/>
  </cellXfs>
  <cellStyles count="2">
    <cellStyle name="Comma" xfId="1" builtinId="3"/>
    <cellStyle name="Normal" xfId="0" builtinId="0"/>
  </cellStyles>
  <dxfs count="0"/>
  <tableStyles count="0" defaultTableStyle="TableStyleMedium2" defaultPivotStyle="PivotStyleLight16"/>
  <colors>
    <mruColors>
      <color rgb="FFDF21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920D2-9A28-414A-BA94-4C7A993A13FA}">
  <dimension ref="B1:F19"/>
  <sheetViews>
    <sheetView workbookViewId="0">
      <selection activeCell="B28" sqref="B28"/>
    </sheetView>
  </sheetViews>
  <sheetFormatPr defaultRowHeight="15" x14ac:dyDescent="0.25"/>
  <cols>
    <col min="1" max="1" width="3.5703125" customWidth="1"/>
    <col min="2" max="2" width="34.42578125" customWidth="1"/>
    <col min="3" max="3" width="183.28515625" customWidth="1"/>
  </cols>
  <sheetData>
    <row r="1" spans="2:6" ht="18.75" x14ac:dyDescent="0.3">
      <c r="C1" s="107" t="s">
        <v>674</v>
      </c>
    </row>
    <row r="3" spans="2:6" s="106" customFormat="1" ht="37.5" x14ac:dyDescent="0.3">
      <c r="C3" s="106" t="s">
        <v>616</v>
      </c>
    </row>
    <row r="4" spans="2:6" x14ac:dyDescent="0.25">
      <c r="C4" s="2"/>
      <c r="F4" s="2"/>
    </row>
    <row r="5" spans="2:6" x14ac:dyDescent="0.25">
      <c r="C5" t="s">
        <v>610</v>
      </c>
      <c r="F5" s="2"/>
    </row>
    <row r="6" spans="2:6" x14ac:dyDescent="0.25">
      <c r="B6" s="3" t="s">
        <v>554</v>
      </c>
      <c r="F6" s="2"/>
    </row>
    <row r="7" spans="2:6" x14ac:dyDescent="0.25">
      <c r="B7" s="38" t="s">
        <v>296</v>
      </c>
      <c r="C7" t="s">
        <v>297</v>
      </c>
      <c r="F7" s="2"/>
    </row>
    <row r="8" spans="2:6" x14ac:dyDescent="0.25">
      <c r="B8" s="38" t="s">
        <v>462</v>
      </c>
      <c r="C8" t="s">
        <v>463</v>
      </c>
      <c r="F8" s="2"/>
    </row>
    <row r="9" spans="2:6" x14ac:dyDescent="0.25">
      <c r="B9" s="104" t="s">
        <v>298</v>
      </c>
      <c r="C9" s="103" t="s">
        <v>611</v>
      </c>
      <c r="F9" s="2"/>
    </row>
    <row r="10" spans="2:6" x14ac:dyDescent="0.25">
      <c r="B10" s="38" t="s">
        <v>598</v>
      </c>
      <c r="C10" t="s">
        <v>613</v>
      </c>
      <c r="F10" s="2"/>
    </row>
    <row r="11" spans="2:6" x14ac:dyDescent="0.25">
      <c r="B11" s="38" t="s">
        <v>599</v>
      </c>
      <c r="C11" t="s">
        <v>612</v>
      </c>
      <c r="F11" s="2"/>
    </row>
    <row r="12" spans="2:6" x14ac:dyDescent="0.25">
      <c r="B12" s="38" t="s">
        <v>600</v>
      </c>
      <c r="C12" t="s">
        <v>614</v>
      </c>
      <c r="F12" s="2"/>
    </row>
    <row r="13" spans="2:6" x14ac:dyDescent="0.25">
      <c r="B13" s="38" t="s">
        <v>553</v>
      </c>
      <c r="C13" t="s">
        <v>601</v>
      </c>
      <c r="F13" s="2"/>
    </row>
    <row r="14" spans="2:6" x14ac:dyDescent="0.25">
      <c r="F14" s="2"/>
    </row>
    <row r="15" spans="2:6" x14ac:dyDescent="0.25">
      <c r="F15" s="2"/>
    </row>
    <row r="16" spans="2:6" x14ac:dyDescent="0.25">
      <c r="F16" s="2"/>
    </row>
    <row r="17" spans="6:6" x14ac:dyDescent="0.25">
      <c r="F17" s="2"/>
    </row>
    <row r="18" spans="6:6" x14ac:dyDescent="0.25">
      <c r="F18" s="2"/>
    </row>
    <row r="19" spans="6:6" x14ac:dyDescent="0.25">
      <c r="F19"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4E836-CF20-4F40-89C9-BF46378FEFBC}">
  <dimension ref="B1:D26"/>
  <sheetViews>
    <sheetView tabSelected="1" workbookViewId="0">
      <selection activeCell="D26" sqref="D26"/>
    </sheetView>
  </sheetViews>
  <sheetFormatPr defaultRowHeight="15" x14ac:dyDescent="0.25"/>
  <cols>
    <col min="1" max="1" width="3.5703125" customWidth="1"/>
    <col min="2" max="2" width="20.140625" customWidth="1"/>
    <col min="3" max="3" width="36.7109375" customWidth="1"/>
    <col min="4" max="4" width="201.42578125" style="2" customWidth="1"/>
  </cols>
  <sheetData>
    <row r="1" spans="2:4" s="105" customFormat="1" ht="18.75" x14ac:dyDescent="0.3">
      <c r="B1" s="107"/>
      <c r="C1" s="108" t="s">
        <v>615</v>
      </c>
      <c r="D1" s="106"/>
    </row>
    <row r="2" spans="2:4" x14ac:dyDescent="0.25">
      <c r="C2" t="s">
        <v>683</v>
      </c>
    </row>
    <row r="4" spans="2:4" x14ac:dyDescent="0.25">
      <c r="B4" s="3"/>
      <c r="C4" s="3" t="s">
        <v>301</v>
      </c>
    </row>
    <row r="6" spans="2:4" x14ac:dyDescent="0.25">
      <c r="C6" t="s">
        <v>303</v>
      </c>
      <c r="D6" s="2" t="s">
        <v>580</v>
      </c>
    </row>
    <row r="7" spans="2:4" x14ac:dyDescent="0.25">
      <c r="C7" t="s">
        <v>304</v>
      </c>
      <c r="D7" s="2" t="s">
        <v>579</v>
      </c>
    </row>
    <row r="8" spans="2:4" ht="30" x14ac:dyDescent="0.25">
      <c r="C8" t="s">
        <v>302</v>
      </c>
      <c r="D8" s="2" t="s">
        <v>678</v>
      </c>
    </row>
    <row r="9" spans="2:4" x14ac:dyDescent="0.25">
      <c r="C9" t="s">
        <v>308</v>
      </c>
      <c r="D9" s="2" t="s">
        <v>309</v>
      </c>
    </row>
    <row r="10" spans="2:4" x14ac:dyDescent="0.25">
      <c r="C10" t="s">
        <v>306</v>
      </c>
      <c r="D10" s="2" t="s">
        <v>578</v>
      </c>
    </row>
    <row r="11" spans="2:4" ht="30" x14ac:dyDescent="0.25">
      <c r="C11" t="s">
        <v>307</v>
      </c>
      <c r="D11" s="2" t="s">
        <v>679</v>
      </c>
    </row>
    <row r="12" spans="2:4" x14ac:dyDescent="0.25">
      <c r="D12" s="2" t="s">
        <v>461</v>
      </c>
    </row>
    <row r="13" spans="2:4" x14ac:dyDescent="0.25">
      <c r="B13" s="43" t="s">
        <v>671</v>
      </c>
    </row>
    <row r="15" spans="2:4" x14ac:dyDescent="0.25">
      <c r="B15" s="3" t="s">
        <v>574</v>
      </c>
      <c r="C15" s="3" t="s">
        <v>575</v>
      </c>
      <c r="D15" s="129" t="s">
        <v>576</v>
      </c>
    </row>
    <row r="16" spans="2:4" x14ac:dyDescent="0.25">
      <c r="B16" t="s">
        <v>619</v>
      </c>
      <c r="C16" t="s">
        <v>620</v>
      </c>
      <c r="D16" s="2" t="s">
        <v>621</v>
      </c>
    </row>
    <row r="17" spans="2:4" x14ac:dyDescent="0.25">
      <c r="B17" t="s">
        <v>622</v>
      </c>
      <c r="D17" s="2" t="s">
        <v>623</v>
      </c>
    </row>
    <row r="18" spans="2:4" ht="30" x14ac:dyDescent="0.25">
      <c r="B18" t="s">
        <v>383</v>
      </c>
      <c r="C18" t="s">
        <v>383</v>
      </c>
      <c r="D18" s="2" t="s">
        <v>618</v>
      </c>
    </row>
    <row r="19" spans="2:4" x14ac:dyDescent="0.25">
      <c r="B19" t="s">
        <v>384</v>
      </c>
      <c r="C19" t="s">
        <v>384</v>
      </c>
      <c r="D19" s="2" t="s">
        <v>668</v>
      </c>
    </row>
    <row r="20" spans="2:4" ht="45" x14ac:dyDescent="0.25">
      <c r="B20" s="2" t="s">
        <v>634</v>
      </c>
      <c r="C20" s="2" t="s">
        <v>634</v>
      </c>
      <c r="D20" s="2" t="s">
        <v>635</v>
      </c>
    </row>
    <row r="21" spans="2:4" ht="45" x14ac:dyDescent="0.25">
      <c r="B21" t="s">
        <v>230</v>
      </c>
      <c r="C21" t="s">
        <v>577</v>
      </c>
      <c r="D21" s="2" t="s">
        <v>680</v>
      </c>
    </row>
    <row r="22" spans="2:4" ht="30" x14ac:dyDescent="0.25">
      <c r="B22" s="2" t="s">
        <v>277</v>
      </c>
      <c r="C22" s="2" t="s">
        <v>636</v>
      </c>
      <c r="D22" s="2" t="s">
        <v>637</v>
      </c>
    </row>
    <row r="23" spans="2:4" x14ac:dyDescent="0.25">
      <c r="B23" t="s">
        <v>663</v>
      </c>
      <c r="C23" t="s">
        <v>664</v>
      </c>
      <c r="D23" s="2" t="s">
        <v>665</v>
      </c>
    </row>
    <row r="24" spans="2:4" x14ac:dyDescent="0.25">
      <c r="B24" s="2" t="s">
        <v>666</v>
      </c>
      <c r="D24" s="2" t="s">
        <v>684</v>
      </c>
    </row>
    <row r="25" spans="2:4" x14ac:dyDescent="0.25">
      <c r="B25" t="s">
        <v>468</v>
      </c>
      <c r="D25" s="2" t="s">
        <v>685</v>
      </c>
    </row>
    <row r="26" spans="2:4" x14ac:dyDescent="0.25">
      <c r="B26" s="2" t="s">
        <v>0</v>
      </c>
      <c r="D26" s="2" t="s">
        <v>667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I545"/>
  <sheetViews>
    <sheetView workbookViewId="0">
      <pane xSplit="6" ySplit="1" topLeftCell="G198" activePane="bottomRight" state="frozen"/>
      <selection pane="topRight" activeCell="H1" sqref="H1"/>
      <selection pane="bottomLeft" activeCell="A2" sqref="A2"/>
      <selection pane="bottomRight" activeCell="H202" sqref="H202"/>
    </sheetView>
  </sheetViews>
  <sheetFormatPr defaultRowHeight="15" x14ac:dyDescent="0.25"/>
  <cols>
    <col min="1" max="1" width="7.140625" style="27" customWidth="1"/>
    <col min="2" max="2" width="11.85546875" style="25" customWidth="1"/>
    <col min="3" max="3" width="10.85546875" style="4" customWidth="1"/>
    <col min="4" max="4" width="22.5703125" style="4" customWidth="1"/>
    <col min="5" max="5" width="10.5703125" style="167" customWidth="1"/>
    <col min="6" max="6" width="7.85546875" style="5" customWidth="1"/>
    <col min="7" max="7" width="3.7109375" style="167" customWidth="1"/>
    <col min="8" max="8" width="46.85546875" style="13" customWidth="1"/>
    <col min="9" max="9" width="54.7109375" style="13" customWidth="1"/>
    <col min="10" max="10" width="49.5703125" style="13" customWidth="1"/>
    <col min="11" max="11" width="15.42578125" style="13" customWidth="1"/>
    <col min="12" max="12" width="51.85546875" style="186" customWidth="1"/>
    <col min="62" max="16384" width="9.140625" style="4"/>
  </cols>
  <sheetData>
    <row r="1" spans="1:61" s="33" customFormat="1" ht="99.75" customHeight="1" thickBot="1" x14ac:dyDescent="0.3">
      <c r="A1" s="65" t="s">
        <v>507</v>
      </c>
      <c r="B1" s="32" t="s">
        <v>508</v>
      </c>
      <c r="C1" s="61" t="s">
        <v>124</v>
      </c>
      <c r="D1" s="61" t="s">
        <v>136</v>
      </c>
      <c r="E1" s="33" t="s">
        <v>633</v>
      </c>
      <c r="F1" s="33" t="s">
        <v>230</v>
      </c>
      <c r="G1" s="33" t="s">
        <v>277</v>
      </c>
      <c r="H1" s="33" t="s">
        <v>552</v>
      </c>
      <c r="I1" s="34" t="s">
        <v>569</v>
      </c>
      <c r="J1" s="61" t="s">
        <v>468</v>
      </c>
      <c r="K1" s="61" t="s">
        <v>0</v>
      </c>
      <c r="L1" s="61" t="s">
        <v>2</v>
      </c>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row>
    <row r="2" spans="1:61" s="22" customFormat="1" ht="30.75" thickTop="1" x14ac:dyDescent="0.25">
      <c r="A2" s="134">
        <v>-2900</v>
      </c>
      <c r="B2" s="24">
        <v>2.5</v>
      </c>
      <c r="C2" s="22" t="s">
        <v>32</v>
      </c>
      <c r="E2" s="165">
        <v>2.5</v>
      </c>
      <c r="F2" s="23"/>
      <c r="G2" s="165" t="s">
        <v>142</v>
      </c>
      <c r="H2" s="39" t="s">
        <v>570</v>
      </c>
      <c r="I2" s="39" t="s">
        <v>467</v>
      </c>
      <c r="J2" s="39" t="s">
        <v>632</v>
      </c>
      <c r="K2" s="39" t="s">
        <v>32</v>
      </c>
      <c r="L2" s="22" t="s">
        <v>329</v>
      </c>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row>
    <row r="3" spans="1:61" x14ac:dyDescent="0.25">
      <c r="A3" s="37">
        <v>-2450</v>
      </c>
      <c r="B3" s="25">
        <v>8</v>
      </c>
      <c r="C3" s="4" t="s">
        <v>227</v>
      </c>
      <c r="D3" s="166" t="s">
        <v>137</v>
      </c>
      <c r="E3" s="167">
        <v>8</v>
      </c>
      <c r="F3" s="6" t="s">
        <v>385</v>
      </c>
      <c r="G3" s="167" t="s">
        <v>142</v>
      </c>
      <c r="H3" s="13" t="s">
        <v>480</v>
      </c>
      <c r="K3" s="13" t="s">
        <v>3</v>
      </c>
      <c r="L3" s="4" t="s">
        <v>686</v>
      </c>
    </row>
    <row r="4" spans="1:61" ht="30" x14ac:dyDescent="0.25">
      <c r="A4" s="37">
        <v>-2350</v>
      </c>
      <c r="B4" s="25">
        <v>6.4</v>
      </c>
      <c r="C4" s="4" t="s">
        <v>227</v>
      </c>
      <c r="D4" s="168" t="s">
        <v>138</v>
      </c>
      <c r="E4" s="167" t="s">
        <v>224</v>
      </c>
      <c r="F4" s="8" t="s">
        <v>386</v>
      </c>
      <c r="G4" s="167" t="s">
        <v>142</v>
      </c>
      <c r="H4" s="13" t="s">
        <v>481</v>
      </c>
      <c r="I4" s="13" t="s">
        <v>447</v>
      </c>
      <c r="K4" s="13" t="s">
        <v>69</v>
      </c>
      <c r="L4" s="4"/>
    </row>
    <row r="5" spans="1:61" ht="30" x14ac:dyDescent="0.25">
      <c r="A5" s="37">
        <v>-2350</v>
      </c>
      <c r="B5" s="25">
        <v>5</v>
      </c>
      <c r="C5" s="4" t="s">
        <v>227</v>
      </c>
      <c r="D5" s="168" t="s">
        <v>138</v>
      </c>
      <c r="F5" s="8"/>
      <c r="G5" s="167" t="s">
        <v>142</v>
      </c>
      <c r="H5" s="13" t="s">
        <v>571</v>
      </c>
      <c r="I5" s="13" t="s">
        <v>387</v>
      </c>
      <c r="K5" s="13" t="s">
        <v>69</v>
      </c>
      <c r="L5" s="4"/>
    </row>
    <row r="6" spans="1:61" x14ac:dyDescent="0.25">
      <c r="A6" s="37">
        <v>-2350</v>
      </c>
      <c r="B6" s="25">
        <v>5</v>
      </c>
      <c r="C6" s="4" t="s">
        <v>227</v>
      </c>
      <c r="D6" s="168" t="s">
        <v>138</v>
      </c>
      <c r="F6" s="8"/>
      <c r="G6" s="167" t="s">
        <v>142</v>
      </c>
      <c r="H6" s="13" t="s">
        <v>233</v>
      </c>
      <c r="I6" s="13" t="s">
        <v>289</v>
      </c>
      <c r="K6" s="13" t="s">
        <v>69</v>
      </c>
      <c r="L6" s="4"/>
    </row>
    <row r="7" spans="1:61" s="13" customFormat="1" ht="60" x14ac:dyDescent="0.25">
      <c r="A7" s="135">
        <v>-2300</v>
      </c>
      <c r="B7" s="130">
        <v>8</v>
      </c>
      <c r="C7" s="13" t="s">
        <v>227</v>
      </c>
      <c r="D7" s="169" t="s">
        <v>137</v>
      </c>
      <c r="E7" s="131" t="s">
        <v>91</v>
      </c>
      <c r="F7" s="133" t="s">
        <v>385</v>
      </c>
      <c r="G7" s="170" t="s">
        <v>142</v>
      </c>
      <c r="H7" s="40" t="s">
        <v>544</v>
      </c>
      <c r="I7" s="40" t="s">
        <v>466</v>
      </c>
      <c r="J7" s="40" t="s">
        <v>500</v>
      </c>
      <c r="K7" s="40" t="s">
        <v>687</v>
      </c>
      <c r="L7" s="40" t="s">
        <v>104</v>
      </c>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x14ac:dyDescent="0.25">
      <c r="A8" s="37">
        <v>-2112</v>
      </c>
      <c r="B8" s="25">
        <v>10</v>
      </c>
      <c r="C8" s="4" t="s">
        <v>227</v>
      </c>
      <c r="D8" s="166" t="s">
        <v>137</v>
      </c>
      <c r="E8" s="167">
        <v>10</v>
      </c>
      <c r="F8" s="6"/>
      <c r="G8" s="167" t="s">
        <v>142</v>
      </c>
      <c r="H8" s="13" t="s">
        <v>480</v>
      </c>
      <c r="K8" s="13" t="s">
        <v>1</v>
      </c>
      <c r="L8" s="4" t="s">
        <v>4</v>
      </c>
    </row>
    <row r="9" spans="1:61" ht="60" x14ac:dyDescent="0.25">
      <c r="A9" s="37">
        <v>-2050</v>
      </c>
      <c r="B9" s="26">
        <v>21</v>
      </c>
      <c r="C9" s="4" t="s">
        <v>227</v>
      </c>
      <c r="D9" s="166" t="s">
        <v>137</v>
      </c>
      <c r="E9" s="10" t="s">
        <v>70</v>
      </c>
      <c r="F9" s="6" t="s">
        <v>231</v>
      </c>
      <c r="G9" s="167" t="s">
        <v>142</v>
      </c>
      <c r="H9" s="13" t="s">
        <v>545</v>
      </c>
      <c r="I9" s="13" t="s">
        <v>688</v>
      </c>
      <c r="J9" s="13" t="s">
        <v>501</v>
      </c>
      <c r="K9" s="13" t="s">
        <v>71</v>
      </c>
      <c r="L9" s="4" t="s">
        <v>72</v>
      </c>
    </row>
    <row r="10" spans="1:61" ht="60" x14ac:dyDescent="0.25">
      <c r="A10" s="37">
        <v>-2050</v>
      </c>
      <c r="B10" s="26">
        <v>15</v>
      </c>
      <c r="C10" s="4" t="s">
        <v>227</v>
      </c>
      <c r="D10" s="166" t="s">
        <v>137</v>
      </c>
      <c r="E10" s="10" t="s">
        <v>70</v>
      </c>
      <c r="F10" s="6"/>
      <c r="G10" s="167" t="s">
        <v>142</v>
      </c>
      <c r="H10" s="13" t="s">
        <v>545</v>
      </c>
      <c r="I10" s="13" t="s">
        <v>689</v>
      </c>
      <c r="J10" s="13" t="s">
        <v>501</v>
      </c>
      <c r="K10" s="13" t="s">
        <v>71</v>
      </c>
      <c r="L10" s="4" t="s">
        <v>72</v>
      </c>
    </row>
    <row r="11" spans="1:61" ht="30" x14ac:dyDescent="0.25">
      <c r="A11" s="37">
        <v>-2050</v>
      </c>
      <c r="B11" s="25">
        <v>10</v>
      </c>
      <c r="C11" s="4" t="s">
        <v>227</v>
      </c>
      <c r="D11" s="166" t="s">
        <v>137</v>
      </c>
      <c r="E11" s="9" t="s">
        <v>627</v>
      </c>
      <c r="F11" s="6"/>
      <c r="G11" s="167" t="s">
        <v>142</v>
      </c>
      <c r="H11" s="13" t="s">
        <v>626</v>
      </c>
      <c r="I11" s="171" t="s">
        <v>690</v>
      </c>
      <c r="K11" s="13" t="s">
        <v>1</v>
      </c>
      <c r="L11" s="4" t="s">
        <v>45</v>
      </c>
    </row>
    <row r="12" spans="1:61" x14ac:dyDescent="0.25">
      <c r="A12" s="37">
        <v>-2050</v>
      </c>
      <c r="B12" s="25">
        <v>7</v>
      </c>
      <c r="C12" s="4" t="s">
        <v>227</v>
      </c>
      <c r="D12" s="166" t="s">
        <v>137</v>
      </c>
      <c r="E12" s="172" t="s">
        <v>627</v>
      </c>
      <c r="F12" s="6"/>
      <c r="G12" s="167" t="s">
        <v>142</v>
      </c>
      <c r="H12" s="13" t="s">
        <v>626</v>
      </c>
      <c r="I12" s="171" t="s">
        <v>691</v>
      </c>
      <c r="K12" s="13" t="s">
        <v>1</v>
      </c>
      <c r="L12" s="4" t="s">
        <v>45</v>
      </c>
    </row>
    <row r="13" spans="1:61" x14ac:dyDescent="0.25">
      <c r="A13" s="37">
        <v>-2038</v>
      </c>
      <c r="B13" s="25">
        <v>10</v>
      </c>
      <c r="C13" s="4" t="s">
        <v>227</v>
      </c>
      <c r="D13" s="166" t="s">
        <v>137</v>
      </c>
      <c r="E13" s="167">
        <v>10</v>
      </c>
      <c r="F13" s="6"/>
      <c r="G13" s="167" t="s">
        <v>142</v>
      </c>
      <c r="H13" s="13" t="s">
        <v>480</v>
      </c>
      <c r="J13" s="13" t="s">
        <v>68</v>
      </c>
      <c r="K13" s="13" t="s">
        <v>7</v>
      </c>
      <c r="L13" s="4" t="s">
        <v>8</v>
      </c>
    </row>
    <row r="14" spans="1:61" x14ac:dyDescent="0.25">
      <c r="A14" s="37">
        <v>-2037</v>
      </c>
      <c r="B14" s="25">
        <v>9.5</v>
      </c>
      <c r="C14" s="4" t="s">
        <v>227</v>
      </c>
      <c r="D14" s="166" t="s">
        <v>137</v>
      </c>
      <c r="E14" s="167">
        <v>9.5</v>
      </c>
      <c r="F14" s="6"/>
      <c r="G14" s="167" t="s">
        <v>142</v>
      </c>
      <c r="H14" s="13" t="s">
        <v>480</v>
      </c>
      <c r="K14" s="13" t="s">
        <v>5</v>
      </c>
      <c r="L14" s="4" t="s">
        <v>6</v>
      </c>
    </row>
    <row r="15" spans="1:61" x14ac:dyDescent="0.25">
      <c r="A15" s="37">
        <v>-2033</v>
      </c>
      <c r="B15" s="25">
        <v>7</v>
      </c>
      <c r="C15" s="4" t="s">
        <v>227</v>
      </c>
      <c r="D15" s="166" t="s">
        <v>137</v>
      </c>
      <c r="E15" s="167">
        <v>7</v>
      </c>
      <c r="F15" s="6"/>
      <c r="G15" s="167" t="s">
        <v>142</v>
      </c>
      <c r="H15" s="13" t="s">
        <v>480</v>
      </c>
      <c r="K15" s="13" t="s">
        <v>7</v>
      </c>
      <c r="L15" s="4" t="s">
        <v>11</v>
      </c>
    </row>
    <row r="16" spans="1:61" ht="30" x14ac:dyDescent="0.25">
      <c r="A16" s="37">
        <v>-1900</v>
      </c>
      <c r="B16" s="25">
        <v>8</v>
      </c>
      <c r="C16" s="4" t="s">
        <v>227</v>
      </c>
      <c r="D16" s="173" t="s">
        <v>139</v>
      </c>
      <c r="E16" s="167">
        <v>8</v>
      </c>
      <c r="F16" s="11" t="s">
        <v>385</v>
      </c>
      <c r="G16" s="167" t="s">
        <v>142</v>
      </c>
      <c r="H16" s="13" t="s">
        <v>42</v>
      </c>
      <c r="J16" s="13" t="s">
        <v>43</v>
      </c>
      <c r="K16" s="13" t="s">
        <v>34</v>
      </c>
      <c r="L16" s="4" t="s">
        <v>41</v>
      </c>
    </row>
    <row r="17" spans="1:61" ht="30" x14ac:dyDescent="0.25">
      <c r="A17" s="37">
        <v>-1850</v>
      </c>
      <c r="B17" s="25">
        <v>2</v>
      </c>
      <c r="C17" s="4" t="s">
        <v>32</v>
      </c>
      <c r="E17" s="167">
        <v>2</v>
      </c>
      <c r="G17" s="167" t="s">
        <v>142</v>
      </c>
      <c r="H17" s="13" t="s">
        <v>482</v>
      </c>
      <c r="I17" s="13" t="s">
        <v>448</v>
      </c>
      <c r="J17" s="13" t="s">
        <v>220</v>
      </c>
      <c r="K17" s="13" t="s">
        <v>32</v>
      </c>
      <c r="L17" s="4" t="s">
        <v>106</v>
      </c>
    </row>
    <row r="18" spans="1:61" ht="60" x14ac:dyDescent="0.25">
      <c r="A18" s="37">
        <v>-1850</v>
      </c>
      <c r="B18" s="25">
        <v>10</v>
      </c>
      <c r="C18" s="4" t="s">
        <v>227</v>
      </c>
      <c r="D18" s="173" t="s">
        <v>139</v>
      </c>
      <c r="E18" s="172" t="s">
        <v>149</v>
      </c>
      <c r="F18" s="11" t="s">
        <v>386</v>
      </c>
      <c r="G18" s="167" t="s">
        <v>142</v>
      </c>
      <c r="H18" s="13" t="s">
        <v>57</v>
      </c>
      <c r="I18" s="13" t="s">
        <v>624</v>
      </c>
      <c r="J18" s="13" t="s">
        <v>305</v>
      </c>
      <c r="K18" s="13" t="s">
        <v>58</v>
      </c>
      <c r="L18" s="4" t="s">
        <v>47</v>
      </c>
    </row>
    <row r="19" spans="1:61" ht="30" x14ac:dyDescent="0.25">
      <c r="A19" s="37">
        <v>-1850</v>
      </c>
      <c r="B19" s="25">
        <v>10</v>
      </c>
      <c r="C19" s="4" t="s">
        <v>227</v>
      </c>
      <c r="D19" s="174" t="s">
        <v>140</v>
      </c>
      <c r="E19" s="172" t="s">
        <v>149</v>
      </c>
      <c r="F19" s="14" t="s">
        <v>231</v>
      </c>
      <c r="G19" s="167" t="s">
        <v>142</v>
      </c>
      <c r="H19" s="13" t="s">
        <v>57</v>
      </c>
      <c r="I19" s="13" t="s">
        <v>625</v>
      </c>
      <c r="K19" s="13" t="s">
        <v>58</v>
      </c>
      <c r="L19" s="4" t="s">
        <v>47</v>
      </c>
    </row>
    <row r="20" spans="1:61" s="176" customFormat="1" x14ac:dyDescent="0.25">
      <c r="A20" s="37">
        <v>-1850</v>
      </c>
      <c r="B20" s="25">
        <v>5</v>
      </c>
      <c r="C20" s="4" t="s">
        <v>227</v>
      </c>
      <c r="D20" s="174" t="s">
        <v>140</v>
      </c>
      <c r="E20" s="167">
        <v>5</v>
      </c>
      <c r="F20" s="14"/>
      <c r="G20" s="167" t="s">
        <v>142</v>
      </c>
      <c r="H20" s="13" t="s">
        <v>469</v>
      </c>
      <c r="I20" s="13" t="s">
        <v>146</v>
      </c>
      <c r="J20" s="13"/>
      <c r="K20" s="13" t="s">
        <v>46</v>
      </c>
      <c r="L20" s="4" t="s">
        <v>47</v>
      </c>
      <c r="M20"/>
      <c r="N20"/>
      <c r="O20"/>
      <c r="P20"/>
      <c r="Q20"/>
      <c r="R20"/>
      <c r="S20"/>
      <c r="T20"/>
      <c r="U20"/>
      <c r="V20"/>
      <c r="W20"/>
      <c r="X20"/>
      <c r="Y20"/>
      <c r="Z20"/>
      <c r="AA20"/>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row>
    <row r="21" spans="1:61" ht="30" x14ac:dyDescent="0.25">
      <c r="A21" s="37">
        <v>-1850</v>
      </c>
      <c r="B21" s="25">
        <v>9</v>
      </c>
      <c r="C21" s="4" t="s">
        <v>227</v>
      </c>
      <c r="D21" s="173" t="s">
        <v>139</v>
      </c>
      <c r="E21" s="167">
        <v>9</v>
      </c>
      <c r="F21" s="11"/>
      <c r="G21" s="167" t="s">
        <v>142</v>
      </c>
      <c r="H21" s="13" t="s">
        <v>646</v>
      </c>
      <c r="K21" s="13" t="s">
        <v>59</v>
      </c>
      <c r="L21" s="4" t="s">
        <v>27</v>
      </c>
    </row>
    <row r="22" spans="1:61" ht="30" x14ac:dyDescent="0.25">
      <c r="A22" s="37">
        <v>-1850</v>
      </c>
      <c r="B22" s="15">
        <v>8</v>
      </c>
      <c r="C22" s="12" t="s">
        <v>228</v>
      </c>
      <c r="E22" s="15">
        <v>8</v>
      </c>
      <c r="G22" s="15" t="s">
        <v>278</v>
      </c>
      <c r="H22" s="13" t="s">
        <v>57</v>
      </c>
      <c r="I22" s="13" t="s">
        <v>669</v>
      </c>
      <c r="J22" s="13" t="s">
        <v>670</v>
      </c>
      <c r="K22" s="13" t="s">
        <v>34</v>
      </c>
      <c r="L22" s="4" t="s">
        <v>105</v>
      </c>
    </row>
    <row r="23" spans="1:61" x14ac:dyDescent="0.25">
      <c r="A23" s="37">
        <v>-1840</v>
      </c>
      <c r="B23" s="25">
        <v>10</v>
      </c>
      <c r="C23" s="4" t="s">
        <v>227</v>
      </c>
      <c r="D23" s="166" t="s">
        <v>137</v>
      </c>
      <c r="E23" s="167">
        <v>10</v>
      </c>
      <c r="F23" s="6"/>
      <c r="G23" s="167" t="s">
        <v>142</v>
      </c>
      <c r="H23" s="13" t="s">
        <v>483</v>
      </c>
      <c r="K23" s="13" t="s">
        <v>12</v>
      </c>
      <c r="L23" s="4" t="s">
        <v>67</v>
      </c>
    </row>
    <row r="24" spans="1:61" x14ac:dyDescent="0.25">
      <c r="A24" s="37">
        <v>-1820</v>
      </c>
      <c r="B24" s="25">
        <v>9</v>
      </c>
      <c r="C24" s="4" t="s">
        <v>227</v>
      </c>
      <c r="D24" s="166" t="s">
        <v>137</v>
      </c>
      <c r="E24" s="167">
        <v>9</v>
      </c>
      <c r="F24" s="6" t="s">
        <v>386</v>
      </c>
      <c r="G24" s="167" t="s">
        <v>142</v>
      </c>
      <c r="H24" s="13" t="s">
        <v>480</v>
      </c>
      <c r="K24" s="13" t="s">
        <v>12</v>
      </c>
      <c r="L24" s="4" t="s">
        <v>122</v>
      </c>
    </row>
    <row r="25" spans="1:61" x14ac:dyDescent="0.25">
      <c r="A25" s="37">
        <v>-1818</v>
      </c>
      <c r="B25" s="25">
        <v>6.5</v>
      </c>
      <c r="C25" s="4" t="s">
        <v>227</v>
      </c>
      <c r="D25" s="166" t="s">
        <v>137</v>
      </c>
      <c r="E25" s="167">
        <v>6.5</v>
      </c>
      <c r="F25" s="6"/>
      <c r="G25" s="167" t="s">
        <v>142</v>
      </c>
      <c r="H25" s="13" t="s">
        <v>480</v>
      </c>
      <c r="K25" s="13" t="s">
        <v>12</v>
      </c>
      <c r="L25" s="4" t="s">
        <v>13</v>
      </c>
    </row>
    <row r="26" spans="1:61" x14ac:dyDescent="0.25">
      <c r="A26" s="37">
        <v>-1801</v>
      </c>
      <c r="B26" s="25">
        <v>5</v>
      </c>
      <c r="C26" s="4" t="s">
        <v>227</v>
      </c>
      <c r="D26" s="166" t="s">
        <v>137</v>
      </c>
      <c r="E26" s="167">
        <v>5</v>
      </c>
      <c r="F26" s="6"/>
      <c r="G26" s="167" t="s">
        <v>142</v>
      </c>
      <c r="H26" s="13" t="s">
        <v>483</v>
      </c>
      <c r="K26" s="13" t="s">
        <v>1</v>
      </c>
      <c r="L26" s="4" t="s">
        <v>61</v>
      </c>
    </row>
    <row r="27" spans="1:61" x14ac:dyDescent="0.25">
      <c r="A27" s="37">
        <v>-1799</v>
      </c>
      <c r="B27" s="25">
        <v>5</v>
      </c>
      <c r="C27" s="4" t="s">
        <v>227</v>
      </c>
      <c r="D27" s="166" t="s">
        <v>137</v>
      </c>
      <c r="E27" s="167">
        <v>5</v>
      </c>
      <c r="F27" s="6"/>
      <c r="G27" s="167" t="s">
        <v>142</v>
      </c>
      <c r="H27" s="13" t="s">
        <v>483</v>
      </c>
      <c r="K27" s="13" t="s">
        <v>12</v>
      </c>
      <c r="L27" s="4" t="s">
        <v>62</v>
      </c>
    </row>
    <row r="28" spans="1:61" x14ac:dyDescent="0.25">
      <c r="A28" s="37">
        <v>-1795</v>
      </c>
      <c r="B28" s="25">
        <v>4</v>
      </c>
      <c r="C28" s="4" t="s">
        <v>227</v>
      </c>
      <c r="D28" s="166" t="s">
        <v>137</v>
      </c>
      <c r="E28" s="167">
        <v>4</v>
      </c>
      <c r="F28" s="6"/>
      <c r="G28" s="167" t="s">
        <v>142</v>
      </c>
      <c r="H28" s="13" t="s">
        <v>484</v>
      </c>
      <c r="K28" s="13" t="s">
        <v>12</v>
      </c>
      <c r="L28" s="4" t="s">
        <v>123</v>
      </c>
    </row>
    <row r="29" spans="1:61" x14ac:dyDescent="0.25">
      <c r="A29" s="37">
        <v>-1792</v>
      </c>
      <c r="B29" s="25">
        <v>5</v>
      </c>
      <c r="C29" s="4" t="s">
        <v>227</v>
      </c>
      <c r="D29" s="166" t="s">
        <v>137</v>
      </c>
      <c r="E29" s="167">
        <v>5</v>
      </c>
      <c r="F29" s="6"/>
      <c r="G29" s="167" t="s">
        <v>142</v>
      </c>
      <c r="H29" s="13" t="s">
        <v>483</v>
      </c>
      <c r="K29" s="13" t="s">
        <v>12</v>
      </c>
      <c r="L29" s="4" t="s">
        <v>63</v>
      </c>
    </row>
    <row r="30" spans="1:61" x14ac:dyDescent="0.25">
      <c r="A30" s="37">
        <v>-1782</v>
      </c>
      <c r="B30" s="25">
        <v>5.5</v>
      </c>
      <c r="C30" s="4" t="s">
        <v>227</v>
      </c>
      <c r="D30" s="166" t="s">
        <v>137</v>
      </c>
      <c r="E30" s="167">
        <v>5.5</v>
      </c>
      <c r="F30" s="6"/>
      <c r="G30" s="167" t="s">
        <v>142</v>
      </c>
      <c r="H30" s="13" t="s">
        <v>480</v>
      </c>
      <c r="K30" s="13" t="s">
        <v>15</v>
      </c>
      <c r="L30" s="4" t="s">
        <v>14</v>
      </c>
    </row>
    <row r="31" spans="1:61" ht="30" x14ac:dyDescent="0.25">
      <c r="A31" s="37">
        <v>-1760</v>
      </c>
      <c r="B31" s="25">
        <v>6</v>
      </c>
      <c r="C31" s="4" t="s">
        <v>227</v>
      </c>
      <c r="D31" s="173" t="s">
        <v>139</v>
      </c>
      <c r="E31" s="177" t="s">
        <v>226</v>
      </c>
      <c r="F31" s="11" t="s">
        <v>386</v>
      </c>
      <c r="G31" s="167" t="s">
        <v>142</v>
      </c>
      <c r="H31" s="13" t="s">
        <v>647</v>
      </c>
      <c r="I31" s="13" t="s">
        <v>225</v>
      </c>
      <c r="J31" s="41" t="s">
        <v>692</v>
      </c>
      <c r="K31" s="13" t="s">
        <v>28</v>
      </c>
      <c r="L31" s="4" t="s">
        <v>64</v>
      </c>
    </row>
    <row r="32" spans="1:61" ht="30" x14ac:dyDescent="0.25">
      <c r="A32" s="37">
        <v>-1760</v>
      </c>
      <c r="B32" s="25">
        <v>4</v>
      </c>
      <c r="C32" s="4" t="s">
        <v>227</v>
      </c>
      <c r="D32" s="173" t="s">
        <v>139</v>
      </c>
      <c r="E32" s="177" t="s">
        <v>226</v>
      </c>
      <c r="F32" s="11"/>
      <c r="G32" s="167" t="s">
        <v>142</v>
      </c>
      <c r="H32" s="13" t="s">
        <v>647</v>
      </c>
      <c r="I32" s="13" t="s">
        <v>225</v>
      </c>
      <c r="J32" s="13" t="s">
        <v>693</v>
      </c>
      <c r="K32" s="13" t="s">
        <v>28</v>
      </c>
      <c r="L32" s="4" t="s">
        <v>64</v>
      </c>
    </row>
    <row r="33" spans="1:61" x14ac:dyDescent="0.25">
      <c r="A33" s="37">
        <v>-1757</v>
      </c>
      <c r="B33" s="25">
        <v>6</v>
      </c>
      <c r="C33" s="4" t="s">
        <v>227</v>
      </c>
      <c r="D33" s="166" t="s">
        <v>137</v>
      </c>
      <c r="E33" s="167">
        <v>6</v>
      </c>
      <c r="F33" s="6"/>
      <c r="G33" s="167" t="s">
        <v>142</v>
      </c>
      <c r="H33" s="13" t="s">
        <v>470</v>
      </c>
      <c r="K33" s="13" t="s">
        <v>16</v>
      </c>
      <c r="L33" s="4" t="s">
        <v>17</v>
      </c>
    </row>
    <row r="34" spans="1:61" ht="30" x14ac:dyDescent="0.25">
      <c r="A34" s="37">
        <v>-1757</v>
      </c>
      <c r="B34" s="25">
        <v>3</v>
      </c>
      <c r="C34" s="4" t="s">
        <v>227</v>
      </c>
      <c r="D34" s="166" t="s">
        <v>137</v>
      </c>
      <c r="E34" s="167">
        <v>3</v>
      </c>
      <c r="F34" s="6"/>
      <c r="G34" s="167" t="s">
        <v>142</v>
      </c>
      <c r="H34" s="13" t="s">
        <v>483</v>
      </c>
      <c r="J34" s="13" t="s">
        <v>148</v>
      </c>
      <c r="K34" s="13" t="s">
        <v>16</v>
      </c>
      <c r="L34" s="4" t="s">
        <v>17</v>
      </c>
    </row>
    <row r="35" spans="1:61" ht="30" x14ac:dyDescent="0.25">
      <c r="A35" s="37">
        <v>-1750</v>
      </c>
      <c r="B35" s="25">
        <v>9</v>
      </c>
      <c r="C35" s="4" t="s">
        <v>227</v>
      </c>
      <c r="D35" s="174" t="s">
        <v>140</v>
      </c>
      <c r="E35" s="177"/>
      <c r="F35" s="11"/>
      <c r="G35" s="15" t="s">
        <v>278</v>
      </c>
      <c r="H35" s="13" t="s">
        <v>471</v>
      </c>
      <c r="I35" s="13" t="s">
        <v>244</v>
      </c>
      <c r="J35" s="41" t="s">
        <v>694</v>
      </c>
      <c r="K35" s="13" t="s">
        <v>245</v>
      </c>
      <c r="L35" s="4"/>
    </row>
    <row r="36" spans="1:61" ht="30" x14ac:dyDescent="0.25">
      <c r="A36" s="37">
        <v>-1750</v>
      </c>
      <c r="B36" s="25">
        <v>4</v>
      </c>
      <c r="C36" s="4" t="s">
        <v>227</v>
      </c>
      <c r="D36" s="174" t="s">
        <v>140</v>
      </c>
      <c r="E36" s="177"/>
      <c r="F36" s="11"/>
      <c r="G36" s="15" t="s">
        <v>278</v>
      </c>
      <c r="H36" s="13" t="s">
        <v>471</v>
      </c>
      <c r="I36" s="13" t="s">
        <v>244</v>
      </c>
      <c r="J36" s="41" t="s">
        <v>694</v>
      </c>
      <c r="K36" s="13" t="s">
        <v>245</v>
      </c>
      <c r="L36" s="4"/>
    </row>
    <row r="37" spans="1:61" x14ac:dyDescent="0.25">
      <c r="A37" s="37">
        <v>-1450</v>
      </c>
      <c r="B37" s="25">
        <v>9</v>
      </c>
      <c r="C37" s="4" t="s">
        <v>227</v>
      </c>
      <c r="D37" s="166" t="s">
        <v>137</v>
      </c>
      <c r="E37" s="167">
        <v>9</v>
      </c>
      <c r="F37" s="6" t="s">
        <v>385</v>
      </c>
      <c r="G37" s="167" t="s">
        <v>142</v>
      </c>
      <c r="H37" s="13" t="s">
        <v>646</v>
      </c>
      <c r="K37" s="13" t="s">
        <v>16</v>
      </c>
      <c r="L37" s="4" t="s">
        <v>30</v>
      </c>
    </row>
    <row r="38" spans="1:61" x14ac:dyDescent="0.25">
      <c r="A38" s="37">
        <v>-1450</v>
      </c>
      <c r="B38" s="25">
        <v>9</v>
      </c>
      <c r="C38" s="4" t="s">
        <v>227</v>
      </c>
      <c r="D38" s="173" t="s">
        <v>139</v>
      </c>
      <c r="E38" s="167">
        <v>9</v>
      </c>
      <c r="F38" s="11" t="s">
        <v>385</v>
      </c>
      <c r="G38" s="167" t="s">
        <v>142</v>
      </c>
      <c r="H38" s="13" t="s">
        <v>485</v>
      </c>
      <c r="K38" s="13" t="s">
        <v>9</v>
      </c>
      <c r="L38" s="4" t="s">
        <v>10</v>
      </c>
    </row>
    <row r="39" spans="1:61" x14ac:dyDescent="0.25">
      <c r="A39" s="37">
        <v>-1450</v>
      </c>
      <c r="B39" s="25">
        <v>9</v>
      </c>
      <c r="C39" s="4" t="s">
        <v>227</v>
      </c>
      <c r="D39" s="173" t="s">
        <v>139</v>
      </c>
      <c r="E39" s="167">
        <v>9</v>
      </c>
      <c r="F39" s="11"/>
      <c r="G39" s="167" t="s">
        <v>142</v>
      </c>
      <c r="H39" s="13" t="s">
        <v>648</v>
      </c>
      <c r="I39" s="13" t="s">
        <v>449</v>
      </c>
      <c r="K39" s="13" t="s">
        <v>9</v>
      </c>
      <c r="L39" s="4"/>
    </row>
    <row r="40" spans="1:61" x14ac:dyDescent="0.25">
      <c r="A40" s="37">
        <v>-1450</v>
      </c>
      <c r="B40" s="25">
        <v>4</v>
      </c>
      <c r="C40" s="4" t="s">
        <v>227</v>
      </c>
      <c r="D40" s="168" t="s">
        <v>138</v>
      </c>
      <c r="E40" s="172" t="s">
        <v>115</v>
      </c>
      <c r="F40" s="8"/>
      <c r="G40" s="167" t="s">
        <v>142</v>
      </c>
      <c r="H40" s="13" t="s">
        <v>646</v>
      </c>
      <c r="K40" s="13" t="s">
        <v>29</v>
      </c>
      <c r="L40" s="4"/>
    </row>
    <row r="41" spans="1:61" x14ac:dyDescent="0.25">
      <c r="A41" s="37">
        <v>-1425</v>
      </c>
      <c r="B41" s="25">
        <v>1.7</v>
      </c>
      <c r="C41" s="4" t="s">
        <v>32</v>
      </c>
      <c r="E41" s="172">
        <v>1.7</v>
      </c>
      <c r="G41" s="167" t="s">
        <v>142</v>
      </c>
      <c r="H41" s="13" t="s">
        <v>486</v>
      </c>
      <c r="K41" s="13" t="s">
        <v>32</v>
      </c>
      <c r="L41" s="4" t="s">
        <v>107</v>
      </c>
    </row>
    <row r="42" spans="1:61" x14ac:dyDescent="0.25">
      <c r="A42" s="37">
        <v>-1400</v>
      </c>
      <c r="B42" s="15">
        <v>3</v>
      </c>
      <c r="C42" s="12" t="s">
        <v>213</v>
      </c>
      <c r="E42" s="15">
        <v>3</v>
      </c>
      <c r="G42" s="15" t="s">
        <v>278</v>
      </c>
      <c r="H42" s="13" t="s">
        <v>295</v>
      </c>
      <c r="I42" s="4"/>
      <c r="J42" s="41" t="s">
        <v>33</v>
      </c>
      <c r="K42" s="13" t="s">
        <v>32</v>
      </c>
      <c r="L42" s="4"/>
    </row>
    <row r="43" spans="1:61" s="176" customFormat="1" x14ac:dyDescent="0.25">
      <c r="A43" s="37">
        <v>-1400</v>
      </c>
      <c r="B43" s="25">
        <v>4</v>
      </c>
      <c r="C43" s="4" t="s">
        <v>227</v>
      </c>
      <c r="D43" s="168" t="s">
        <v>138</v>
      </c>
      <c r="E43" s="167">
        <v>4</v>
      </c>
      <c r="F43" s="8"/>
      <c r="G43" s="167" t="s">
        <v>142</v>
      </c>
      <c r="H43" s="13" t="s">
        <v>295</v>
      </c>
      <c r="I43" s="13"/>
      <c r="J43" s="13"/>
      <c r="K43" s="13" t="s">
        <v>29</v>
      </c>
      <c r="L43" s="4"/>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row>
    <row r="44" spans="1:61" x14ac:dyDescent="0.25">
      <c r="A44" s="37">
        <v>-1360</v>
      </c>
      <c r="B44" s="25">
        <v>3</v>
      </c>
      <c r="C44" s="4" t="s">
        <v>227</v>
      </c>
      <c r="D44" s="166" t="s">
        <v>137</v>
      </c>
      <c r="E44" s="167">
        <v>3</v>
      </c>
      <c r="F44" s="6"/>
      <c r="G44" s="167" t="s">
        <v>142</v>
      </c>
      <c r="H44" s="13" t="s">
        <v>487</v>
      </c>
      <c r="K44" s="13" t="s">
        <v>16</v>
      </c>
      <c r="L44" s="4" t="s">
        <v>65</v>
      </c>
    </row>
    <row r="45" spans="1:61" x14ac:dyDescent="0.25">
      <c r="A45" s="37">
        <v>-1300</v>
      </c>
      <c r="B45" s="25">
        <v>3.5</v>
      </c>
      <c r="C45" s="4" t="s">
        <v>227</v>
      </c>
      <c r="D45" s="168" t="s">
        <v>138</v>
      </c>
      <c r="E45" s="172" t="s">
        <v>115</v>
      </c>
      <c r="F45" s="8"/>
      <c r="G45" s="167" t="s">
        <v>142</v>
      </c>
      <c r="H45" s="13" t="s">
        <v>646</v>
      </c>
      <c r="I45" s="13" t="s">
        <v>112</v>
      </c>
      <c r="K45" s="13" t="s">
        <v>29</v>
      </c>
      <c r="L45" s="4" t="s">
        <v>113</v>
      </c>
    </row>
    <row r="46" spans="1:61" x14ac:dyDescent="0.25">
      <c r="A46" s="37">
        <v>-1300</v>
      </c>
      <c r="B46" s="15">
        <v>36</v>
      </c>
      <c r="C46" s="12" t="s">
        <v>228</v>
      </c>
      <c r="E46" s="132" t="s">
        <v>116</v>
      </c>
      <c r="G46" s="15" t="s">
        <v>278</v>
      </c>
      <c r="H46" s="13" t="s">
        <v>646</v>
      </c>
      <c r="I46" s="13" t="s">
        <v>510</v>
      </c>
      <c r="J46" s="41" t="s">
        <v>509</v>
      </c>
      <c r="K46" s="13" t="s">
        <v>31</v>
      </c>
      <c r="L46" s="4" t="s">
        <v>113</v>
      </c>
    </row>
    <row r="47" spans="1:61" x14ac:dyDescent="0.25">
      <c r="A47" s="37">
        <v>-1296</v>
      </c>
      <c r="B47" s="26">
        <v>9</v>
      </c>
      <c r="C47" s="4" t="s">
        <v>227</v>
      </c>
      <c r="D47" s="173" t="s">
        <v>139</v>
      </c>
      <c r="E47" s="9"/>
      <c r="F47" s="11" t="s">
        <v>385</v>
      </c>
      <c r="G47" s="167" t="s">
        <v>142</v>
      </c>
      <c r="H47" s="13" t="s">
        <v>223</v>
      </c>
      <c r="K47" s="13" t="s">
        <v>9</v>
      </c>
      <c r="L47" s="4" t="s">
        <v>222</v>
      </c>
    </row>
    <row r="48" spans="1:61" x14ac:dyDescent="0.25">
      <c r="A48" s="37">
        <v>-1263</v>
      </c>
      <c r="B48" s="26">
        <v>2</v>
      </c>
      <c r="C48" s="4" t="s">
        <v>32</v>
      </c>
      <c r="E48" s="10">
        <v>2</v>
      </c>
      <c r="G48" s="167" t="s">
        <v>142</v>
      </c>
      <c r="H48" s="13" t="s">
        <v>212</v>
      </c>
      <c r="I48" s="13" t="s">
        <v>211</v>
      </c>
      <c r="K48" s="13" t="s">
        <v>32</v>
      </c>
      <c r="L48" s="4" t="s">
        <v>74</v>
      </c>
    </row>
    <row r="49" spans="1:12" ht="45" x14ac:dyDescent="0.25">
      <c r="A49" s="37">
        <v>-1225</v>
      </c>
      <c r="B49" s="26">
        <v>8</v>
      </c>
      <c r="C49" s="4" t="s">
        <v>227</v>
      </c>
      <c r="D49" s="166" t="s">
        <v>137</v>
      </c>
      <c r="E49" s="9" t="s">
        <v>117</v>
      </c>
      <c r="F49" s="6" t="s">
        <v>231</v>
      </c>
      <c r="G49" s="167" t="s">
        <v>142</v>
      </c>
      <c r="H49" s="13" t="s">
        <v>628</v>
      </c>
      <c r="I49" s="13" t="s">
        <v>110</v>
      </c>
      <c r="J49" s="13" t="s">
        <v>511</v>
      </c>
      <c r="K49" s="13" t="s">
        <v>16</v>
      </c>
      <c r="L49" s="4" t="s">
        <v>73</v>
      </c>
    </row>
    <row r="50" spans="1:12" ht="45" x14ac:dyDescent="0.25">
      <c r="A50" s="37">
        <v>-1225</v>
      </c>
      <c r="B50" s="26">
        <v>4</v>
      </c>
      <c r="C50" s="4" t="s">
        <v>227</v>
      </c>
      <c r="D50" s="166" t="s">
        <v>137</v>
      </c>
      <c r="E50" s="9" t="s">
        <v>117</v>
      </c>
      <c r="F50" s="6"/>
      <c r="G50" s="167" t="s">
        <v>142</v>
      </c>
      <c r="H50" s="13" t="s">
        <v>629</v>
      </c>
      <c r="I50" s="13" t="s">
        <v>110</v>
      </c>
      <c r="J50" s="13" t="s">
        <v>511</v>
      </c>
      <c r="K50" s="13" t="s">
        <v>16</v>
      </c>
      <c r="L50" s="4" t="s">
        <v>73</v>
      </c>
    </row>
    <row r="51" spans="1:12" x14ac:dyDescent="0.25">
      <c r="A51" s="37">
        <v>-1180</v>
      </c>
      <c r="B51" s="15">
        <v>2</v>
      </c>
      <c r="C51" s="12" t="s">
        <v>213</v>
      </c>
      <c r="E51" s="15">
        <v>2</v>
      </c>
      <c r="G51" s="15" t="s">
        <v>278</v>
      </c>
      <c r="H51" s="13" t="s">
        <v>472</v>
      </c>
      <c r="I51" s="4"/>
      <c r="J51" s="41" t="s">
        <v>284</v>
      </c>
      <c r="K51" s="13" t="s">
        <v>32</v>
      </c>
      <c r="L51" s="4" t="s">
        <v>75</v>
      </c>
    </row>
    <row r="52" spans="1:12" x14ac:dyDescent="0.25">
      <c r="A52" s="37">
        <v>-1150</v>
      </c>
      <c r="B52" s="15">
        <v>2</v>
      </c>
      <c r="C52" s="12" t="s">
        <v>213</v>
      </c>
      <c r="E52" s="15">
        <v>2</v>
      </c>
      <c r="G52" s="15" t="s">
        <v>278</v>
      </c>
      <c r="H52" s="13" t="s">
        <v>649</v>
      </c>
      <c r="I52" s="4"/>
      <c r="J52" s="41" t="s">
        <v>284</v>
      </c>
      <c r="K52" s="13" t="s">
        <v>32</v>
      </c>
      <c r="L52" s="4" t="s">
        <v>114</v>
      </c>
    </row>
    <row r="53" spans="1:12" x14ac:dyDescent="0.25">
      <c r="A53" s="37">
        <v>-1130</v>
      </c>
      <c r="B53" s="15">
        <v>2</v>
      </c>
      <c r="C53" s="12" t="s">
        <v>213</v>
      </c>
      <c r="E53" s="15">
        <v>2</v>
      </c>
      <c r="G53" s="15" t="s">
        <v>278</v>
      </c>
      <c r="H53" s="13" t="s">
        <v>650</v>
      </c>
      <c r="I53" s="4"/>
      <c r="J53" s="41" t="s">
        <v>284</v>
      </c>
      <c r="K53" s="13" t="s">
        <v>32</v>
      </c>
      <c r="L53" s="4" t="s">
        <v>56</v>
      </c>
    </row>
    <row r="54" spans="1:12" x14ac:dyDescent="0.25">
      <c r="A54" s="37">
        <v>-1120</v>
      </c>
      <c r="B54" s="15">
        <v>3.5</v>
      </c>
      <c r="C54" s="12" t="s">
        <v>213</v>
      </c>
      <c r="E54" s="15">
        <v>3.5</v>
      </c>
      <c r="G54" s="15" t="s">
        <v>278</v>
      </c>
      <c r="H54" s="13" t="s">
        <v>473</v>
      </c>
      <c r="I54" s="4"/>
      <c r="J54" s="41" t="s">
        <v>284</v>
      </c>
      <c r="K54" s="13" t="s">
        <v>32</v>
      </c>
      <c r="L54" s="4" t="s">
        <v>48</v>
      </c>
    </row>
    <row r="55" spans="1:12" ht="30" x14ac:dyDescent="0.25">
      <c r="A55" s="37">
        <v>-1119</v>
      </c>
      <c r="B55" s="25">
        <v>3.33</v>
      </c>
      <c r="C55" s="4" t="s">
        <v>32</v>
      </c>
      <c r="D55" s="12"/>
      <c r="E55" s="167">
        <v>3.33</v>
      </c>
      <c r="F55" s="5" t="s">
        <v>231</v>
      </c>
      <c r="G55" s="167" t="s">
        <v>142</v>
      </c>
      <c r="H55" s="13" t="s">
        <v>651</v>
      </c>
      <c r="I55" s="171" t="s">
        <v>111</v>
      </c>
      <c r="J55" s="13" t="s">
        <v>66</v>
      </c>
      <c r="K55" s="13" t="s">
        <v>32</v>
      </c>
      <c r="L55" s="4" t="s">
        <v>108</v>
      </c>
    </row>
    <row r="56" spans="1:12" ht="30" x14ac:dyDescent="0.25">
      <c r="A56" s="37">
        <v>-1119</v>
      </c>
      <c r="B56" s="25">
        <v>2</v>
      </c>
      <c r="C56" s="4" t="s">
        <v>32</v>
      </c>
      <c r="D56" s="12"/>
      <c r="E56" s="15">
        <v>2</v>
      </c>
      <c r="G56" s="167" t="s">
        <v>142</v>
      </c>
      <c r="H56" s="13" t="s">
        <v>488</v>
      </c>
      <c r="I56" s="171" t="s">
        <v>210</v>
      </c>
      <c r="J56" s="13" t="s">
        <v>512</v>
      </c>
      <c r="K56" s="13" t="s">
        <v>32</v>
      </c>
      <c r="L56" s="4" t="s">
        <v>109</v>
      </c>
    </row>
    <row r="57" spans="1:12" x14ac:dyDescent="0.25">
      <c r="A57" s="37">
        <v>-1034</v>
      </c>
      <c r="B57" s="25">
        <v>6.2</v>
      </c>
      <c r="C57" s="4" t="s">
        <v>227</v>
      </c>
      <c r="D57" s="166" t="s">
        <v>137</v>
      </c>
      <c r="E57" s="15"/>
      <c r="F57" s="6"/>
      <c r="G57" s="167" t="s">
        <v>142</v>
      </c>
      <c r="H57" s="13" t="s">
        <v>221</v>
      </c>
      <c r="J57" s="171"/>
      <c r="K57" s="13" t="s">
        <v>16</v>
      </c>
      <c r="L57" s="4"/>
    </row>
    <row r="58" spans="1:12" x14ac:dyDescent="0.25">
      <c r="A58" s="37">
        <v>-962</v>
      </c>
      <c r="B58" s="25">
        <v>12</v>
      </c>
      <c r="C58" s="4" t="s">
        <v>227</v>
      </c>
      <c r="D58" s="166" t="s">
        <v>137</v>
      </c>
      <c r="E58" s="15"/>
      <c r="F58" s="6" t="s">
        <v>231</v>
      </c>
      <c r="G58" s="167" t="s">
        <v>142</v>
      </c>
      <c r="H58" s="13" t="s">
        <v>132</v>
      </c>
      <c r="I58" s="171" t="s">
        <v>131</v>
      </c>
      <c r="K58" s="13" t="s">
        <v>16</v>
      </c>
      <c r="L58" s="4" t="s">
        <v>215</v>
      </c>
    </row>
    <row r="59" spans="1:12" x14ac:dyDescent="0.25">
      <c r="A59" s="37">
        <v>-680</v>
      </c>
      <c r="B59" s="25">
        <v>15</v>
      </c>
      <c r="C59" s="4" t="s">
        <v>227</v>
      </c>
      <c r="D59" s="166" t="s">
        <v>137</v>
      </c>
      <c r="E59" s="15"/>
      <c r="F59" s="6" t="s">
        <v>231</v>
      </c>
      <c r="G59" s="167" t="s">
        <v>142</v>
      </c>
      <c r="H59" s="13" t="s">
        <v>235</v>
      </c>
      <c r="I59" s="171" t="s">
        <v>238</v>
      </c>
      <c r="K59" s="13" t="s">
        <v>16</v>
      </c>
      <c r="L59" s="4"/>
    </row>
    <row r="60" spans="1:12" ht="30" x14ac:dyDescent="0.25">
      <c r="A60" s="37">
        <v>-634</v>
      </c>
      <c r="B60" s="25">
        <v>15</v>
      </c>
      <c r="C60" s="4" t="s">
        <v>227</v>
      </c>
      <c r="D60" s="166" t="s">
        <v>137</v>
      </c>
      <c r="E60" s="15">
        <v>15</v>
      </c>
      <c r="F60" s="6" t="s">
        <v>231</v>
      </c>
      <c r="G60" s="167" t="s">
        <v>142</v>
      </c>
      <c r="H60" s="13" t="s">
        <v>474</v>
      </c>
      <c r="I60" s="171" t="s">
        <v>450</v>
      </c>
      <c r="K60" s="13" t="s">
        <v>16</v>
      </c>
      <c r="L60" s="4" t="s">
        <v>119</v>
      </c>
    </row>
    <row r="61" spans="1:12" x14ac:dyDescent="0.25">
      <c r="A61" s="37">
        <v>-630</v>
      </c>
      <c r="B61" s="25">
        <v>11.66</v>
      </c>
      <c r="C61" s="4" t="s">
        <v>227</v>
      </c>
      <c r="D61" s="174" t="s">
        <v>140</v>
      </c>
      <c r="E61" s="15"/>
      <c r="F61" s="14" t="s">
        <v>231</v>
      </c>
      <c r="G61" s="167" t="s">
        <v>142</v>
      </c>
      <c r="H61" s="13" t="s">
        <v>240</v>
      </c>
      <c r="I61" s="171" t="s">
        <v>451</v>
      </c>
      <c r="K61" s="13" t="s">
        <v>241</v>
      </c>
      <c r="L61" s="4" t="s">
        <v>695</v>
      </c>
    </row>
    <row r="62" spans="1:12" x14ac:dyDescent="0.25">
      <c r="A62" s="37">
        <v>-614</v>
      </c>
      <c r="B62" s="25">
        <v>11</v>
      </c>
      <c r="C62" s="4" t="s">
        <v>227</v>
      </c>
      <c r="D62" s="166" t="s">
        <v>137</v>
      </c>
      <c r="E62" s="167">
        <v>11</v>
      </c>
      <c r="F62" s="6"/>
      <c r="G62" s="167" t="s">
        <v>142</v>
      </c>
      <c r="H62" s="13" t="s">
        <v>480</v>
      </c>
      <c r="K62" s="13" t="s">
        <v>18</v>
      </c>
      <c r="L62" s="4" t="s">
        <v>19</v>
      </c>
    </row>
    <row r="63" spans="1:12" x14ac:dyDescent="0.25">
      <c r="A63" s="37">
        <v>-606</v>
      </c>
      <c r="B63" s="25">
        <v>15</v>
      </c>
      <c r="C63" s="4" t="s">
        <v>227</v>
      </c>
      <c r="D63" s="166" t="s">
        <v>137</v>
      </c>
      <c r="E63" s="167" t="s">
        <v>292</v>
      </c>
      <c r="F63" s="6" t="s">
        <v>231</v>
      </c>
      <c r="G63" s="167" t="s">
        <v>142</v>
      </c>
      <c r="H63" s="13" t="s">
        <v>235</v>
      </c>
      <c r="I63" s="171" t="s">
        <v>243</v>
      </c>
      <c r="K63" s="13" t="s">
        <v>18</v>
      </c>
      <c r="L63" s="4" t="s">
        <v>20</v>
      </c>
    </row>
    <row r="64" spans="1:12" x14ac:dyDescent="0.25">
      <c r="A64" s="37">
        <v>-600</v>
      </c>
      <c r="B64" s="25">
        <v>9.5</v>
      </c>
      <c r="C64" s="4" t="s">
        <v>227</v>
      </c>
      <c r="D64" s="166" t="s">
        <v>137</v>
      </c>
      <c r="E64" s="167">
        <v>9.5</v>
      </c>
      <c r="F64" s="6"/>
      <c r="G64" s="167" t="s">
        <v>142</v>
      </c>
      <c r="H64" s="13" t="s">
        <v>480</v>
      </c>
      <c r="K64" s="13" t="s">
        <v>18</v>
      </c>
      <c r="L64" s="4" t="s">
        <v>21</v>
      </c>
    </row>
    <row r="65" spans="1:12" ht="30" x14ac:dyDescent="0.25">
      <c r="A65" s="37">
        <v>-590</v>
      </c>
      <c r="B65" s="25">
        <v>12</v>
      </c>
      <c r="C65" s="4" t="s">
        <v>227</v>
      </c>
      <c r="D65" s="166" t="s">
        <v>137</v>
      </c>
      <c r="E65" s="167">
        <v>12</v>
      </c>
      <c r="F65" s="6" t="s">
        <v>386</v>
      </c>
      <c r="G65" s="167" t="s">
        <v>142</v>
      </c>
      <c r="H65" s="13" t="s">
        <v>235</v>
      </c>
      <c r="I65" s="171" t="s">
        <v>452</v>
      </c>
      <c r="K65" s="13" t="s">
        <v>16</v>
      </c>
      <c r="L65" s="4"/>
    </row>
    <row r="66" spans="1:12" x14ac:dyDescent="0.25">
      <c r="A66" s="37">
        <v>-588</v>
      </c>
      <c r="B66" s="25">
        <v>10</v>
      </c>
      <c r="C66" s="4" t="s">
        <v>227</v>
      </c>
      <c r="D66" s="166" t="s">
        <v>137</v>
      </c>
      <c r="E66" s="167">
        <v>10</v>
      </c>
      <c r="F66" s="6"/>
      <c r="G66" s="167" t="s">
        <v>142</v>
      </c>
      <c r="H66" s="13" t="s">
        <v>480</v>
      </c>
      <c r="K66" s="13" t="s">
        <v>18</v>
      </c>
      <c r="L66" s="4" t="s">
        <v>22</v>
      </c>
    </row>
    <row r="67" spans="1:12" ht="30" x14ac:dyDescent="0.25">
      <c r="A67" s="37">
        <v>-580</v>
      </c>
      <c r="B67" s="25">
        <v>14</v>
      </c>
      <c r="C67" s="4" t="s">
        <v>227</v>
      </c>
      <c r="D67" s="166" t="s">
        <v>137</v>
      </c>
      <c r="E67" s="172" t="s">
        <v>293</v>
      </c>
      <c r="F67" s="6" t="s">
        <v>386</v>
      </c>
      <c r="G67" s="167" t="s">
        <v>142</v>
      </c>
      <c r="H67" s="13" t="s">
        <v>630</v>
      </c>
      <c r="I67" s="13" t="s">
        <v>229</v>
      </c>
      <c r="L67" s="4" t="s">
        <v>330</v>
      </c>
    </row>
    <row r="68" spans="1:12" ht="30" x14ac:dyDescent="0.25">
      <c r="A68" s="37">
        <v>-580</v>
      </c>
      <c r="B68" s="25">
        <v>9</v>
      </c>
      <c r="C68" s="4" t="s">
        <v>227</v>
      </c>
      <c r="D68" s="166" t="s">
        <v>137</v>
      </c>
      <c r="E68" s="172" t="s">
        <v>293</v>
      </c>
      <c r="F68" s="6"/>
      <c r="G68" s="167" t="s">
        <v>142</v>
      </c>
      <c r="H68" s="13" t="s">
        <v>631</v>
      </c>
      <c r="I68" s="13" t="s">
        <v>234</v>
      </c>
      <c r="L68" s="4" t="s">
        <v>330</v>
      </c>
    </row>
    <row r="69" spans="1:12" x14ac:dyDescent="0.25">
      <c r="A69" s="37">
        <v>-570</v>
      </c>
      <c r="B69" s="25">
        <v>12</v>
      </c>
      <c r="C69" s="4" t="s">
        <v>227</v>
      </c>
      <c r="D69" s="166" t="s">
        <v>137</v>
      </c>
      <c r="E69" s="172"/>
      <c r="F69" s="6" t="s">
        <v>386</v>
      </c>
      <c r="G69" s="167" t="s">
        <v>142</v>
      </c>
      <c r="H69" s="13" t="s">
        <v>235</v>
      </c>
      <c r="I69" s="13" t="s">
        <v>453</v>
      </c>
      <c r="L69" s="4"/>
    </row>
    <row r="70" spans="1:12" x14ac:dyDescent="0.25">
      <c r="A70" s="37">
        <v>-570</v>
      </c>
      <c r="B70" s="25">
        <v>5</v>
      </c>
      <c r="C70" s="4" t="s">
        <v>227</v>
      </c>
      <c r="D70" s="166" t="s">
        <v>137</v>
      </c>
      <c r="E70" s="172"/>
      <c r="F70" s="6"/>
      <c r="G70" s="167" t="s">
        <v>142</v>
      </c>
      <c r="H70" s="13" t="s">
        <v>235</v>
      </c>
      <c r="I70" s="13" t="s">
        <v>454</v>
      </c>
      <c r="L70" s="4"/>
    </row>
    <row r="71" spans="1:12" x14ac:dyDescent="0.25">
      <c r="A71" s="37">
        <v>-551</v>
      </c>
      <c r="B71" s="25">
        <v>12</v>
      </c>
      <c r="C71" s="4" t="s">
        <v>227</v>
      </c>
      <c r="D71" s="166" t="s">
        <v>137</v>
      </c>
      <c r="E71" s="167">
        <v>12</v>
      </c>
      <c r="F71" s="6"/>
      <c r="G71" s="167" t="s">
        <v>142</v>
      </c>
      <c r="H71" s="13" t="s">
        <v>480</v>
      </c>
      <c r="K71" s="13" t="s">
        <v>18</v>
      </c>
      <c r="L71" s="4" t="s">
        <v>23</v>
      </c>
    </row>
    <row r="72" spans="1:12" x14ac:dyDescent="0.25">
      <c r="A72" s="37">
        <v>-550</v>
      </c>
      <c r="B72" s="25">
        <v>12</v>
      </c>
      <c r="C72" s="4" t="s">
        <v>227</v>
      </c>
      <c r="D72" s="166" t="s">
        <v>137</v>
      </c>
      <c r="E72" s="172"/>
      <c r="F72" s="6" t="s">
        <v>231</v>
      </c>
      <c r="G72" s="167" t="s">
        <v>142</v>
      </c>
      <c r="H72" s="13" t="s">
        <v>232</v>
      </c>
      <c r="I72" s="13" t="s">
        <v>242</v>
      </c>
      <c r="K72" s="13" t="s">
        <v>35</v>
      </c>
      <c r="L72" s="4"/>
    </row>
    <row r="73" spans="1:12" ht="30" x14ac:dyDescent="0.25">
      <c r="A73" s="37">
        <v>-550</v>
      </c>
      <c r="B73" s="25">
        <v>8</v>
      </c>
      <c r="C73" s="4" t="s">
        <v>227</v>
      </c>
      <c r="D73" s="166" t="s">
        <v>137</v>
      </c>
      <c r="E73" s="167">
        <f>ROUND((6*500+52*8.3)/(52*8.3),2)</f>
        <v>7.95</v>
      </c>
      <c r="F73" s="6"/>
      <c r="G73" s="167" t="s">
        <v>142</v>
      </c>
      <c r="H73" s="13" t="s">
        <v>652</v>
      </c>
      <c r="I73" s="13" t="s">
        <v>120</v>
      </c>
      <c r="K73" s="13" t="s">
        <v>18</v>
      </c>
      <c r="L73" s="4" t="s">
        <v>121</v>
      </c>
    </row>
    <row r="74" spans="1:12" x14ac:dyDescent="0.25">
      <c r="A74" s="37">
        <v>-550</v>
      </c>
      <c r="B74" s="15">
        <v>10</v>
      </c>
      <c r="C74" s="12" t="s">
        <v>390</v>
      </c>
      <c r="D74" s="12" t="s">
        <v>390</v>
      </c>
      <c r="E74" s="167">
        <v>10</v>
      </c>
      <c r="F74" s="14"/>
      <c r="G74" s="15" t="s">
        <v>278</v>
      </c>
      <c r="H74" s="13" t="s">
        <v>489</v>
      </c>
      <c r="I74" s="13" t="s">
        <v>389</v>
      </c>
      <c r="J74" s="41" t="s">
        <v>696</v>
      </c>
      <c r="K74" s="13" t="s">
        <v>35</v>
      </c>
      <c r="L74" s="4" t="s">
        <v>331</v>
      </c>
    </row>
    <row r="75" spans="1:12" x14ac:dyDescent="0.25">
      <c r="A75" s="37">
        <v>-547</v>
      </c>
      <c r="B75" s="25">
        <v>13</v>
      </c>
      <c r="C75" s="4" t="s">
        <v>227</v>
      </c>
      <c r="D75" s="166" t="s">
        <v>137</v>
      </c>
      <c r="E75" s="178" t="s">
        <v>291</v>
      </c>
      <c r="F75" s="6" t="s">
        <v>231</v>
      </c>
      <c r="G75" s="167" t="s">
        <v>142</v>
      </c>
      <c r="H75" s="13" t="s">
        <v>235</v>
      </c>
      <c r="I75" s="13" t="s">
        <v>239</v>
      </c>
      <c r="K75" s="13" t="s">
        <v>16</v>
      </c>
      <c r="L75" s="4"/>
    </row>
    <row r="76" spans="1:12" ht="30" x14ac:dyDescent="0.25">
      <c r="A76" s="37">
        <v>-547</v>
      </c>
      <c r="B76" s="25">
        <v>10</v>
      </c>
      <c r="C76" s="4" t="s">
        <v>227</v>
      </c>
      <c r="D76" s="166" t="s">
        <v>137</v>
      </c>
      <c r="E76" s="167">
        <v>10</v>
      </c>
      <c r="F76" s="6"/>
      <c r="G76" s="167" t="s">
        <v>142</v>
      </c>
      <c r="H76" s="13" t="s">
        <v>480</v>
      </c>
      <c r="I76" s="13" t="s">
        <v>141</v>
      </c>
      <c r="K76" s="13" t="s">
        <v>18</v>
      </c>
      <c r="L76" s="4" t="s">
        <v>24</v>
      </c>
    </row>
    <row r="77" spans="1:12" x14ac:dyDescent="0.25">
      <c r="A77" s="37">
        <v>-540</v>
      </c>
      <c r="B77" s="25">
        <v>13.33</v>
      </c>
      <c r="C77" s="4" t="s">
        <v>227</v>
      </c>
      <c r="D77" s="166" t="s">
        <v>137</v>
      </c>
      <c r="E77" s="167">
        <v>13.33</v>
      </c>
      <c r="F77" s="6"/>
      <c r="G77" s="167" t="s">
        <v>142</v>
      </c>
      <c r="H77" s="13" t="s">
        <v>490</v>
      </c>
      <c r="K77" s="13" t="s">
        <v>36</v>
      </c>
      <c r="L77" s="4" t="s">
        <v>332</v>
      </c>
    </row>
    <row r="78" spans="1:12" ht="45" x14ac:dyDescent="0.25">
      <c r="A78" s="37">
        <v>-540</v>
      </c>
      <c r="B78" s="25">
        <v>13</v>
      </c>
      <c r="C78" s="4" t="s">
        <v>227</v>
      </c>
      <c r="D78" s="166" t="s">
        <v>137</v>
      </c>
      <c r="E78" s="167">
        <v>13</v>
      </c>
      <c r="F78" s="6"/>
      <c r="G78" s="167" t="s">
        <v>142</v>
      </c>
      <c r="H78" s="13" t="s">
        <v>53</v>
      </c>
      <c r="I78" s="13" t="s">
        <v>52</v>
      </c>
      <c r="J78" s="13" t="s">
        <v>60</v>
      </c>
      <c r="K78" s="13" t="s">
        <v>36</v>
      </c>
      <c r="L78" s="4" t="s">
        <v>333</v>
      </c>
    </row>
    <row r="79" spans="1:12" x14ac:dyDescent="0.25">
      <c r="A79" s="37">
        <v>-528</v>
      </c>
      <c r="B79" s="25">
        <v>15</v>
      </c>
      <c r="C79" s="4" t="s">
        <v>227</v>
      </c>
      <c r="D79" s="166" t="s">
        <v>137</v>
      </c>
      <c r="E79" s="167">
        <v>15</v>
      </c>
      <c r="F79" s="6"/>
      <c r="G79" s="167" t="s">
        <v>142</v>
      </c>
      <c r="H79" s="13" t="s">
        <v>480</v>
      </c>
      <c r="K79" s="13" t="s">
        <v>25</v>
      </c>
      <c r="L79" s="4" t="s">
        <v>26</v>
      </c>
    </row>
    <row r="80" spans="1:12" x14ac:dyDescent="0.25">
      <c r="A80" s="37">
        <v>-500</v>
      </c>
      <c r="B80" s="25">
        <v>12</v>
      </c>
      <c r="C80" s="4" t="s">
        <v>37</v>
      </c>
      <c r="E80" s="167">
        <v>12</v>
      </c>
      <c r="G80" s="167" t="s">
        <v>142</v>
      </c>
      <c r="H80" s="13" t="s">
        <v>490</v>
      </c>
      <c r="K80" s="13" t="s">
        <v>37</v>
      </c>
      <c r="L80" s="4" t="s">
        <v>334</v>
      </c>
    </row>
    <row r="81" spans="1:12" x14ac:dyDescent="0.25">
      <c r="A81" s="37">
        <v>-500</v>
      </c>
      <c r="B81" s="25">
        <v>13</v>
      </c>
      <c r="C81" s="4" t="s">
        <v>227</v>
      </c>
      <c r="D81" s="166" t="s">
        <v>137</v>
      </c>
      <c r="E81" s="10">
        <v>13</v>
      </c>
      <c r="F81" s="6"/>
      <c r="G81" s="167" t="s">
        <v>142</v>
      </c>
      <c r="H81" s="13" t="s">
        <v>502</v>
      </c>
      <c r="I81" s="13" t="s">
        <v>76</v>
      </c>
      <c r="J81" s="13" t="s">
        <v>77</v>
      </c>
      <c r="K81" s="13" t="s">
        <v>16</v>
      </c>
      <c r="L81" s="4" t="s">
        <v>697</v>
      </c>
    </row>
    <row r="82" spans="1:12" ht="30" x14ac:dyDescent="0.25">
      <c r="A82" s="37">
        <v>-478</v>
      </c>
      <c r="B82" s="25">
        <v>15.66</v>
      </c>
      <c r="C82" s="4" t="s">
        <v>37</v>
      </c>
      <c r="G82" s="167" t="s">
        <v>142</v>
      </c>
      <c r="H82" s="13" t="s">
        <v>653</v>
      </c>
      <c r="J82" s="13" t="s">
        <v>218</v>
      </c>
      <c r="K82" s="13" t="s">
        <v>44</v>
      </c>
      <c r="L82" s="4"/>
    </row>
    <row r="83" spans="1:12" x14ac:dyDescent="0.25">
      <c r="A83" s="37">
        <v>-478</v>
      </c>
      <c r="B83" s="25">
        <v>13.33</v>
      </c>
      <c r="C83" s="4" t="s">
        <v>227</v>
      </c>
      <c r="D83" s="166" t="s">
        <v>137</v>
      </c>
      <c r="E83" s="167">
        <v>13.33</v>
      </c>
      <c r="F83" s="6"/>
      <c r="G83" s="167" t="s">
        <v>142</v>
      </c>
      <c r="H83" s="13" t="s">
        <v>654</v>
      </c>
      <c r="J83" s="13" t="s">
        <v>219</v>
      </c>
      <c r="K83" s="13" t="s">
        <v>36</v>
      </c>
      <c r="L83" s="4" t="s">
        <v>332</v>
      </c>
    </row>
    <row r="84" spans="1:12" ht="30" x14ac:dyDescent="0.25">
      <c r="A84" s="37">
        <v>-440</v>
      </c>
      <c r="B84" s="25">
        <v>14</v>
      </c>
      <c r="C84" s="4" t="s">
        <v>37</v>
      </c>
      <c r="E84" s="167">
        <v>14</v>
      </c>
      <c r="G84" s="167" t="s">
        <v>142</v>
      </c>
      <c r="H84" s="13" t="s">
        <v>475</v>
      </c>
      <c r="I84" s="13" t="s">
        <v>455</v>
      </c>
      <c r="J84" s="13" t="s">
        <v>78</v>
      </c>
      <c r="K84" s="13" t="s">
        <v>44</v>
      </c>
      <c r="L84" s="4" t="s">
        <v>92</v>
      </c>
    </row>
    <row r="85" spans="1:12" x14ac:dyDescent="0.25">
      <c r="A85" s="37">
        <v>-434</v>
      </c>
      <c r="B85" s="25">
        <v>14</v>
      </c>
      <c r="C85" s="4" t="s">
        <v>37</v>
      </c>
      <c r="E85" s="167">
        <v>14</v>
      </c>
      <c r="G85" s="167" t="s">
        <v>142</v>
      </c>
      <c r="H85" s="13" t="s">
        <v>475</v>
      </c>
      <c r="J85" s="13" t="s">
        <v>79</v>
      </c>
      <c r="K85" s="13" t="s">
        <v>44</v>
      </c>
      <c r="L85" s="4" t="s">
        <v>93</v>
      </c>
    </row>
    <row r="86" spans="1:12" x14ac:dyDescent="0.25">
      <c r="A86" s="37">
        <v>-420</v>
      </c>
      <c r="B86" s="25">
        <v>14.15</v>
      </c>
      <c r="C86" s="4" t="s">
        <v>37</v>
      </c>
      <c r="E86" s="167">
        <v>14.15</v>
      </c>
      <c r="G86" s="167" t="s">
        <v>142</v>
      </c>
      <c r="H86" s="13" t="s">
        <v>491</v>
      </c>
      <c r="I86" s="13" t="s">
        <v>81</v>
      </c>
      <c r="K86" s="13" t="s">
        <v>44</v>
      </c>
      <c r="L86" s="4" t="s">
        <v>96</v>
      </c>
    </row>
    <row r="87" spans="1:12" x14ac:dyDescent="0.25">
      <c r="A87" s="37">
        <v>-414</v>
      </c>
      <c r="B87" s="25">
        <v>13.12</v>
      </c>
      <c r="C87" s="4" t="s">
        <v>37</v>
      </c>
      <c r="E87" s="167">
        <v>13.12</v>
      </c>
      <c r="G87" s="167" t="s">
        <v>142</v>
      </c>
      <c r="H87" s="13" t="s">
        <v>491</v>
      </c>
      <c r="I87" s="13" t="s">
        <v>82</v>
      </c>
      <c r="K87" s="13" t="s">
        <v>44</v>
      </c>
      <c r="L87" s="4" t="s">
        <v>97</v>
      </c>
    </row>
    <row r="88" spans="1:12" ht="30" x14ac:dyDescent="0.25">
      <c r="A88" s="37">
        <v>-408</v>
      </c>
      <c r="B88" s="25">
        <v>11</v>
      </c>
      <c r="C88" s="4" t="s">
        <v>37</v>
      </c>
      <c r="E88" s="167">
        <v>11</v>
      </c>
      <c r="G88" s="167" t="s">
        <v>142</v>
      </c>
      <c r="H88" s="13" t="s">
        <v>476</v>
      </c>
      <c r="J88" s="13" t="s">
        <v>513</v>
      </c>
      <c r="K88" s="13" t="s">
        <v>44</v>
      </c>
      <c r="L88" s="4" t="s">
        <v>94</v>
      </c>
    </row>
    <row r="89" spans="1:12" ht="30" x14ac:dyDescent="0.25">
      <c r="A89" s="37">
        <v>-405</v>
      </c>
      <c r="B89" s="25">
        <v>12</v>
      </c>
      <c r="C89" s="4" t="s">
        <v>37</v>
      </c>
      <c r="E89" s="167">
        <v>12</v>
      </c>
      <c r="G89" s="167" t="s">
        <v>142</v>
      </c>
      <c r="H89" s="13" t="s">
        <v>476</v>
      </c>
      <c r="I89" s="13" t="s">
        <v>80</v>
      </c>
      <c r="K89" s="13" t="s">
        <v>44</v>
      </c>
      <c r="L89" s="4" t="s">
        <v>95</v>
      </c>
    </row>
    <row r="90" spans="1:12" x14ac:dyDescent="0.25">
      <c r="A90" s="37">
        <v>-405</v>
      </c>
      <c r="B90" s="25">
        <v>15</v>
      </c>
      <c r="C90" s="4" t="s">
        <v>37</v>
      </c>
      <c r="G90" s="167" t="s">
        <v>142</v>
      </c>
      <c r="H90" s="13" t="s">
        <v>653</v>
      </c>
      <c r="K90" s="13" t="s">
        <v>44</v>
      </c>
      <c r="L90" s="4" t="s">
        <v>335</v>
      </c>
    </row>
    <row r="91" spans="1:12" x14ac:dyDescent="0.25">
      <c r="A91" s="37">
        <v>-402</v>
      </c>
      <c r="B91" s="25">
        <v>11.76</v>
      </c>
      <c r="C91" s="4" t="s">
        <v>37</v>
      </c>
      <c r="E91" s="167">
        <v>11.76</v>
      </c>
      <c r="G91" s="167" t="s">
        <v>142</v>
      </c>
      <c r="H91" s="13" t="s">
        <v>491</v>
      </c>
      <c r="I91" s="13" t="s">
        <v>82</v>
      </c>
      <c r="K91" s="13" t="s">
        <v>44</v>
      </c>
      <c r="L91" s="4" t="s">
        <v>98</v>
      </c>
    </row>
    <row r="92" spans="1:12" x14ac:dyDescent="0.25">
      <c r="A92" s="37">
        <v>-387</v>
      </c>
      <c r="B92" s="25">
        <v>12.91</v>
      </c>
      <c r="C92" s="4" t="s">
        <v>37</v>
      </c>
      <c r="E92" s="167">
        <v>12.91</v>
      </c>
      <c r="G92" s="167" t="s">
        <v>142</v>
      </c>
      <c r="H92" s="13" t="s">
        <v>491</v>
      </c>
      <c r="I92" s="13" t="s">
        <v>82</v>
      </c>
      <c r="K92" s="13" t="s">
        <v>44</v>
      </c>
      <c r="L92" s="4" t="s">
        <v>99</v>
      </c>
    </row>
    <row r="93" spans="1:12" x14ac:dyDescent="0.25">
      <c r="A93" s="37">
        <v>-369</v>
      </c>
      <c r="B93" s="25">
        <v>13.82</v>
      </c>
      <c r="C93" s="4" t="s">
        <v>37</v>
      </c>
      <c r="E93" s="167">
        <v>13.82</v>
      </c>
      <c r="G93" s="167" t="s">
        <v>142</v>
      </c>
      <c r="H93" s="13" t="s">
        <v>491</v>
      </c>
      <c r="I93" s="13" t="s">
        <v>82</v>
      </c>
      <c r="K93" s="13" t="s">
        <v>44</v>
      </c>
      <c r="L93" s="4" t="s">
        <v>100</v>
      </c>
    </row>
    <row r="94" spans="1:12" x14ac:dyDescent="0.25">
      <c r="A94" s="37">
        <v>-361</v>
      </c>
      <c r="B94" s="25">
        <v>12</v>
      </c>
      <c r="C94" s="4" t="s">
        <v>37</v>
      </c>
      <c r="E94" s="167">
        <v>12</v>
      </c>
      <c r="G94" s="167" t="s">
        <v>142</v>
      </c>
      <c r="H94" s="13" t="s">
        <v>491</v>
      </c>
      <c r="I94" s="13" t="s">
        <v>82</v>
      </c>
      <c r="K94" s="13" t="s">
        <v>44</v>
      </c>
      <c r="L94" s="4" t="s">
        <v>101</v>
      </c>
    </row>
    <row r="95" spans="1:12" x14ac:dyDescent="0.25">
      <c r="A95" s="37">
        <v>-355</v>
      </c>
      <c r="B95" s="25">
        <v>12.15</v>
      </c>
      <c r="C95" s="4" t="s">
        <v>37</v>
      </c>
      <c r="E95" s="167">
        <v>12.15</v>
      </c>
      <c r="G95" s="167" t="s">
        <v>142</v>
      </c>
      <c r="H95" s="13" t="s">
        <v>491</v>
      </c>
      <c r="I95" s="13" t="s">
        <v>82</v>
      </c>
      <c r="K95" s="13" t="s">
        <v>44</v>
      </c>
      <c r="L95" s="4" t="s">
        <v>102</v>
      </c>
    </row>
    <row r="96" spans="1:12" ht="30" x14ac:dyDescent="0.25">
      <c r="A96" s="37">
        <v>-340</v>
      </c>
      <c r="B96" s="25">
        <v>10</v>
      </c>
      <c r="C96" s="4" t="s">
        <v>37</v>
      </c>
      <c r="E96" s="167">
        <v>10</v>
      </c>
      <c r="G96" s="167" t="s">
        <v>142</v>
      </c>
      <c r="H96" s="13" t="s">
        <v>492</v>
      </c>
      <c r="K96" s="13" t="s">
        <v>38</v>
      </c>
      <c r="L96" s="4" t="s">
        <v>39</v>
      </c>
    </row>
    <row r="97" spans="1:12" ht="30" x14ac:dyDescent="0.25">
      <c r="A97" s="37">
        <v>-330</v>
      </c>
      <c r="B97" s="25">
        <v>10</v>
      </c>
      <c r="C97" s="4" t="s">
        <v>37</v>
      </c>
      <c r="E97" s="167">
        <v>10</v>
      </c>
      <c r="G97" s="167" t="s">
        <v>142</v>
      </c>
      <c r="H97" s="13" t="s">
        <v>503</v>
      </c>
      <c r="K97" s="13" t="s">
        <v>118</v>
      </c>
      <c r="L97" s="4" t="s">
        <v>336</v>
      </c>
    </row>
    <row r="98" spans="1:12" x14ac:dyDescent="0.25">
      <c r="A98" s="37">
        <v>-329</v>
      </c>
      <c r="B98" s="25">
        <v>9.5</v>
      </c>
      <c r="C98" s="4" t="s">
        <v>37</v>
      </c>
      <c r="E98" s="167">
        <v>9.5</v>
      </c>
      <c r="G98" s="167" t="s">
        <v>142</v>
      </c>
      <c r="H98" s="13" t="s">
        <v>504</v>
      </c>
      <c r="K98" s="13" t="s">
        <v>44</v>
      </c>
      <c r="L98" s="4" t="s">
        <v>83</v>
      </c>
    </row>
    <row r="99" spans="1:12" x14ac:dyDescent="0.25">
      <c r="A99" s="37">
        <v>-315</v>
      </c>
      <c r="B99" s="25">
        <v>10</v>
      </c>
      <c r="C99" s="4" t="s">
        <v>32</v>
      </c>
      <c r="E99" s="167">
        <v>10</v>
      </c>
      <c r="G99" s="167" t="s">
        <v>142</v>
      </c>
      <c r="H99" s="13" t="s">
        <v>49</v>
      </c>
      <c r="I99" s="171" t="s">
        <v>51</v>
      </c>
      <c r="K99" s="13" t="s">
        <v>32</v>
      </c>
      <c r="L99" s="4" t="s">
        <v>50</v>
      </c>
    </row>
    <row r="100" spans="1:12" x14ac:dyDescent="0.25">
      <c r="A100" s="37">
        <v>-310</v>
      </c>
      <c r="B100" s="25">
        <v>12</v>
      </c>
      <c r="C100" s="4" t="s">
        <v>125</v>
      </c>
      <c r="E100" s="167">
        <v>12</v>
      </c>
      <c r="G100" s="167" t="s">
        <v>142</v>
      </c>
      <c r="H100" s="13" t="s">
        <v>493</v>
      </c>
      <c r="I100" s="171" t="s">
        <v>85</v>
      </c>
      <c r="K100" s="13" t="s">
        <v>86</v>
      </c>
      <c r="L100" s="4"/>
    </row>
    <row r="101" spans="1:12" x14ac:dyDescent="0.25">
      <c r="A101" s="37">
        <v>-305</v>
      </c>
      <c r="B101" s="25">
        <v>10</v>
      </c>
      <c r="C101" s="4" t="s">
        <v>37</v>
      </c>
      <c r="E101" s="167">
        <v>10</v>
      </c>
      <c r="G101" s="167" t="s">
        <v>142</v>
      </c>
      <c r="H101" s="13" t="s">
        <v>504</v>
      </c>
      <c r="I101" s="171"/>
      <c r="K101" s="13" t="s">
        <v>44</v>
      </c>
      <c r="L101" s="4" t="s">
        <v>84</v>
      </c>
    </row>
    <row r="102" spans="1:12" x14ac:dyDescent="0.25">
      <c r="A102" s="37">
        <v>-300</v>
      </c>
      <c r="B102" s="25">
        <v>12</v>
      </c>
      <c r="C102" s="4" t="s">
        <v>32</v>
      </c>
      <c r="E102" s="167">
        <v>12</v>
      </c>
      <c r="G102" s="167" t="s">
        <v>142</v>
      </c>
      <c r="H102" s="13" t="s">
        <v>477</v>
      </c>
      <c r="I102" s="171" t="s">
        <v>456</v>
      </c>
      <c r="K102" s="13" t="s">
        <v>32</v>
      </c>
      <c r="L102" s="4" t="s">
        <v>143</v>
      </c>
    </row>
    <row r="103" spans="1:12" x14ac:dyDescent="0.25">
      <c r="A103" s="37">
        <v>-263</v>
      </c>
      <c r="B103" s="25">
        <v>13.7</v>
      </c>
      <c r="C103" s="4" t="s">
        <v>40</v>
      </c>
      <c r="G103" s="167" t="s">
        <v>142</v>
      </c>
      <c r="H103" s="13" t="s">
        <v>494</v>
      </c>
      <c r="I103" s="171"/>
      <c r="K103" s="13" t="s">
        <v>40</v>
      </c>
      <c r="L103" s="4"/>
    </row>
    <row r="104" spans="1:12" x14ac:dyDescent="0.25">
      <c r="A104" s="37">
        <v>-260</v>
      </c>
      <c r="B104" s="25">
        <v>13.1</v>
      </c>
      <c r="C104" s="4" t="s">
        <v>32</v>
      </c>
      <c r="G104" s="167" t="s">
        <v>142</v>
      </c>
      <c r="H104" s="13" t="s">
        <v>477</v>
      </c>
      <c r="I104" s="171"/>
      <c r="K104" s="13" t="s">
        <v>32</v>
      </c>
      <c r="L104" s="4" t="s">
        <v>144</v>
      </c>
    </row>
    <row r="105" spans="1:12" x14ac:dyDescent="0.25">
      <c r="A105" s="37">
        <v>-230</v>
      </c>
      <c r="B105" s="25">
        <v>13.5</v>
      </c>
      <c r="C105" s="4" t="s">
        <v>32</v>
      </c>
      <c r="G105" s="167" t="s">
        <v>142</v>
      </c>
      <c r="H105" s="13" t="s">
        <v>477</v>
      </c>
      <c r="I105" s="171"/>
      <c r="K105" s="13" t="s">
        <v>32</v>
      </c>
      <c r="L105" s="4" t="s">
        <v>145</v>
      </c>
    </row>
    <row r="106" spans="1:12" ht="45" x14ac:dyDescent="0.25">
      <c r="A106" s="37">
        <v>-210</v>
      </c>
      <c r="B106" s="25">
        <v>8</v>
      </c>
      <c r="C106" s="179" t="s">
        <v>40</v>
      </c>
      <c r="D106" s="16"/>
      <c r="E106" s="167">
        <v>8.01</v>
      </c>
      <c r="F106" s="17"/>
      <c r="G106" s="167" t="s">
        <v>142</v>
      </c>
      <c r="H106" s="13" t="s">
        <v>505</v>
      </c>
      <c r="I106" s="13" t="s">
        <v>381</v>
      </c>
      <c r="J106" s="13" t="s">
        <v>286</v>
      </c>
      <c r="K106" s="13" t="s">
        <v>40</v>
      </c>
      <c r="L106" s="4" t="s">
        <v>337</v>
      </c>
    </row>
    <row r="107" spans="1:12" ht="45" x14ac:dyDescent="0.25">
      <c r="A107" s="37">
        <v>-205</v>
      </c>
      <c r="B107" s="25">
        <v>11</v>
      </c>
      <c r="C107" s="179" t="s">
        <v>40</v>
      </c>
      <c r="D107" s="16"/>
      <c r="E107" s="167" t="s">
        <v>236</v>
      </c>
      <c r="F107" s="17"/>
      <c r="G107" s="167" t="s">
        <v>142</v>
      </c>
      <c r="H107" s="13" t="s">
        <v>495</v>
      </c>
      <c r="I107" s="13" t="s">
        <v>382</v>
      </c>
      <c r="K107" s="13" t="s">
        <v>40</v>
      </c>
      <c r="L107" s="4" t="s">
        <v>338</v>
      </c>
    </row>
    <row r="108" spans="1:12" ht="45" x14ac:dyDescent="0.25">
      <c r="A108" s="37">
        <v>-84</v>
      </c>
      <c r="B108" s="25">
        <v>11.06</v>
      </c>
      <c r="C108" s="180" t="s">
        <v>40</v>
      </c>
      <c r="D108" s="16"/>
      <c r="E108" s="167">
        <v>11.06</v>
      </c>
      <c r="F108" s="17"/>
      <c r="G108" s="167" t="s">
        <v>142</v>
      </c>
      <c r="H108" s="13" t="s">
        <v>506</v>
      </c>
      <c r="I108" s="13" t="s">
        <v>457</v>
      </c>
      <c r="J108" s="13" t="s">
        <v>214</v>
      </c>
      <c r="K108" s="13" t="s">
        <v>40</v>
      </c>
      <c r="L108" s="4" t="s">
        <v>339</v>
      </c>
    </row>
    <row r="109" spans="1:12" ht="30" x14ac:dyDescent="0.25">
      <c r="A109" s="37">
        <v>-8</v>
      </c>
      <c r="B109" s="25">
        <v>12.09</v>
      </c>
      <c r="C109" s="7" t="s">
        <v>40</v>
      </c>
      <c r="D109" s="166" t="s">
        <v>280</v>
      </c>
      <c r="E109" s="4"/>
      <c r="F109" s="4"/>
      <c r="G109" s="167" t="s">
        <v>142</v>
      </c>
      <c r="H109" s="13" t="s">
        <v>516</v>
      </c>
      <c r="I109" s="40" t="s">
        <v>279</v>
      </c>
      <c r="L109" s="4" t="s">
        <v>340</v>
      </c>
    </row>
    <row r="110" spans="1:12" x14ac:dyDescent="0.25">
      <c r="A110" s="37">
        <v>-8</v>
      </c>
      <c r="B110" s="25">
        <v>12.09</v>
      </c>
      <c r="C110" s="7" t="s">
        <v>237</v>
      </c>
      <c r="D110" s="181" t="s">
        <v>285</v>
      </c>
      <c r="E110" s="4"/>
      <c r="F110" s="4"/>
      <c r="G110" s="182" t="s">
        <v>638</v>
      </c>
      <c r="H110" s="13" t="s">
        <v>515</v>
      </c>
      <c r="I110" s="13" t="s">
        <v>248</v>
      </c>
      <c r="L110" s="4" t="s">
        <v>340</v>
      </c>
    </row>
    <row r="111" spans="1:12" ht="75" x14ac:dyDescent="0.25">
      <c r="A111" s="37">
        <v>-4</v>
      </c>
      <c r="B111" s="25">
        <v>11.55</v>
      </c>
      <c r="C111" s="7" t="s">
        <v>32</v>
      </c>
      <c r="D111" s="179"/>
      <c r="E111" s="4">
        <f>ROUND(1/4*870*4.34/(10*327/40),2)</f>
        <v>11.55</v>
      </c>
      <c r="F111" s="17"/>
      <c r="G111" s="167" t="s">
        <v>142</v>
      </c>
      <c r="H111" s="13" t="s">
        <v>572</v>
      </c>
      <c r="I111" s="13" t="s">
        <v>573</v>
      </c>
      <c r="J111" s="13" t="s">
        <v>287</v>
      </c>
      <c r="K111" s="13" t="s">
        <v>40</v>
      </c>
      <c r="L111" s="4" t="s">
        <v>341</v>
      </c>
    </row>
    <row r="112" spans="1:12" x14ac:dyDescent="0.25">
      <c r="A112" s="37">
        <v>32</v>
      </c>
      <c r="B112" s="25">
        <v>12.05</v>
      </c>
      <c r="C112" s="7" t="s">
        <v>40</v>
      </c>
      <c r="D112" s="166" t="s">
        <v>280</v>
      </c>
      <c r="E112" s="4"/>
      <c r="F112" s="4"/>
      <c r="G112" s="167" t="s">
        <v>142</v>
      </c>
      <c r="H112" s="13" t="s">
        <v>516</v>
      </c>
      <c r="I112" s="13" t="s">
        <v>249</v>
      </c>
      <c r="J112" s="13" t="s">
        <v>644</v>
      </c>
      <c r="L112" s="4" t="s">
        <v>342</v>
      </c>
    </row>
    <row r="113" spans="1:12" x14ac:dyDescent="0.25">
      <c r="A113" s="37">
        <v>32</v>
      </c>
      <c r="B113" s="25">
        <v>12.05</v>
      </c>
      <c r="C113" s="7" t="s">
        <v>237</v>
      </c>
      <c r="D113" s="181" t="s">
        <v>285</v>
      </c>
      <c r="E113" s="4"/>
      <c r="F113" s="4"/>
      <c r="G113" s="182" t="s">
        <v>638</v>
      </c>
      <c r="H113" s="13" t="s">
        <v>515</v>
      </c>
      <c r="I113" s="13" t="s">
        <v>249</v>
      </c>
      <c r="J113" s="13" t="s">
        <v>644</v>
      </c>
      <c r="L113" s="4" t="s">
        <v>342</v>
      </c>
    </row>
    <row r="114" spans="1:12" x14ac:dyDescent="0.25">
      <c r="A114" s="37">
        <v>58</v>
      </c>
      <c r="B114" s="25">
        <v>11.91</v>
      </c>
      <c r="C114" s="7" t="s">
        <v>40</v>
      </c>
      <c r="D114" s="166" t="s">
        <v>280</v>
      </c>
      <c r="E114" s="4"/>
      <c r="F114" s="4"/>
      <c r="G114" s="167" t="s">
        <v>142</v>
      </c>
      <c r="H114" s="13" t="s">
        <v>516</v>
      </c>
      <c r="I114" s="13" t="s">
        <v>250</v>
      </c>
      <c r="J114" s="13" t="s">
        <v>644</v>
      </c>
      <c r="L114" s="4" t="s">
        <v>343</v>
      </c>
    </row>
    <row r="115" spans="1:12" x14ac:dyDescent="0.25">
      <c r="A115" s="37">
        <v>58</v>
      </c>
      <c r="B115" s="25">
        <v>11.91</v>
      </c>
      <c r="C115" s="7" t="s">
        <v>237</v>
      </c>
      <c r="D115" s="181" t="s">
        <v>285</v>
      </c>
      <c r="E115" s="4"/>
      <c r="F115" s="4"/>
      <c r="G115" s="182" t="s">
        <v>638</v>
      </c>
      <c r="H115" s="13" t="s">
        <v>515</v>
      </c>
      <c r="I115" s="13" t="s">
        <v>250</v>
      </c>
      <c r="J115" s="13" t="s">
        <v>644</v>
      </c>
      <c r="L115" s="4" t="s">
        <v>343</v>
      </c>
    </row>
    <row r="116" spans="1:12" x14ac:dyDescent="0.25">
      <c r="A116" s="37">
        <v>66</v>
      </c>
      <c r="B116" s="25">
        <v>11.73</v>
      </c>
      <c r="C116" s="7" t="s">
        <v>40</v>
      </c>
      <c r="D116" s="166" t="s">
        <v>280</v>
      </c>
      <c r="E116" s="4"/>
      <c r="F116" s="4"/>
      <c r="G116" s="167" t="s">
        <v>142</v>
      </c>
      <c r="H116" s="13" t="s">
        <v>516</v>
      </c>
      <c r="I116" s="13" t="s">
        <v>251</v>
      </c>
      <c r="J116" s="13" t="s">
        <v>644</v>
      </c>
      <c r="L116" s="4" t="s">
        <v>313</v>
      </c>
    </row>
    <row r="117" spans="1:12" x14ac:dyDescent="0.25">
      <c r="A117" s="37">
        <v>66</v>
      </c>
      <c r="B117" s="25">
        <v>9.39</v>
      </c>
      <c r="C117" s="7" t="s">
        <v>237</v>
      </c>
      <c r="D117" s="181" t="s">
        <v>285</v>
      </c>
      <c r="E117" s="4"/>
      <c r="F117" s="4"/>
      <c r="G117" s="182" t="s">
        <v>638</v>
      </c>
      <c r="H117" s="13" t="s">
        <v>515</v>
      </c>
      <c r="I117" s="13" t="s">
        <v>251</v>
      </c>
      <c r="J117" s="13" t="s">
        <v>644</v>
      </c>
      <c r="L117" s="4" t="s">
        <v>313</v>
      </c>
    </row>
    <row r="118" spans="1:12" x14ac:dyDescent="0.25">
      <c r="A118" s="37">
        <v>68</v>
      </c>
      <c r="B118" s="25">
        <v>11.73</v>
      </c>
      <c r="C118" s="7" t="s">
        <v>40</v>
      </c>
      <c r="D118" s="166" t="s">
        <v>280</v>
      </c>
      <c r="E118" s="4"/>
      <c r="F118" s="4"/>
      <c r="G118" s="167" t="s">
        <v>142</v>
      </c>
      <c r="H118" s="13" t="s">
        <v>516</v>
      </c>
      <c r="I118" s="13" t="s">
        <v>252</v>
      </c>
      <c r="J118" s="13" t="s">
        <v>644</v>
      </c>
      <c r="L118" s="4" t="s">
        <v>314</v>
      </c>
    </row>
    <row r="119" spans="1:12" x14ac:dyDescent="0.25">
      <c r="A119" s="37">
        <v>68</v>
      </c>
      <c r="B119" s="25">
        <v>10.58</v>
      </c>
      <c r="C119" s="7" t="s">
        <v>237</v>
      </c>
      <c r="D119" s="181" t="s">
        <v>285</v>
      </c>
      <c r="E119" s="4"/>
      <c r="F119" s="4"/>
      <c r="G119" s="182" t="s">
        <v>638</v>
      </c>
      <c r="H119" s="13" t="s">
        <v>515</v>
      </c>
      <c r="I119" s="13" t="s">
        <v>252</v>
      </c>
      <c r="J119" s="13" t="s">
        <v>644</v>
      </c>
      <c r="L119" s="4" t="s">
        <v>314</v>
      </c>
    </row>
    <row r="120" spans="1:12" x14ac:dyDescent="0.25">
      <c r="A120" s="37">
        <v>69</v>
      </c>
      <c r="B120" s="25">
        <v>11.73</v>
      </c>
      <c r="C120" s="7" t="s">
        <v>40</v>
      </c>
      <c r="D120" s="166" t="s">
        <v>280</v>
      </c>
      <c r="E120" s="4"/>
      <c r="F120" s="4"/>
      <c r="G120" s="167" t="s">
        <v>142</v>
      </c>
      <c r="H120" s="13" t="s">
        <v>516</v>
      </c>
      <c r="I120" s="13" t="s">
        <v>253</v>
      </c>
      <c r="J120" s="13" t="s">
        <v>644</v>
      </c>
      <c r="L120" s="4" t="s">
        <v>315</v>
      </c>
    </row>
    <row r="121" spans="1:12" x14ac:dyDescent="0.25">
      <c r="A121" s="37">
        <v>69</v>
      </c>
      <c r="B121" s="25">
        <v>11.73</v>
      </c>
      <c r="C121" s="7" t="s">
        <v>40</v>
      </c>
      <c r="D121" s="166" t="s">
        <v>280</v>
      </c>
      <c r="E121" s="4"/>
      <c r="F121" s="4"/>
      <c r="G121" s="167" t="s">
        <v>142</v>
      </c>
      <c r="H121" s="13" t="s">
        <v>516</v>
      </c>
      <c r="I121" s="13" t="s">
        <v>254</v>
      </c>
      <c r="J121" s="13" t="s">
        <v>644</v>
      </c>
      <c r="L121" s="4" t="s">
        <v>316</v>
      </c>
    </row>
    <row r="122" spans="1:12" x14ac:dyDescent="0.25">
      <c r="A122" s="37">
        <v>69</v>
      </c>
      <c r="B122" s="25">
        <v>11.56</v>
      </c>
      <c r="C122" s="7" t="s">
        <v>40</v>
      </c>
      <c r="D122" s="166" t="s">
        <v>280</v>
      </c>
      <c r="E122" s="4"/>
      <c r="F122" s="4"/>
      <c r="G122" s="167" t="s">
        <v>142</v>
      </c>
      <c r="H122" s="13" t="s">
        <v>516</v>
      </c>
      <c r="I122" s="13" t="s">
        <v>255</v>
      </c>
      <c r="J122" s="13" t="s">
        <v>644</v>
      </c>
      <c r="L122" s="4" t="s">
        <v>316</v>
      </c>
    </row>
    <row r="123" spans="1:12" x14ac:dyDescent="0.25">
      <c r="A123" s="37">
        <v>69</v>
      </c>
      <c r="B123" s="25">
        <v>11.77</v>
      </c>
      <c r="C123" s="7" t="s">
        <v>40</v>
      </c>
      <c r="D123" s="166" t="s">
        <v>280</v>
      </c>
      <c r="E123" s="4"/>
      <c r="F123" s="4"/>
      <c r="G123" s="167" t="s">
        <v>142</v>
      </c>
      <c r="H123" s="13" t="s">
        <v>516</v>
      </c>
      <c r="I123" s="13" t="s">
        <v>256</v>
      </c>
      <c r="J123" s="13" t="s">
        <v>644</v>
      </c>
      <c r="L123" s="4" t="s">
        <v>316</v>
      </c>
    </row>
    <row r="124" spans="1:12" x14ac:dyDescent="0.25">
      <c r="A124" s="37">
        <v>69</v>
      </c>
      <c r="B124" s="25">
        <v>10.58</v>
      </c>
      <c r="C124" s="7" t="s">
        <v>237</v>
      </c>
      <c r="D124" s="181" t="s">
        <v>285</v>
      </c>
      <c r="E124" s="4"/>
      <c r="F124" s="4"/>
      <c r="G124" s="182" t="s">
        <v>638</v>
      </c>
      <c r="H124" s="13" t="s">
        <v>515</v>
      </c>
      <c r="I124" s="13" t="s">
        <v>253</v>
      </c>
      <c r="J124" s="13" t="s">
        <v>644</v>
      </c>
      <c r="L124" s="4" t="s">
        <v>315</v>
      </c>
    </row>
    <row r="125" spans="1:12" x14ac:dyDescent="0.25">
      <c r="A125" s="37">
        <v>69</v>
      </c>
      <c r="B125" s="25">
        <v>10.58</v>
      </c>
      <c r="C125" s="7" t="s">
        <v>237</v>
      </c>
      <c r="D125" s="181" t="s">
        <v>285</v>
      </c>
      <c r="E125" s="4"/>
      <c r="F125" s="4"/>
      <c r="G125" s="182" t="s">
        <v>638</v>
      </c>
      <c r="H125" s="13" t="s">
        <v>515</v>
      </c>
      <c r="I125" s="13" t="s">
        <v>254</v>
      </c>
      <c r="J125" s="13" t="s">
        <v>644</v>
      </c>
      <c r="L125" s="4" t="s">
        <v>316</v>
      </c>
    </row>
    <row r="126" spans="1:12" x14ac:dyDescent="0.25">
      <c r="A126" s="37">
        <v>69</v>
      </c>
      <c r="B126" s="25">
        <v>9.1199999999999992</v>
      </c>
      <c r="C126" s="7" t="s">
        <v>237</v>
      </c>
      <c r="D126" s="181" t="s">
        <v>285</v>
      </c>
      <c r="E126" s="4"/>
      <c r="F126" s="4"/>
      <c r="G126" s="182" t="s">
        <v>638</v>
      </c>
      <c r="H126" s="13" t="s">
        <v>515</v>
      </c>
      <c r="I126" s="13" t="s">
        <v>255</v>
      </c>
      <c r="J126" s="13" t="s">
        <v>644</v>
      </c>
      <c r="L126" s="4" t="s">
        <v>316</v>
      </c>
    </row>
    <row r="127" spans="1:12" x14ac:dyDescent="0.25">
      <c r="A127" s="37">
        <v>69</v>
      </c>
      <c r="B127" s="25">
        <v>9.41</v>
      </c>
      <c r="C127" s="7" t="s">
        <v>237</v>
      </c>
      <c r="D127" s="181" t="s">
        <v>285</v>
      </c>
      <c r="E127" s="4"/>
      <c r="F127" s="4"/>
      <c r="G127" s="182" t="s">
        <v>638</v>
      </c>
      <c r="H127" s="13" t="s">
        <v>515</v>
      </c>
      <c r="I127" s="13" t="s">
        <v>256</v>
      </c>
      <c r="J127" s="13" t="s">
        <v>644</v>
      </c>
      <c r="L127" s="4" t="s">
        <v>316</v>
      </c>
    </row>
    <row r="128" spans="1:12" x14ac:dyDescent="0.25">
      <c r="A128" s="37">
        <v>75</v>
      </c>
      <c r="B128" s="25">
        <v>11.64</v>
      </c>
      <c r="C128" s="7" t="s">
        <v>40</v>
      </c>
      <c r="D128" s="166" t="s">
        <v>280</v>
      </c>
      <c r="E128" s="4"/>
      <c r="F128" s="4"/>
      <c r="G128" s="167" t="s">
        <v>142</v>
      </c>
      <c r="H128" s="13" t="s">
        <v>516</v>
      </c>
      <c r="I128" s="13" t="s">
        <v>257</v>
      </c>
      <c r="J128" s="13" t="s">
        <v>644</v>
      </c>
      <c r="L128" s="4" t="s">
        <v>344</v>
      </c>
    </row>
    <row r="129" spans="1:12" x14ac:dyDescent="0.25">
      <c r="A129" s="37">
        <v>75</v>
      </c>
      <c r="B129" s="25">
        <v>9.32</v>
      </c>
      <c r="C129" s="7" t="s">
        <v>237</v>
      </c>
      <c r="D129" s="181" t="s">
        <v>285</v>
      </c>
      <c r="E129" s="4"/>
      <c r="F129" s="4"/>
      <c r="G129" s="182" t="s">
        <v>638</v>
      </c>
      <c r="H129" s="13" t="s">
        <v>515</v>
      </c>
      <c r="I129" s="13" t="s">
        <v>257</v>
      </c>
      <c r="J129" s="13" t="s">
        <v>644</v>
      </c>
      <c r="L129" s="4" t="s">
        <v>344</v>
      </c>
    </row>
    <row r="130" spans="1:12" x14ac:dyDescent="0.25">
      <c r="A130" s="37">
        <v>80</v>
      </c>
      <c r="B130" s="25">
        <v>11.75</v>
      </c>
      <c r="C130" s="7" t="s">
        <v>40</v>
      </c>
      <c r="D130" s="166" t="s">
        <v>280</v>
      </c>
      <c r="E130" s="4"/>
      <c r="F130" s="4"/>
      <c r="G130" s="167" t="s">
        <v>142</v>
      </c>
      <c r="H130" s="13" t="s">
        <v>516</v>
      </c>
      <c r="I130" s="13" t="s">
        <v>258</v>
      </c>
      <c r="J130" s="13" t="s">
        <v>644</v>
      </c>
      <c r="L130" s="4" t="s">
        <v>318</v>
      </c>
    </row>
    <row r="131" spans="1:12" x14ac:dyDescent="0.25">
      <c r="A131" s="37">
        <v>80</v>
      </c>
      <c r="B131" s="25">
        <v>9.4</v>
      </c>
      <c r="C131" s="7" t="s">
        <v>237</v>
      </c>
      <c r="D131" s="181" t="s">
        <v>285</v>
      </c>
      <c r="E131" s="4"/>
      <c r="F131" s="4"/>
      <c r="G131" s="182" t="s">
        <v>638</v>
      </c>
      <c r="H131" s="13" t="s">
        <v>515</v>
      </c>
      <c r="I131" s="13" t="s">
        <v>258</v>
      </c>
      <c r="J131" s="13" t="s">
        <v>644</v>
      </c>
      <c r="L131" s="4" t="s">
        <v>318</v>
      </c>
    </row>
    <row r="132" spans="1:12" x14ac:dyDescent="0.25">
      <c r="A132" s="37">
        <v>82</v>
      </c>
      <c r="B132" s="25">
        <v>11.58</v>
      </c>
      <c r="C132" s="7" t="s">
        <v>40</v>
      </c>
      <c r="D132" s="166" t="s">
        <v>280</v>
      </c>
      <c r="E132" s="4"/>
      <c r="F132" s="4"/>
      <c r="G132" s="167" t="s">
        <v>142</v>
      </c>
      <c r="H132" s="13" t="s">
        <v>516</v>
      </c>
      <c r="I132" s="13" t="s">
        <v>259</v>
      </c>
      <c r="J132" s="13" t="s">
        <v>644</v>
      </c>
      <c r="L132" s="4" t="s">
        <v>319</v>
      </c>
    </row>
    <row r="133" spans="1:12" x14ac:dyDescent="0.25">
      <c r="A133" s="37">
        <v>82</v>
      </c>
      <c r="B133" s="25">
        <v>9.26</v>
      </c>
      <c r="C133" s="7" t="s">
        <v>237</v>
      </c>
      <c r="D133" s="181" t="s">
        <v>285</v>
      </c>
      <c r="E133" s="4"/>
      <c r="F133" s="4"/>
      <c r="G133" s="182" t="s">
        <v>638</v>
      </c>
      <c r="H133" s="13" t="s">
        <v>515</v>
      </c>
      <c r="I133" s="13" t="s">
        <v>259</v>
      </c>
      <c r="J133" s="13" t="s">
        <v>644</v>
      </c>
      <c r="L133" s="4" t="s">
        <v>319</v>
      </c>
    </row>
    <row r="134" spans="1:12" x14ac:dyDescent="0.25">
      <c r="A134" s="37">
        <v>84</v>
      </c>
      <c r="B134" s="25">
        <v>11.45</v>
      </c>
      <c r="C134" s="7" t="s">
        <v>40</v>
      </c>
      <c r="D134" s="166" t="s">
        <v>280</v>
      </c>
      <c r="E134" s="4"/>
      <c r="F134" s="4"/>
      <c r="G134" s="167" t="s">
        <v>142</v>
      </c>
      <c r="H134" s="13" t="s">
        <v>516</v>
      </c>
      <c r="I134" s="13" t="s">
        <v>260</v>
      </c>
      <c r="J134" s="13" t="s">
        <v>644</v>
      </c>
      <c r="L134" s="4" t="s">
        <v>320</v>
      </c>
    </row>
    <row r="135" spans="1:12" x14ac:dyDescent="0.25">
      <c r="A135" s="37">
        <v>84</v>
      </c>
      <c r="B135" s="25">
        <v>11.45</v>
      </c>
      <c r="C135" s="7" t="s">
        <v>237</v>
      </c>
      <c r="D135" s="181" t="s">
        <v>285</v>
      </c>
      <c r="E135" s="4"/>
      <c r="F135" s="4"/>
      <c r="G135" s="182" t="s">
        <v>638</v>
      </c>
      <c r="H135" s="13" t="s">
        <v>515</v>
      </c>
      <c r="I135" s="13" t="s">
        <v>260</v>
      </c>
      <c r="J135" s="13" t="s">
        <v>644</v>
      </c>
      <c r="L135" s="4" t="s">
        <v>320</v>
      </c>
    </row>
    <row r="136" spans="1:12" x14ac:dyDescent="0.25">
      <c r="A136" s="37">
        <v>91</v>
      </c>
      <c r="B136" s="25">
        <v>11.3</v>
      </c>
      <c r="C136" s="7" t="s">
        <v>40</v>
      </c>
      <c r="D136" s="166" t="s">
        <v>280</v>
      </c>
      <c r="E136" s="4"/>
      <c r="F136" s="4"/>
      <c r="G136" s="167" t="s">
        <v>142</v>
      </c>
      <c r="H136" s="13" t="s">
        <v>516</v>
      </c>
      <c r="I136" s="13" t="s">
        <v>261</v>
      </c>
      <c r="J136" s="13" t="s">
        <v>644</v>
      </c>
      <c r="L136" s="4" t="s">
        <v>345</v>
      </c>
    </row>
    <row r="137" spans="1:12" x14ac:dyDescent="0.25">
      <c r="A137" s="37">
        <v>91</v>
      </c>
      <c r="B137" s="25">
        <v>10.19</v>
      </c>
      <c r="C137" s="7" t="s">
        <v>237</v>
      </c>
      <c r="D137" s="181" t="s">
        <v>285</v>
      </c>
      <c r="E137" s="4"/>
      <c r="F137" s="4"/>
      <c r="G137" s="182" t="s">
        <v>638</v>
      </c>
      <c r="H137" s="13" t="s">
        <v>515</v>
      </c>
      <c r="I137" s="13" t="s">
        <v>261</v>
      </c>
      <c r="J137" s="13" t="s">
        <v>644</v>
      </c>
      <c r="L137" s="4" t="s">
        <v>345</v>
      </c>
    </row>
    <row r="138" spans="1:12" x14ac:dyDescent="0.25">
      <c r="A138" s="37">
        <v>96</v>
      </c>
      <c r="B138" s="25">
        <v>11.32</v>
      </c>
      <c r="C138" s="7" t="s">
        <v>40</v>
      </c>
      <c r="D138" s="166" t="s">
        <v>280</v>
      </c>
      <c r="E138" s="4"/>
      <c r="F138" s="4"/>
      <c r="G138" s="167" t="s">
        <v>142</v>
      </c>
      <c r="H138" s="13" t="s">
        <v>516</v>
      </c>
      <c r="I138" s="13" t="s">
        <v>262</v>
      </c>
      <c r="J138" s="13" t="s">
        <v>644</v>
      </c>
      <c r="L138" s="4" t="s">
        <v>322</v>
      </c>
    </row>
    <row r="139" spans="1:12" x14ac:dyDescent="0.25">
      <c r="A139" s="37">
        <v>96</v>
      </c>
      <c r="B139" s="25">
        <v>10.199999999999999</v>
      </c>
      <c r="C139" s="7" t="s">
        <v>237</v>
      </c>
      <c r="D139" s="181" t="s">
        <v>285</v>
      </c>
      <c r="E139" s="4"/>
      <c r="F139" s="4"/>
      <c r="G139" s="182" t="s">
        <v>638</v>
      </c>
      <c r="H139" s="13" t="s">
        <v>515</v>
      </c>
      <c r="I139" s="13" t="s">
        <v>262</v>
      </c>
      <c r="J139" s="13" t="s">
        <v>644</v>
      </c>
      <c r="L139" s="4" t="s">
        <v>322</v>
      </c>
    </row>
    <row r="140" spans="1:12" x14ac:dyDescent="0.25">
      <c r="A140" s="37">
        <v>97</v>
      </c>
      <c r="B140" s="25">
        <v>10.83</v>
      </c>
      <c r="C140" s="7" t="s">
        <v>40</v>
      </c>
      <c r="D140" s="166" t="s">
        <v>280</v>
      </c>
      <c r="E140" s="4"/>
      <c r="F140" s="4"/>
      <c r="G140" s="167" t="s">
        <v>142</v>
      </c>
      <c r="H140" s="13" t="s">
        <v>516</v>
      </c>
      <c r="I140" s="13" t="s">
        <v>263</v>
      </c>
      <c r="J140" s="13" t="s">
        <v>644</v>
      </c>
      <c r="L140" s="4" t="s">
        <v>323</v>
      </c>
    </row>
    <row r="141" spans="1:12" x14ac:dyDescent="0.25">
      <c r="A141" s="37">
        <v>97</v>
      </c>
      <c r="B141" s="25">
        <v>9.74</v>
      </c>
      <c r="C141" s="7" t="s">
        <v>237</v>
      </c>
      <c r="D141" s="181" t="s">
        <v>285</v>
      </c>
      <c r="E141" s="4"/>
      <c r="F141" s="4"/>
      <c r="G141" s="182" t="s">
        <v>638</v>
      </c>
      <c r="H141" s="13" t="s">
        <v>515</v>
      </c>
      <c r="I141" s="13" t="s">
        <v>263</v>
      </c>
      <c r="J141" s="13" t="s">
        <v>644</v>
      </c>
      <c r="L141" s="4" t="s">
        <v>323</v>
      </c>
    </row>
    <row r="142" spans="1:12" x14ac:dyDescent="0.25">
      <c r="A142" s="37">
        <v>98</v>
      </c>
      <c r="B142" s="25">
        <v>11.18</v>
      </c>
      <c r="C142" s="7" t="s">
        <v>40</v>
      </c>
      <c r="D142" s="166" t="s">
        <v>280</v>
      </c>
      <c r="E142" s="4"/>
      <c r="F142" s="4"/>
      <c r="G142" s="167" t="s">
        <v>142</v>
      </c>
      <c r="H142" s="13" t="s">
        <v>516</v>
      </c>
      <c r="I142" s="13" t="s">
        <v>264</v>
      </c>
      <c r="J142" s="13" t="s">
        <v>644</v>
      </c>
      <c r="L142" s="4" t="s">
        <v>324</v>
      </c>
    </row>
    <row r="143" spans="1:12" x14ac:dyDescent="0.25">
      <c r="A143" s="37">
        <v>98</v>
      </c>
      <c r="B143" s="25">
        <v>10.07</v>
      </c>
      <c r="C143" s="7" t="s">
        <v>237</v>
      </c>
      <c r="D143" s="181" t="s">
        <v>285</v>
      </c>
      <c r="E143" s="4"/>
      <c r="F143" s="4"/>
      <c r="G143" s="182" t="s">
        <v>638</v>
      </c>
      <c r="H143" s="13" t="s">
        <v>515</v>
      </c>
      <c r="I143" s="13" t="s">
        <v>264</v>
      </c>
      <c r="J143" s="13" t="s">
        <v>644</v>
      </c>
      <c r="L143" s="4" t="s">
        <v>324</v>
      </c>
    </row>
    <row r="144" spans="1:12" x14ac:dyDescent="0.25">
      <c r="A144" s="37">
        <v>108</v>
      </c>
      <c r="B144" s="25">
        <v>11.69</v>
      </c>
      <c r="C144" s="7" t="s">
        <v>40</v>
      </c>
      <c r="D144" s="166" t="s">
        <v>280</v>
      </c>
      <c r="E144" s="4"/>
      <c r="F144" s="4"/>
      <c r="G144" s="167" t="s">
        <v>142</v>
      </c>
      <c r="H144" s="13" t="s">
        <v>516</v>
      </c>
      <c r="I144" s="13" t="s">
        <v>87</v>
      </c>
      <c r="J144" s="13" t="s">
        <v>644</v>
      </c>
      <c r="L144" s="4" t="s">
        <v>346</v>
      </c>
    </row>
    <row r="145" spans="1:12" x14ac:dyDescent="0.25">
      <c r="A145" s="37">
        <v>108</v>
      </c>
      <c r="B145" s="25">
        <v>9.36</v>
      </c>
      <c r="C145" s="180" t="s">
        <v>237</v>
      </c>
      <c r="D145" s="183" t="s">
        <v>285</v>
      </c>
      <c r="E145" s="4"/>
      <c r="F145" s="17"/>
      <c r="G145" s="182" t="s">
        <v>638</v>
      </c>
      <c r="H145" s="13" t="s">
        <v>478</v>
      </c>
      <c r="I145" s="13" t="s">
        <v>87</v>
      </c>
      <c r="J145" s="13" t="s">
        <v>644</v>
      </c>
      <c r="K145" s="13" t="s">
        <v>40</v>
      </c>
      <c r="L145" s="4" t="s">
        <v>347</v>
      </c>
    </row>
    <row r="146" spans="1:12" ht="30" x14ac:dyDescent="0.25">
      <c r="A146" s="37">
        <v>128</v>
      </c>
      <c r="B146" s="25">
        <v>11.7</v>
      </c>
      <c r="C146" s="180" t="s">
        <v>40</v>
      </c>
      <c r="D146" s="184" t="s">
        <v>280</v>
      </c>
      <c r="E146" s="4"/>
      <c r="F146" s="17"/>
      <c r="G146" s="167" t="s">
        <v>142</v>
      </c>
      <c r="H146" s="13" t="s">
        <v>655</v>
      </c>
      <c r="I146" s="185" t="s">
        <v>87</v>
      </c>
      <c r="J146" s="13" t="s">
        <v>643</v>
      </c>
      <c r="K146" s="13" t="s">
        <v>40</v>
      </c>
      <c r="L146" s="4" t="s">
        <v>348</v>
      </c>
    </row>
    <row r="147" spans="1:12" ht="30" x14ac:dyDescent="0.25">
      <c r="A147" s="37">
        <v>128</v>
      </c>
      <c r="B147" s="25">
        <v>9.1199999999999992</v>
      </c>
      <c r="C147" s="180" t="s">
        <v>237</v>
      </c>
      <c r="D147" s="183" t="s">
        <v>285</v>
      </c>
      <c r="E147" s="4"/>
      <c r="F147" s="17"/>
      <c r="G147" s="182" t="s">
        <v>638</v>
      </c>
      <c r="H147" s="13" t="s">
        <v>655</v>
      </c>
      <c r="I147" s="185" t="s">
        <v>87</v>
      </c>
      <c r="J147" s="13" t="s">
        <v>643</v>
      </c>
      <c r="K147" s="13" t="s">
        <v>40</v>
      </c>
      <c r="L147" s="4" t="s">
        <v>348</v>
      </c>
    </row>
    <row r="148" spans="1:12" ht="30" x14ac:dyDescent="0.25">
      <c r="A148" s="37">
        <v>143</v>
      </c>
      <c r="B148" s="25">
        <v>11.7</v>
      </c>
      <c r="C148" s="180" t="s">
        <v>40</v>
      </c>
      <c r="D148" s="184" t="s">
        <v>280</v>
      </c>
      <c r="E148" s="4"/>
      <c r="F148" s="17"/>
      <c r="G148" s="167" t="s">
        <v>142</v>
      </c>
      <c r="H148" s="13" t="s">
        <v>655</v>
      </c>
      <c r="I148" s="185" t="s">
        <v>163</v>
      </c>
      <c r="J148" s="13" t="s">
        <v>643</v>
      </c>
      <c r="K148" s="13" t="s">
        <v>40</v>
      </c>
      <c r="L148" s="4" t="s">
        <v>349</v>
      </c>
    </row>
    <row r="149" spans="1:12" ht="30" x14ac:dyDescent="0.25">
      <c r="A149" s="37">
        <v>143</v>
      </c>
      <c r="B149" s="25">
        <v>9.1199999999999992</v>
      </c>
      <c r="C149" s="180" t="s">
        <v>237</v>
      </c>
      <c r="D149" s="183" t="s">
        <v>285</v>
      </c>
      <c r="E149" s="4"/>
      <c r="F149" s="17"/>
      <c r="G149" s="182" t="s">
        <v>638</v>
      </c>
      <c r="H149" s="13" t="s">
        <v>655</v>
      </c>
      <c r="I149" s="185" t="s">
        <v>163</v>
      </c>
      <c r="J149" s="13" t="s">
        <v>643</v>
      </c>
      <c r="K149" s="13" t="s">
        <v>40</v>
      </c>
      <c r="L149" s="4" t="s">
        <v>349</v>
      </c>
    </row>
    <row r="150" spans="1:12" ht="30" x14ac:dyDescent="0.25">
      <c r="A150" s="37">
        <v>149</v>
      </c>
      <c r="B150" s="25">
        <v>9.1199999999999992</v>
      </c>
      <c r="C150" s="180" t="s">
        <v>237</v>
      </c>
      <c r="D150" s="183" t="s">
        <v>285</v>
      </c>
      <c r="E150" s="4"/>
      <c r="F150" s="17"/>
      <c r="G150" s="182" t="s">
        <v>638</v>
      </c>
      <c r="H150" s="13" t="s">
        <v>655</v>
      </c>
      <c r="I150" s="185" t="s">
        <v>164</v>
      </c>
      <c r="J150" s="13" t="s">
        <v>643</v>
      </c>
      <c r="K150" s="13" t="s">
        <v>40</v>
      </c>
      <c r="L150" s="4" t="s">
        <v>350</v>
      </c>
    </row>
    <row r="151" spans="1:12" ht="30" x14ac:dyDescent="0.25">
      <c r="A151" s="37">
        <v>152</v>
      </c>
      <c r="B151" s="25">
        <v>11.7</v>
      </c>
      <c r="C151" s="180" t="s">
        <v>40</v>
      </c>
      <c r="D151" s="184" t="s">
        <v>280</v>
      </c>
      <c r="E151" s="4"/>
      <c r="F151" s="17"/>
      <c r="G151" s="167" t="s">
        <v>142</v>
      </c>
      <c r="H151" s="13" t="s">
        <v>655</v>
      </c>
      <c r="I151" s="185" t="s">
        <v>164</v>
      </c>
      <c r="J151" s="13" t="s">
        <v>643</v>
      </c>
      <c r="K151" s="13" t="s">
        <v>40</v>
      </c>
      <c r="L151" s="4" t="s">
        <v>350</v>
      </c>
    </row>
    <row r="152" spans="1:12" ht="30" x14ac:dyDescent="0.25">
      <c r="A152" s="37">
        <v>158</v>
      </c>
      <c r="B152" s="25">
        <v>11.7</v>
      </c>
      <c r="C152" s="180" t="s">
        <v>40</v>
      </c>
      <c r="D152" s="184" t="s">
        <v>280</v>
      </c>
      <c r="E152" s="4"/>
      <c r="F152" s="17"/>
      <c r="G152" s="167" t="s">
        <v>142</v>
      </c>
      <c r="H152" s="13" t="s">
        <v>655</v>
      </c>
      <c r="I152" s="185" t="s">
        <v>164</v>
      </c>
      <c r="J152" s="13" t="s">
        <v>643</v>
      </c>
      <c r="K152" s="13" t="s">
        <v>40</v>
      </c>
      <c r="L152" s="4" t="s">
        <v>351</v>
      </c>
    </row>
    <row r="153" spans="1:12" ht="30" x14ac:dyDescent="0.25">
      <c r="A153" s="37">
        <v>158</v>
      </c>
      <c r="B153" s="25">
        <v>8.42</v>
      </c>
      <c r="C153" s="180" t="s">
        <v>237</v>
      </c>
      <c r="D153" s="183" t="s">
        <v>285</v>
      </c>
      <c r="E153" s="4"/>
      <c r="F153" s="17"/>
      <c r="G153" s="182" t="s">
        <v>638</v>
      </c>
      <c r="H153" s="13" t="s">
        <v>655</v>
      </c>
      <c r="I153" s="185" t="s">
        <v>164</v>
      </c>
      <c r="J153" s="13" t="s">
        <v>643</v>
      </c>
      <c r="K153" s="13" t="s">
        <v>40</v>
      </c>
      <c r="L153" s="4" t="s">
        <v>351</v>
      </c>
    </row>
    <row r="154" spans="1:12" ht="30" x14ac:dyDescent="0.25">
      <c r="A154" s="37">
        <v>164</v>
      </c>
      <c r="B154" s="25">
        <v>11.7</v>
      </c>
      <c r="C154" s="180" t="s">
        <v>40</v>
      </c>
      <c r="D154" s="184" t="s">
        <v>280</v>
      </c>
      <c r="E154" s="4"/>
      <c r="F154" s="17"/>
      <c r="G154" s="167" t="s">
        <v>142</v>
      </c>
      <c r="H154" s="13" t="s">
        <v>655</v>
      </c>
      <c r="I154" s="185" t="s">
        <v>166</v>
      </c>
      <c r="J154" s="13" t="s">
        <v>643</v>
      </c>
      <c r="K154" s="13" t="s">
        <v>40</v>
      </c>
      <c r="L154" s="4" t="s">
        <v>352</v>
      </c>
    </row>
    <row r="155" spans="1:12" ht="30" x14ac:dyDescent="0.25">
      <c r="A155" s="37">
        <v>164</v>
      </c>
      <c r="B155" s="25">
        <v>8.42</v>
      </c>
      <c r="C155" s="180" t="s">
        <v>237</v>
      </c>
      <c r="D155" s="183" t="s">
        <v>285</v>
      </c>
      <c r="E155" s="4"/>
      <c r="F155" s="17"/>
      <c r="G155" s="182" t="s">
        <v>638</v>
      </c>
      <c r="H155" s="13" t="s">
        <v>655</v>
      </c>
      <c r="I155" s="185" t="s">
        <v>166</v>
      </c>
      <c r="J155" s="13" t="s">
        <v>643</v>
      </c>
      <c r="K155" s="13" t="s">
        <v>40</v>
      </c>
      <c r="L155" s="4" t="s">
        <v>352</v>
      </c>
    </row>
    <row r="156" spans="1:12" ht="30" x14ac:dyDescent="0.25">
      <c r="A156" s="37">
        <v>169</v>
      </c>
      <c r="B156" s="25">
        <v>11.7</v>
      </c>
      <c r="C156" s="180" t="s">
        <v>40</v>
      </c>
      <c r="D156" s="184" t="s">
        <v>280</v>
      </c>
      <c r="E156" s="4"/>
      <c r="F156" s="17"/>
      <c r="G156" s="167" t="s">
        <v>142</v>
      </c>
      <c r="H156" s="13" t="s">
        <v>655</v>
      </c>
      <c r="I156" s="185" t="s">
        <v>167</v>
      </c>
      <c r="J156" s="13" t="s">
        <v>643</v>
      </c>
      <c r="K156" s="13" t="s">
        <v>40</v>
      </c>
      <c r="L156" s="4" t="s">
        <v>353</v>
      </c>
    </row>
    <row r="157" spans="1:12" ht="30" x14ac:dyDescent="0.25">
      <c r="A157" s="37">
        <v>169</v>
      </c>
      <c r="B157" s="25">
        <v>8.42</v>
      </c>
      <c r="C157" s="180" t="s">
        <v>237</v>
      </c>
      <c r="D157" s="183" t="s">
        <v>285</v>
      </c>
      <c r="E157" s="4"/>
      <c r="F157" s="17"/>
      <c r="G157" s="182" t="s">
        <v>638</v>
      </c>
      <c r="H157" s="13" t="s">
        <v>655</v>
      </c>
      <c r="I157" s="185" t="s">
        <v>167</v>
      </c>
      <c r="J157" s="13" t="s">
        <v>643</v>
      </c>
      <c r="K157" s="13" t="s">
        <v>40</v>
      </c>
      <c r="L157" s="4" t="s">
        <v>353</v>
      </c>
    </row>
    <row r="158" spans="1:12" ht="30" x14ac:dyDescent="0.25">
      <c r="A158" s="37">
        <v>175</v>
      </c>
      <c r="B158" s="25">
        <v>11.7</v>
      </c>
      <c r="C158" s="180" t="s">
        <v>40</v>
      </c>
      <c r="D158" s="184" t="s">
        <v>280</v>
      </c>
      <c r="E158" s="4"/>
      <c r="F158" s="17"/>
      <c r="G158" s="167" t="s">
        <v>142</v>
      </c>
      <c r="H158" s="13" t="s">
        <v>655</v>
      </c>
      <c r="I158" s="185" t="s">
        <v>168</v>
      </c>
      <c r="J158" s="13" t="s">
        <v>643</v>
      </c>
      <c r="K158" s="13" t="s">
        <v>40</v>
      </c>
      <c r="L158" s="4" t="s">
        <v>354</v>
      </c>
    </row>
    <row r="159" spans="1:12" ht="30" x14ac:dyDescent="0.25">
      <c r="A159" s="37">
        <v>175</v>
      </c>
      <c r="B159" s="25">
        <v>8.42</v>
      </c>
      <c r="C159" s="180" t="s">
        <v>237</v>
      </c>
      <c r="D159" s="183" t="s">
        <v>285</v>
      </c>
      <c r="E159" s="4"/>
      <c r="F159" s="17"/>
      <c r="G159" s="182" t="s">
        <v>638</v>
      </c>
      <c r="H159" s="13" t="s">
        <v>655</v>
      </c>
      <c r="I159" s="185" t="s">
        <v>168</v>
      </c>
      <c r="J159" s="13" t="s">
        <v>643</v>
      </c>
      <c r="K159" s="13" t="s">
        <v>40</v>
      </c>
      <c r="L159" s="4" t="s">
        <v>354</v>
      </c>
    </row>
    <row r="160" spans="1:12" x14ac:dyDescent="0.25">
      <c r="A160" s="37">
        <v>185</v>
      </c>
      <c r="B160" s="25">
        <v>10.8</v>
      </c>
      <c r="C160" s="180" t="s">
        <v>40</v>
      </c>
      <c r="D160" s="184" t="s">
        <v>280</v>
      </c>
      <c r="E160" s="4"/>
      <c r="F160" s="17"/>
      <c r="G160" s="167" t="s">
        <v>142</v>
      </c>
      <c r="H160" s="13" t="s">
        <v>659</v>
      </c>
      <c r="I160" s="13" t="s">
        <v>127</v>
      </c>
      <c r="J160" s="13" t="s">
        <v>643</v>
      </c>
      <c r="K160" s="13" t="s">
        <v>40</v>
      </c>
      <c r="L160" s="4" t="s">
        <v>355</v>
      </c>
    </row>
    <row r="161" spans="1:12" x14ac:dyDescent="0.25">
      <c r="A161" s="37">
        <v>185</v>
      </c>
      <c r="B161" s="25">
        <v>7.35</v>
      </c>
      <c r="C161" s="180" t="s">
        <v>237</v>
      </c>
      <c r="D161" s="183" t="s">
        <v>285</v>
      </c>
      <c r="E161" s="4"/>
      <c r="F161" s="17"/>
      <c r="G161" s="182" t="s">
        <v>638</v>
      </c>
      <c r="H161" s="13" t="s">
        <v>659</v>
      </c>
      <c r="I161" s="185" t="s">
        <v>127</v>
      </c>
      <c r="J161" s="13" t="s">
        <v>643</v>
      </c>
      <c r="K161" s="13" t="s">
        <v>40</v>
      </c>
      <c r="L161" s="4" t="s">
        <v>355</v>
      </c>
    </row>
    <row r="162" spans="1:12" x14ac:dyDescent="0.25">
      <c r="A162" s="37">
        <v>191</v>
      </c>
      <c r="B162" s="25">
        <v>10.8</v>
      </c>
      <c r="C162" s="180" t="s">
        <v>40</v>
      </c>
      <c r="D162" s="184" t="s">
        <v>280</v>
      </c>
      <c r="E162" s="4"/>
      <c r="F162" s="17"/>
      <c r="G162" s="167" t="s">
        <v>142</v>
      </c>
      <c r="H162" s="13" t="s">
        <v>659</v>
      </c>
      <c r="I162" s="13" t="s">
        <v>127</v>
      </c>
      <c r="J162" s="13" t="s">
        <v>643</v>
      </c>
      <c r="K162" s="13" t="s">
        <v>40</v>
      </c>
      <c r="L162" s="4" t="s">
        <v>356</v>
      </c>
    </row>
    <row r="163" spans="1:12" x14ac:dyDescent="0.25">
      <c r="A163" s="37">
        <v>191</v>
      </c>
      <c r="B163" s="25">
        <v>7.02</v>
      </c>
      <c r="C163" s="180" t="s">
        <v>237</v>
      </c>
      <c r="D163" s="183" t="s">
        <v>285</v>
      </c>
      <c r="E163" s="4"/>
      <c r="F163" s="17"/>
      <c r="G163" s="182" t="s">
        <v>638</v>
      </c>
      <c r="H163" s="13" t="s">
        <v>659</v>
      </c>
      <c r="I163" s="185" t="s">
        <v>127</v>
      </c>
      <c r="J163" s="13" t="s">
        <v>643</v>
      </c>
      <c r="K163" s="13" t="s">
        <v>40</v>
      </c>
      <c r="L163" s="4" t="s">
        <v>356</v>
      </c>
    </row>
    <row r="164" spans="1:12" x14ac:dyDescent="0.25">
      <c r="A164" s="37">
        <v>193</v>
      </c>
      <c r="B164" s="25">
        <v>10.8</v>
      </c>
      <c r="C164" s="180" t="s">
        <v>40</v>
      </c>
      <c r="D164" s="184" t="s">
        <v>280</v>
      </c>
      <c r="E164" s="4"/>
      <c r="F164" s="17"/>
      <c r="G164" s="167" t="s">
        <v>142</v>
      </c>
      <c r="H164" s="13" t="s">
        <v>659</v>
      </c>
      <c r="I164" s="185" t="s">
        <v>128</v>
      </c>
      <c r="J164" s="13" t="s">
        <v>643</v>
      </c>
      <c r="K164" s="13" t="s">
        <v>40</v>
      </c>
      <c r="L164" s="4" t="s">
        <v>357</v>
      </c>
    </row>
    <row r="165" spans="1:12" x14ac:dyDescent="0.25">
      <c r="A165" s="37">
        <v>193</v>
      </c>
      <c r="B165" s="25">
        <v>7.35</v>
      </c>
      <c r="C165" s="180" t="s">
        <v>237</v>
      </c>
      <c r="D165" s="183" t="s">
        <v>285</v>
      </c>
      <c r="E165" s="4"/>
      <c r="F165" s="17"/>
      <c r="G165" s="182" t="s">
        <v>638</v>
      </c>
      <c r="H165" s="13" t="s">
        <v>659</v>
      </c>
      <c r="I165" s="185" t="s">
        <v>128</v>
      </c>
      <c r="J165" s="13" t="s">
        <v>643</v>
      </c>
      <c r="K165" s="13" t="s">
        <v>40</v>
      </c>
      <c r="L165" s="4" t="s">
        <v>357</v>
      </c>
    </row>
    <row r="166" spans="1:12" x14ac:dyDescent="0.25">
      <c r="A166" s="37">
        <v>194</v>
      </c>
      <c r="B166" s="25">
        <v>10.8</v>
      </c>
      <c r="C166" s="180" t="s">
        <v>40</v>
      </c>
      <c r="D166" s="184" t="s">
        <v>280</v>
      </c>
      <c r="E166" s="4"/>
      <c r="F166" s="17"/>
      <c r="G166" s="167" t="s">
        <v>142</v>
      </c>
      <c r="H166" s="13" t="s">
        <v>659</v>
      </c>
      <c r="I166" s="185" t="s">
        <v>172</v>
      </c>
      <c r="J166" s="13" t="s">
        <v>643</v>
      </c>
      <c r="K166" s="13" t="s">
        <v>40</v>
      </c>
      <c r="L166" s="4" t="s">
        <v>358</v>
      </c>
    </row>
    <row r="167" spans="1:12" x14ac:dyDescent="0.25">
      <c r="A167" s="37">
        <v>194</v>
      </c>
      <c r="B167" s="25">
        <v>7.35</v>
      </c>
      <c r="C167" s="180" t="s">
        <v>237</v>
      </c>
      <c r="D167" s="183" t="s">
        <v>285</v>
      </c>
      <c r="E167" s="4"/>
      <c r="F167" s="17"/>
      <c r="G167" s="182" t="s">
        <v>638</v>
      </c>
      <c r="H167" s="13" t="s">
        <v>659</v>
      </c>
      <c r="I167" s="185" t="s">
        <v>172</v>
      </c>
      <c r="J167" s="13" t="s">
        <v>643</v>
      </c>
      <c r="K167" s="13" t="s">
        <v>40</v>
      </c>
      <c r="L167" s="4" t="s">
        <v>358</v>
      </c>
    </row>
    <row r="168" spans="1:12" x14ac:dyDescent="0.25">
      <c r="A168" s="37">
        <v>197</v>
      </c>
      <c r="B168" s="25">
        <v>10.8</v>
      </c>
      <c r="C168" s="180" t="s">
        <v>40</v>
      </c>
      <c r="D168" s="184" t="s">
        <v>280</v>
      </c>
      <c r="E168" s="4"/>
      <c r="F168" s="17"/>
      <c r="G168" s="167" t="s">
        <v>142</v>
      </c>
      <c r="H168" s="13" t="s">
        <v>662</v>
      </c>
      <c r="I168" s="185" t="s">
        <v>172</v>
      </c>
      <c r="J168" s="13" t="s">
        <v>643</v>
      </c>
      <c r="K168" s="13" t="s">
        <v>40</v>
      </c>
      <c r="L168" s="4" t="s">
        <v>359</v>
      </c>
    </row>
    <row r="169" spans="1:12" x14ac:dyDescent="0.25">
      <c r="A169" s="37">
        <v>197</v>
      </c>
      <c r="B169" s="25">
        <v>5.08</v>
      </c>
      <c r="C169" s="180" t="s">
        <v>237</v>
      </c>
      <c r="D169" s="183" t="s">
        <v>285</v>
      </c>
      <c r="E169" s="4"/>
      <c r="F169" s="17"/>
      <c r="G169" s="182" t="s">
        <v>638</v>
      </c>
      <c r="H169" s="13" t="s">
        <v>662</v>
      </c>
      <c r="I169" s="185" t="s">
        <v>172</v>
      </c>
      <c r="J169" s="13" t="s">
        <v>643</v>
      </c>
      <c r="K169" s="13" t="s">
        <v>40</v>
      </c>
      <c r="L169" s="4" t="s">
        <v>359</v>
      </c>
    </row>
    <row r="170" spans="1:12" x14ac:dyDescent="0.25">
      <c r="A170" s="37">
        <v>204</v>
      </c>
      <c r="B170" s="25">
        <v>11.7</v>
      </c>
      <c r="C170" s="180" t="s">
        <v>40</v>
      </c>
      <c r="D170" s="184" t="s">
        <v>280</v>
      </c>
      <c r="E170" s="4"/>
      <c r="F170" s="17"/>
      <c r="G170" s="167" t="s">
        <v>142</v>
      </c>
      <c r="H170" s="13" t="s">
        <v>660</v>
      </c>
      <c r="I170" s="185" t="s">
        <v>172</v>
      </c>
      <c r="J170" s="13" t="s">
        <v>643</v>
      </c>
      <c r="K170" s="13" t="s">
        <v>40</v>
      </c>
      <c r="L170" s="4" t="s">
        <v>360</v>
      </c>
    </row>
    <row r="171" spans="1:12" x14ac:dyDescent="0.25">
      <c r="A171" s="37">
        <v>204</v>
      </c>
      <c r="B171" s="25">
        <v>5.5</v>
      </c>
      <c r="C171" s="180" t="s">
        <v>237</v>
      </c>
      <c r="D171" s="183" t="s">
        <v>285</v>
      </c>
      <c r="E171" s="4"/>
      <c r="F171" s="17"/>
      <c r="G171" s="182" t="s">
        <v>638</v>
      </c>
      <c r="H171" s="13" t="s">
        <v>660</v>
      </c>
      <c r="I171" s="185" t="s">
        <v>172</v>
      </c>
      <c r="J171" s="13" t="s">
        <v>643</v>
      </c>
      <c r="K171" s="13" t="s">
        <v>40</v>
      </c>
      <c r="L171" s="4" t="s">
        <v>360</v>
      </c>
    </row>
    <row r="172" spans="1:12" x14ac:dyDescent="0.25">
      <c r="A172" s="37">
        <v>212</v>
      </c>
      <c r="B172" s="25">
        <v>10.8</v>
      </c>
      <c r="C172" s="180" t="s">
        <v>40</v>
      </c>
      <c r="D172" s="184" t="s">
        <v>280</v>
      </c>
      <c r="E172" s="4"/>
      <c r="F172" s="17"/>
      <c r="G172" s="167" t="s">
        <v>142</v>
      </c>
      <c r="H172" s="13" t="s">
        <v>660</v>
      </c>
      <c r="I172" s="185" t="s">
        <v>129</v>
      </c>
      <c r="J172" s="13" t="s">
        <v>643</v>
      </c>
      <c r="K172" s="13" t="s">
        <v>40</v>
      </c>
      <c r="L172" s="4" t="s">
        <v>361</v>
      </c>
    </row>
    <row r="173" spans="1:12" x14ac:dyDescent="0.25">
      <c r="A173" s="37">
        <v>212</v>
      </c>
      <c r="B173" s="25">
        <v>4.8600000000000003</v>
      </c>
      <c r="C173" s="180" t="s">
        <v>237</v>
      </c>
      <c r="D173" s="183" t="s">
        <v>285</v>
      </c>
      <c r="E173" s="4"/>
      <c r="F173" s="17"/>
      <c r="G173" s="182" t="s">
        <v>638</v>
      </c>
      <c r="H173" s="13" t="s">
        <v>660</v>
      </c>
      <c r="I173" s="185" t="s">
        <v>129</v>
      </c>
      <c r="J173" s="13" t="s">
        <v>643</v>
      </c>
      <c r="K173" s="13" t="s">
        <v>40</v>
      </c>
      <c r="L173" s="4" t="s">
        <v>361</v>
      </c>
    </row>
    <row r="174" spans="1:12" x14ac:dyDescent="0.25">
      <c r="A174" s="37">
        <v>213</v>
      </c>
      <c r="B174" s="25">
        <v>10.8</v>
      </c>
      <c r="C174" s="180" t="s">
        <v>40</v>
      </c>
      <c r="D174" s="184" t="s">
        <v>280</v>
      </c>
      <c r="E174" s="4"/>
      <c r="F174" s="17"/>
      <c r="G174" s="167" t="s">
        <v>142</v>
      </c>
      <c r="H174" s="13" t="s">
        <v>660</v>
      </c>
      <c r="I174" s="185" t="s">
        <v>129</v>
      </c>
      <c r="J174" s="13" t="s">
        <v>643</v>
      </c>
      <c r="K174" s="13" t="s">
        <v>40</v>
      </c>
      <c r="L174" s="4" t="s">
        <v>362</v>
      </c>
    </row>
    <row r="175" spans="1:12" x14ac:dyDescent="0.25">
      <c r="A175" s="37">
        <v>213</v>
      </c>
      <c r="B175" s="25">
        <v>4.8600000000000003</v>
      </c>
      <c r="C175" s="180" t="s">
        <v>237</v>
      </c>
      <c r="D175" s="183" t="s">
        <v>285</v>
      </c>
      <c r="E175" s="4"/>
      <c r="F175" s="17"/>
      <c r="G175" s="182" t="s">
        <v>638</v>
      </c>
      <c r="H175" s="13" t="s">
        <v>660</v>
      </c>
      <c r="I175" s="185" t="s">
        <v>129</v>
      </c>
      <c r="J175" s="13" t="s">
        <v>643</v>
      </c>
      <c r="K175" s="13" t="s">
        <v>40</v>
      </c>
      <c r="L175" s="4" t="s">
        <v>362</v>
      </c>
    </row>
    <row r="176" spans="1:12" x14ac:dyDescent="0.25">
      <c r="A176" s="37">
        <v>215</v>
      </c>
      <c r="B176" s="25">
        <v>13</v>
      </c>
      <c r="C176" s="180" t="s">
        <v>40</v>
      </c>
      <c r="D176" s="184" t="s">
        <v>280</v>
      </c>
      <c r="E176" s="4"/>
      <c r="F176" s="17"/>
      <c r="G176" s="167" t="s">
        <v>142</v>
      </c>
      <c r="H176" s="13" t="s">
        <v>660</v>
      </c>
      <c r="I176" s="185" t="s">
        <v>645</v>
      </c>
      <c r="J176" s="13" t="s">
        <v>643</v>
      </c>
      <c r="K176" s="13" t="s">
        <v>40</v>
      </c>
      <c r="L176" s="4" t="s">
        <v>363</v>
      </c>
    </row>
    <row r="177" spans="1:12" x14ac:dyDescent="0.25">
      <c r="A177" s="37">
        <v>215</v>
      </c>
      <c r="B177" s="25">
        <v>5.85</v>
      </c>
      <c r="C177" s="180" t="s">
        <v>237</v>
      </c>
      <c r="D177" s="183" t="s">
        <v>285</v>
      </c>
      <c r="E177" s="4"/>
      <c r="F177" s="17"/>
      <c r="G177" s="182" t="s">
        <v>638</v>
      </c>
      <c r="H177" s="13" t="s">
        <v>660</v>
      </c>
      <c r="I177" s="185" t="s">
        <v>645</v>
      </c>
      <c r="J177" s="13" t="s">
        <v>643</v>
      </c>
      <c r="K177" s="13" t="s">
        <v>40</v>
      </c>
      <c r="L177" s="4" t="s">
        <v>363</v>
      </c>
    </row>
    <row r="178" spans="1:12" x14ac:dyDescent="0.25">
      <c r="A178" s="37">
        <v>218</v>
      </c>
      <c r="B178" s="25">
        <v>13</v>
      </c>
      <c r="C178" s="180" t="s">
        <v>40</v>
      </c>
      <c r="D178" s="184" t="s">
        <v>280</v>
      </c>
      <c r="E178" s="4"/>
      <c r="F178" s="17"/>
      <c r="G178" s="167" t="s">
        <v>142</v>
      </c>
      <c r="H178" s="13" t="s">
        <v>661</v>
      </c>
      <c r="I178" s="185" t="s">
        <v>178</v>
      </c>
      <c r="J178" s="13" t="s">
        <v>643</v>
      </c>
      <c r="K178" s="13" t="s">
        <v>40</v>
      </c>
      <c r="L178" s="4" t="s">
        <v>364</v>
      </c>
    </row>
    <row r="179" spans="1:12" x14ac:dyDescent="0.25">
      <c r="A179" s="37">
        <v>218</v>
      </c>
      <c r="B179" s="25">
        <v>4.9400000000000004</v>
      </c>
      <c r="C179" s="180" t="s">
        <v>237</v>
      </c>
      <c r="D179" s="183" t="s">
        <v>285</v>
      </c>
      <c r="E179" s="4"/>
      <c r="F179" s="17"/>
      <c r="G179" s="182" t="s">
        <v>638</v>
      </c>
      <c r="H179" s="13" t="s">
        <v>661</v>
      </c>
      <c r="I179" s="185" t="s">
        <v>178</v>
      </c>
      <c r="J179" s="13" t="s">
        <v>643</v>
      </c>
      <c r="K179" s="13" t="s">
        <v>40</v>
      </c>
      <c r="L179" s="4" t="s">
        <v>364</v>
      </c>
    </row>
    <row r="180" spans="1:12" x14ac:dyDescent="0.25">
      <c r="A180" s="37">
        <v>221</v>
      </c>
      <c r="B180" s="25">
        <v>12</v>
      </c>
      <c r="C180" s="180" t="s">
        <v>40</v>
      </c>
      <c r="D180" s="184" t="s">
        <v>280</v>
      </c>
      <c r="E180" s="4"/>
      <c r="F180" s="17"/>
      <c r="G180" s="167" t="s">
        <v>142</v>
      </c>
      <c r="H180" s="13" t="s">
        <v>661</v>
      </c>
      <c r="I180" s="185" t="s">
        <v>178</v>
      </c>
      <c r="J180" s="13" t="s">
        <v>643</v>
      </c>
      <c r="K180" s="13" t="s">
        <v>40</v>
      </c>
      <c r="L180" s="4" t="s">
        <v>365</v>
      </c>
    </row>
    <row r="181" spans="1:12" x14ac:dyDescent="0.25">
      <c r="A181" s="37">
        <v>221</v>
      </c>
      <c r="B181" s="25">
        <v>4.5599999999999996</v>
      </c>
      <c r="C181" s="180" t="s">
        <v>237</v>
      </c>
      <c r="D181" s="183" t="s">
        <v>285</v>
      </c>
      <c r="E181" s="4"/>
      <c r="F181" s="17"/>
      <c r="G181" s="182" t="s">
        <v>638</v>
      </c>
      <c r="H181" s="13" t="s">
        <v>661</v>
      </c>
      <c r="I181" s="185" t="s">
        <v>178</v>
      </c>
      <c r="J181" s="13" t="s">
        <v>643</v>
      </c>
      <c r="K181" s="13" t="s">
        <v>40</v>
      </c>
      <c r="L181" s="4" t="s">
        <v>365</v>
      </c>
    </row>
    <row r="182" spans="1:12" x14ac:dyDescent="0.25">
      <c r="A182" s="37">
        <v>225</v>
      </c>
      <c r="B182" s="25">
        <v>12</v>
      </c>
      <c r="C182" s="180" t="s">
        <v>40</v>
      </c>
      <c r="D182" s="184" t="s">
        <v>280</v>
      </c>
      <c r="E182" s="4"/>
      <c r="F182" s="17"/>
      <c r="G182" s="167" t="s">
        <v>142</v>
      </c>
      <c r="H182" s="13" t="s">
        <v>661</v>
      </c>
      <c r="I182" s="185" t="s">
        <v>181</v>
      </c>
      <c r="J182" s="13" t="s">
        <v>643</v>
      </c>
      <c r="K182" s="13" t="s">
        <v>40</v>
      </c>
      <c r="L182" s="4" t="s">
        <v>366</v>
      </c>
    </row>
    <row r="183" spans="1:12" x14ac:dyDescent="0.25">
      <c r="A183" s="37">
        <v>225</v>
      </c>
      <c r="B183" s="25">
        <v>3.24</v>
      </c>
      <c r="C183" s="180" t="s">
        <v>237</v>
      </c>
      <c r="D183" s="183" t="s">
        <v>285</v>
      </c>
      <c r="E183" s="4"/>
      <c r="F183" s="17"/>
      <c r="G183" s="182" t="s">
        <v>638</v>
      </c>
      <c r="H183" s="13" t="s">
        <v>661</v>
      </c>
      <c r="I183" s="185" t="s">
        <v>181</v>
      </c>
      <c r="J183" s="13" t="s">
        <v>643</v>
      </c>
      <c r="K183" s="13" t="s">
        <v>40</v>
      </c>
      <c r="L183" s="4" t="s">
        <v>366</v>
      </c>
    </row>
    <row r="184" spans="1:12" x14ac:dyDescent="0.25">
      <c r="A184" s="37">
        <v>229</v>
      </c>
      <c r="B184" s="25">
        <v>12</v>
      </c>
      <c r="C184" s="180" t="s">
        <v>40</v>
      </c>
      <c r="D184" s="184" t="s">
        <v>280</v>
      </c>
      <c r="E184" s="4"/>
      <c r="F184" s="17"/>
      <c r="G184" s="167" t="s">
        <v>142</v>
      </c>
      <c r="H184" s="13" t="s">
        <v>661</v>
      </c>
      <c r="I184" s="185" t="s">
        <v>181</v>
      </c>
      <c r="J184" s="13" t="s">
        <v>643</v>
      </c>
      <c r="K184" s="13" t="s">
        <v>40</v>
      </c>
      <c r="L184" s="4" t="s">
        <v>367</v>
      </c>
    </row>
    <row r="185" spans="1:12" x14ac:dyDescent="0.25">
      <c r="A185" s="37">
        <v>229</v>
      </c>
      <c r="B185" s="25">
        <v>3.24</v>
      </c>
      <c r="C185" s="180" t="s">
        <v>237</v>
      </c>
      <c r="D185" s="183" t="s">
        <v>285</v>
      </c>
      <c r="E185" s="4"/>
      <c r="F185" s="17"/>
      <c r="G185" s="182" t="s">
        <v>638</v>
      </c>
      <c r="H185" s="13" t="s">
        <v>661</v>
      </c>
      <c r="I185" s="185" t="s">
        <v>181</v>
      </c>
      <c r="J185" s="13" t="s">
        <v>643</v>
      </c>
      <c r="K185" s="13" t="s">
        <v>40</v>
      </c>
      <c r="L185" s="4" t="s">
        <v>367</v>
      </c>
    </row>
    <row r="186" spans="1:12" x14ac:dyDescent="0.25">
      <c r="A186" s="37">
        <v>233</v>
      </c>
      <c r="B186" s="25">
        <v>12</v>
      </c>
      <c r="C186" s="180" t="s">
        <v>40</v>
      </c>
      <c r="D186" s="184" t="s">
        <v>280</v>
      </c>
      <c r="E186" s="4"/>
      <c r="F186" s="17"/>
      <c r="G186" s="167" t="s">
        <v>142</v>
      </c>
      <c r="H186" s="13" t="s">
        <v>656</v>
      </c>
      <c r="I186" s="185" t="s">
        <v>181</v>
      </c>
      <c r="J186" s="13" t="s">
        <v>643</v>
      </c>
      <c r="K186" s="13" t="s">
        <v>40</v>
      </c>
      <c r="L186" s="4" t="s">
        <v>368</v>
      </c>
    </row>
    <row r="187" spans="1:12" x14ac:dyDescent="0.25">
      <c r="A187" s="37">
        <v>233</v>
      </c>
      <c r="B187" s="25">
        <v>3.6</v>
      </c>
      <c r="C187" s="180" t="s">
        <v>237</v>
      </c>
      <c r="D187" s="183" t="s">
        <v>285</v>
      </c>
      <c r="E187" s="4"/>
      <c r="F187" s="17"/>
      <c r="G187" s="182" t="s">
        <v>638</v>
      </c>
      <c r="H187" s="13" t="s">
        <v>656</v>
      </c>
      <c r="I187" s="185" t="s">
        <v>181</v>
      </c>
      <c r="J187" s="13" t="s">
        <v>643</v>
      </c>
      <c r="K187" s="13" t="s">
        <v>40</v>
      </c>
      <c r="L187" s="4" t="s">
        <v>368</v>
      </c>
    </row>
    <row r="188" spans="1:12" x14ac:dyDescent="0.25">
      <c r="A188" s="37">
        <v>237</v>
      </c>
      <c r="B188" s="25">
        <v>12.72</v>
      </c>
      <c r="C188" s="180" t="s">
        <v>40</v>
      </c>
      <c r="D188" s="184" t="s">
        <v>280</v>
      </c>
      <c r="E188" s="4"/>
      <c r="F188" s="17"/>
      <c r="G188" s="167" t="s">
        <v>142</v>
      </c>
      <c r="H188" s="13" t="s">
        <v>660</v>
      </c>
      <c r="I188" s="185" t="s">
        <v>185</v>
      </c>
      <c r="J188" s="13" t="s">
        <v>643</v>
      </c>
      <c r="K188" s="13" t="s">
        <v>40</v>
      </c>
      <c r="L188" s="4" t="s">
        <v>369</v>
      </c>
    </row>
    <row r="189" spans="1:12" x14ac:dyDescent="0.25">
      <c r="A189" s="37">
        <v>237</v>
      </c>
      <c r="B189" s="25">
        <v>3.82</v>
      </c>
      <c r="C189" s="180" t="s">
        <v>237</v>
      </c>
      <c r="D189" s="183" t="s">
        <v>285</v>
      </c>
      <c r="E189" s="4"/>
      <c r="F189" s="17"/>
      <c r="G189" s="182" t="s">
        <v>638</v>
      </c>
      <c r="H189" s="13" t="s">
        <v>660</v>
      </c>
      <c r="I189" s="185" t="s">
        <v>185</v>
      </c>
      <c r="J189" s="13" t="s">
        <v>643</v>
      </c>
      <c r="K189" s="13" t="s">
        <v>40</v>
      </c>
      <c r="L189" s="4" t="s">
        <v>369</v>
      </c>
    </row>
    <row r="190" spans="1:12" x14ac:dyDescent="0.25">
      <c r="A190" s="37">
        <v>238</v>
      </c>
      <c r="B190" s="25">
        <v>14.4</v>
      </c>
      <c r="C190" s="180" t="s">
        <v>40</v>
      </c>
      <c r="D190" s="184" t="s">
        <v>280</v>
      </c>
      <c r="E190" s="4"/>
      <c r="F190" s="17"/>
      <c r="G190" s="167" t="s">
        <v>142</v>
      </c>
      <c r="H190" s="13" t="s">
        <v>660</v>
      </c>
      <c r="I190" s="185" t="s">
        <v>209</v>
      </c>
      <c r="J190" s="13" t="s">
        <v>643</v>
      </c>
      <c r="K190" s="13" t="s">
        <v>40</v>
      </c>
      <c r="L190" s="4" t="s">
        <v>370</v>
      </c>
    </row>
    <row r="191" spans="1:12" x14ac:dyDescent="0.25">
      <c r="A191" s="37">
        <v>238</v>
      </c>
      <c r="B191" s="25">
        <v>5.04</v>
      </c>
      <c r="C191" s="180" t="s">
        <v>237</v>
      </c>
      <c r="D191" s="183" t="s">
        <v>285</v>
      </c>
      <c r="E191" s="4"/>
      <c r="F191" s="17"/>
      <c r="G191" s="182" t="s">
        <v>638</v>
      </c>
      <c r="H191" s="13" t="s">
        <v>660</v>
      </c>
      <c r="I191" s="185" t="s">
        <v>209</v>
      </c>
      <c r="J191" s="13" t="s">
        <v>643</v>
      </c>
      <c r="K191" s="13" t="s">
        <v>40</v>
      </c>
      <c r="L191" s="4" t="s">
        <v>370</v>
      </c>
    </row>
    <row r="192" spans="1:12" x14ac:dyDescent="0.25">
      <c r="A192" s="37">
        <v>245</v>
      </c>
      <c r="B192" s="25">
        <v>10.19</v>
      </c>
      <c r="C192" s="180" t="s">
        <v>40</v>
      </c>
      <c r="D192" s="184" t="s">
        <v>280</v>
      </c>
      <c r="E192" s="4"/>
      <c r="F192" s="17"/>
      <c r="G192" s="167" t="s">
        <v>142</v>
      </c>
      <c r="H192" s="13" t="s">
        <v>134</v>
      </c>
      <c r="I192" s="185" t="s">
        <v>187</v>
      </c>
      <c r="J192" s="13" t="s">
        <v>643</v>
      </c>
      <c r="K192" s="13" t="s">
        <v>40</v>
      </c>
      <c r="L192" s="4" t="s">
        <v>371</v>
      </c>
    </row>
    <row r="193" spans="1:12" ht="45" x14ac:dyDescent="0.25">
      <c r="A193" s="37">
        <v>245</v>
      </c>
      <c r="B193" s="25">
        <v>5.09</v>
      </c>
      <c r="C193" s="180" t="s">
        <v>237</v>
      </c>
      <c r="D193" s="183" t="s">
        <v>285</v>
      </c>
      <c r="E193" s="4"/>
      <c r="F193" s="17"/>
      <c r="G193" s="182" t="s">
        <v>638</v>
      </c>
      <c r="H193" s="13" t="s">
        <v>657</v>
      </c>
      <c r="I193" s="185" t="s">
        <v>639</v>
      </c>
      <c r="J193" s="13" t="s">
        <v>643</v>
      </c>
      <c r="K193" s="13" t="s">
        <v>40</v>
      </c>
      <c r="L193" s="4" t="s">
        <v>371</v>
      </c>
    </row>
    <row r="194" spans="1:12" x14ac:dyDescent="0.25">
      <c r="A194" s="37">
        <v>250</v>
      </c>
      <c r="B194" s="25">
        <v>11.04</v>
      </c>
      <c r="C194" s="180" t="s">
        <v>40</v>
      </c>
      <c r="D194" s="184" t="s">
        <v>280</v>
      </c>
      <c r="E194" s="4"/>
      <c r="F194" s="17"/>
      <c r="G194" s="167" t="s">
        <v>142</v>
      </c>
      <c r="H194" s="13" t="s">
        <v>134</v>
      </c>
      <c r="I194" s="185" t="s">
        <v>190</v>
      </c>
      <c r="J194" s="13" t="s">
        <v>643</v>
      </c>
      <c r="K194" s="13" t="s">
        <v>40</v>
      </c>
      <c r="L194" s="4" t="s">
        <v>372</v>
      </c>
    </row>
    <row r="195" spans="1:12" ht="30" x14ac:dyDescent="0.25">
      <c r="A195" s="37">
        <v>250</v>
      </c>
      <c r="B195" s="25">
        <v>5.52</v>
      </c>
      <c r="C195" s="180" t="s">
        <v>237</v>
      </c>
      <c r="D195" s="183" t="s">
        <v>285</v>
      </c>
      <c r="E195" s="4"/>
      <c r="F195" s="17"/>
      <c r="G195" s="182" t="s">
        <v>638</v>
      </c>
      <c r="H195" s="13" t="s">
        <v>657</v>
      </c>
      <c r="I195" s="185" t="s">
        <v>640</v>
      </c>
      <c r="J195" s="13" t="s">
        <v>643</v>
      </c>
      <c r="K195" s="13" t="s">
        <v>40</v>
      </c>
      <c r="L195" s="4" t="s">
        <v>372</v>
      </c>
    </row>
    <row r="196" spans="1:12" x14ac:dyDescent="0.25">
      <c r="A196" s="37">
        <v>252</v>
      </c>
      <c r="B196" s="25">
        <v>11.7</v>
      </c>
      <c r="C196" s="180" t="s">
        <v>40</v>
      </c>
      <c r="D196" s="184" t="s">
        <v>280</v>
      </c>
      <c r="E196" s="4"/>
      <c r="F196" s="17"/>
      <c r="G196" s="167" t="s">
        <v>142</v>
      </c>
      <c r="H196" s="13" t="s">
        <v>134</v>
      </c>
      <c r="I196" s="185" t="s">
        <v>192</v>
      </c>
      <c r="J196" s="13" t="s">
        <v>643</v>
      </c>
      <c r="K196" s="13" t="s">
        <v>40</v>
      </c>
      <c r="L196" s="4" t="s">
        <v>208</v>
      </c>
    </row>
    <row r="197" spans="1:12" ht="30" x14ac:dyDescent="0.25">
      <c r="A197" s="37">
        <v>252</v>
      </c>
      <c r="B197" s="25">
        <v>5.85</v>
      </c>
      <c r="C197" s="180" t="s">
        <v>237</v>
      </c>
      <c r="D197" s="183" t="s">
        <v>285</v>
      </c>
      <c r="E197" s="4"/>
      <c r="F197" s="17"/>
      <c r="G197" s="182" t="s">
        <v>638</v>
      </c>
      <c r="H197" s="13" t="s">
        <v>657</v>
      </c>
      <c r="I197" s="185" t="s">
        <v>641</v>
      </c>
      <c r="J197" s="13" t="s">
        <v>643</v>
      </c>
      <c r="K197" s="13" t="s">
        <v>40</v>
      </c>
      <c r="L197" s="4" t="s">
        <v>208</v>
      </c>
    </row>
    <row r="198" spans="1:12" ht="30" x14ac:dyDescent="0.25">
      <c r="A198" s="37">
        <v>274</v>
      </c>
      <c r="B198" s="25">
        <v>12.5</v>
      </c>
      <c r="C198" s="180" t="s">
        <v>237</v>
      </c>
      <c r="D198" s="183" t="s">
        <v>285</v>
      </c>
      <c r="E198" s="4">
        <v>12.5</v>
      </c>
      <c r="F198" s="17"/>
      <c r="G198" s="182" t="s">
        <v>638</v>
      </c>
      <c r="H198" s="13" t="s">
        <v>698</v>
      </c>
      <c r="I198" s="185" t="s">
        <v>275</v>
      </c>
      <c r="J198" s="13" t="s">
        <v>276</v>
      </c>
      <c r="K198" s="13" t="s">
        <v>40</v>
      </c>
      <c r="L198" s="4" t="s">
        <v>373</v>
      </c>
    </row>
    <row r="199" spans="1:12" ht="45" x14ac:dyDescent="0.25">
      <c r="A199" s="37">
        <v>294</v>
      </c>
      <c r="B199" s="25">
        <v>12.5</v>
      </c>
      <c r="C199" s="180" t="s">
        <v>40</v>
      </c>
      <c r="D199" s="184" t="s">
        <v>280</v>
      </c>
      <c r="E199" s="4"/>
      <c r="F199" s="17"/>
      <c r="G199" s="167" t="s">
        <v>142</v>
      </c>
      <c r="H199" s="13" t="s">
        <v>699</v>
      </c>
      <c r="I199" s="185" t="s">
        <v>268</v>
      </c>
      <c r="J199" s="13" t="s">
        <v>150</v>
      </c>
      <c r="K199" s="13" t="s">
        <v>40</v>
      </c>
      <c r="L199" s="4" t="s">
        <v>374</v>
      </c>
    </row>
    <row r="200" spans="1:12" ht="45" x14ac:dyDescent="0.25">
      <c r="A200" s="37">
        <v>294</v>
      </c>
      <c r="B200" s="25">
        <v>10</v>
      </c>
      <c r="C200" s="180" t="s">
        <v>237</v>
      </c>
      <c r="D200" s="183" t="s">
        <v>285</v>
      </c>
      <c r="E200" s="4"/>
      <c r="F200" s="17"/>
      <c r="G200" s="182" t="s">
        <v>638</v>
      </c>
      <c r="H200" s="13" t="s">
        <v>699</v>
      </c>
      <c r="I200" s="185" t="s">
        <v>268</v>
      </c>
      <c r="J200" s="13" t="s">
        <v>150</v>
      </c>
      <c r="K200" s="13" t="s">
        <v>40</v>
      </c>
      <c r="L200" s="4" t="s">
        <v>374</v>
      </c>
    </row>
    <row r="201" spans="1:12" ht="30" x14ac:dyDescent="0.25">
      <c r="A201" s="37">
        <v>300</v>
      </c>
      <c r="B201" s="25">
        <v>12.8</v>
      </c>
      <c r="C201" s="7" t="s">
        <v>32</v>
      </c>
      <c r="E201" s="18" t="s">
        <v>89</v>
      </c>
      <c r="G201" s="167" t="s">
        <v>142</v>
      </c>
      <c r="H201" s="13" t="s">
        <v>658</v>
      </c>
      <c r="I201" s="185" t="s">
        <v>147</v>
      </c>
      <c r="K201" s="13" t="s">
        <v>90</v>
      </c>
      <c r="L201" s="4" t="s">
        <v>88</v>
      </c>
    </row>
    <row r="202" spans="1:12" ht="45" x14ac:dyDescent="0.25">
      <c r="A202" s="37">
        <v>301</v>
      </c>
      <c r="B202" s="25">
        <v>12</v>
      </c>
      <c r="C202" s="180" t="s">
        <v>40</v>
      </c>
      <c r="D202" s="179"/>
      <c r="E202" s="4"/>
      <c r="F202" s="17"/>
      <c r="G202" s="167" t="s">
        <v>142</v>
      </c>
      <c r="H202" s="13" t="s">
        <v>700</v>
      </c>
      <c r="I202" s="185" t="s">
        <v>271</v>
      </c>
      <c r="J202" s="13" t="s">
        <v>294</v>
      </c>
      <c r="K202" s="13" t="s">
        <v>40</v>
      </c>
      <c r="L202" s="4" t="s">
        <v>375</v>
      </c>
    </row>
    <row r="203" spans="1:12" ht="30" x14ac:dyDescent="0.25">
      <c r="A203" s="37">
        <v>307</v>
      </c>
      <c r="B203" s="25">
        <v>12</v>
      </c>
      <c r="C203" s="179" t="s">
        <v>32</v>
      </c>
      <c r="D203" s="179"/>
      <c r="E203" s="4"/>
      <c r="F203" s="17"/>
      <c r="G203" s="167" t="s">
        <v>142</v>
      </c>
      <c r="H203" s="13" t="s">
        <v>549</v>
      </c>
      <c r="I203" s="185" t="s">
        <v>290</v>
      </c>
      <c r="K203" s="13" t="s">
        <v>32</v>
      </c>
      <c r="L203" s="4"/>
    </row>
    <row r="204" spans="1:12" ht="30" x14ac:dyDescent="0.25">
      <c r="A204" s="37">
        <v>331</v>
      </c>
      <c r="B204" s="25">
        <v>18</v>
      </c>
      <c r="C204" s="179" t="s">
        <v>40</v>
      </c>
      <c r="D204" s="4" t="s">
        <v>280</v>
      </c>
      <c r="E204" s="4"/>
      <c r="F204" s="17"/>
      <c r="G204" s="167" t="s">
        <v>142</v>
      </c>
      <c r="H204" s="13" t="s">
        <v>135</v>
      </c>
      <c r="I204" s="185" t="s">
        <v>274</v>
      </c>
      <c r="J204" s="13" t="s">
        <v>269</v>
      </c>
      <c r="L204" s="4" t="s">
        <v>376</v>
      </c>
    </row>
    <row r="205" spans="1:12" ht="45" x14ac:dyDescent="0.25">
      <c r="A205" s="37">
        <v>340</v>
      </c>
      <c r="B205" s="25">
        <v>14.4</v>
      </c>
      <c r="C205" s="4" t="s">
        <v>32</v>
      </c>
      <c r="E205" s="18" t="s">
        <v>103</v>
      </c>
      <c r="G205" s="167" t="s">
        <v>142</v>
      </c>
      <c r="H205" s="13" t="s">
        <v>550</v>
      </c>
      <c r="I205" s="185" t="s">
        <v>217</v>
      </c>
      <c r="J205" s="13" t="s">
        <v>216</v>
      </c>
      <c r="K205" s="13" t="s">
        <v>32</v>
      </c>
      <c r="L205" s="4" t="s">
        <v>377</v>
      </c>
    </row>
    <row r="206" spans="1:12" ht="45" x14ac:dyDescent="0.25">
      <c r="A206" s="37">
        <v>355</v>
      </c>
      <c r="B206" s="25">
        <v>12.5</v>
      </c>
      <c r="C206" s="4" t="s">
        <v>40</v>
      </c>
      <c r="D206" s="4" t="s">
        <v>388</v>
      </c>
      <c r="E206" s="18">
        <v>12.5</v>
      </c>
      <c r="G206" s="167" t="s">
        <v>142</v>
      </c>
      <c r="H206" s="13" t="s">
        <v>496</v>
      </c>
      <c r="I206" s="185" t="s">
        <v>499</v>
      </c>
      <c r="K206" s="13" t="s">
        <v>40</v>
      </c>
      <c r="L206" s="4"/>
    </row>
    <row r="207" spans="1:12" ht="30" x14ac:dyDescent="0.25">
      <c r="A207" s="37">
        <v>364</v>
      </c>
      <c r="B207" s="25">
        <v>12.3</v>
      </c>
      <c r="C207" s="4" t="s">
        <v>40</v>
      </c>
      <c r="D207" s="4" t="s">
        <v>388</v>
      </c>
      <c r="E207" s="18">
        <v>12.3</v>
      </c>
      <c r="G207" s="167" t="s">
        <v>142</v>
      </c>
      <c r="H207" s="13" t="s">
        <v>497</v>
      </c>
      <c r="I207" s="185" t="s">
        <v>272</v>
      </c>
      <c r="J207" s="13" t="s">
        <v>273</v>
      </c>
      <c r="K207" s="13" t="s">
        <v>40</v>
      </c>
      <c r="L207" s="4" t="s">
        <v>126</v>
      </c>
    </row>
    <row r="208" spans="1:12" ht="30" x14ac:dyDescent="0.25">
      <c r="A208" s="37">
        <v>380</v>
      </c>
      <c r="B208" s="25">
        <v>12</v>
      </c>
      <c r="C208" s="179" t="s">
        <v>40</v>
      </c>
      <c r="D208" s="179"/>
      <c r="E208" s="4"/>
      <c r="F208" s="17"/>
      <c r="G208" s="167" t="s">
        <v>142</v>
      </c>
      <c r="H208" s="13" t="s">
        <v>479</v>
      </c>
      <c r="J208" s="13" t="s">
        <v>391</v>
      </c>
      <c r="K208" s="13" t="s">
        <v>40</v>
      </c>
      <c r="L208" s="4" t="s">
        <v>378</v>
      </c>
    </row>
    <row r="209" spans="1:61" ht="45" x14ac:dyDescent="0.25">
      <c r="A209" s="37">
        <v>397</v>
      </c>
      <c r="B209" s="25">
        <v>14.4</v>
      </c>
      <c r="C209" s="179" t="s">
        <v>40</v>
      </c>
      <c r="D209" s="179"/>
      <c r="E209" s="167">
        <v>14.4</v>
      </c>
      <c r="F209" s="17"/>
      <c r="G209" s="167" t="s">
        <v>142</v>
      </c>
      <c r="H209" s="13" t="s">
        <v>54</v>
      </c>
      <c r="I209" s="171" t="s">
        <v>270</v>
      </c>
      <c r="J209" s="13" t="s">
        <v>133</v>
      </c>
      <c r="K209" s="13" t="s">
        <v>55</v>
      </c>
      <c r="L209" s="4" t="s">
        <v>327</v>
      </c>
    </row>
    <row r="210" spans="1:61" ht="30" x14ac:dyDescent="0.25">
      <c r="A210" s="37">
        <v>398</v>
      </c>
      <c r="B210" s="25">
        <v>9</v>
      </c>
      <c r="C210" s="179" t="s">
        <v>40</v>
      </c>
      <c r="D210" s="4" t="s">
        <v>280</v>
      </c>
      <c r="E210" s="4"/>
      <c r="F210" s="17"/>
      <c r="G210" s="167" t="s">
        <v>142</v>
      </c>
      <c r="H210" s="13" t="s">
        <v>479</v>
      </c>
      <c r="I210" s="13" t="s">
        <v>283</v>
      </c>
      <c r="J210" s="13" t="s">
        <v>267</v>
      </c>
      <c r="K210" s="13" t="s">
        <v>40</v>
      </c>
      <c r="L210" s="4" t="s">
        <v>379</v>
      </c>
    </row>
    <row r="211" spans="1:61" ht="30" x14ac:dyDescent="0.25">
      <c r="A211" s="37">
        <v>409</v>
      </c>
      <c r="B211" s="25">
        <v>8.4600000000000009</v>
      </c>
      <c r="C211" s="4" t="s">
        <v>40</v>
      </c>
      <c r="D211" s="4" t="s">
        <v>280</v>
      </c>
      <c r="E211" s="18"/>
      <c r="G211" s="167" t="s">
        <v>142</v>
      </c>
      <c r="H211" s="13" t="s">
        <v>498</v>
      </c>
      <c r="I211" s="171" t="s">
        <v>282</v>
      </c>
      <c r="J211" s="13" t="s">
        <v>281</v>
      </c>
      <c r="K211" s="13" t="s">
        <v>40</v>
      </c>
      <c r="L211" s="4" t="s">
        <v>380</v>
      </c>
    </row>
    <row r="212" spans="1:61" s="19" customFormat="1" x14ac:dyDescent="0.25">
      <c r="A212" s="21"/>
      <c r="B212" s="21"/>
      <c r="E212" s="20"/>
      <c r="F212" s="21"/>
      <c r="G212" s="20"/>
      <c r="H212" s="64"/>
      <c r="I212" s="64"/>
      <c r="J212" s="64"/>
      <c r="K212" s="64"/>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row>
    <row r="213" spans="1:61" s="19" customFormat="1" x14ac:dyDescent="0.25">
      <c r="A213" s="21"/>
      <c r="B213" s="21"/>
      <c r="E213" s="20"/>
      <c r="F213" s="21"/>
      <c r="G213" s="20"/>
      <c r="H213" s="64"/>
      <c r="I213" s="64"/>
      <c r="J213" s="64"/>
      <c r="K213" s="64"/>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row>
    <row r="214" spans="1:61" s="19" customFormat="1" x14ac:dyDescent="0.25">
      <c r="A214" s="21"/>
      <c r="B214" s="21"/>
      <c r="E214" s="20"/>
      <c r="F214" s="21"/>
      <c r="G214" s="20"/>
      <c r="H214" s="64"/>
      <c r="I214" s="64"/>
      <c r="J214" s="64"/>
      <c r="K214" s="64"/>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row>
    <row r="215" spans="1:61" s="19" customFormat="1" x14ac:dyDescent="0.25">
      <c r="A215" s="21"/>
      <c r="B215" s="21"/>
      <c r="E215" s="20"/>
      <c r="F215" s="21"/>
      <c r="G215" s="20"/>
      <c r="H215" s="64"/>
      <c r="I215" s="64"/>
      <c r="J215" s="64"/>
      <c r="K215" s="64"/>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row>
    <row r="216" spans="1:61" s="19" customFormat="1" x14ac:dyDescent="0.25">
      <c r="A216" s="21"/>
      <c r="B216" s="21"/>
      <c r="E216" s="20"/>
      <c r="F216" s="21"/>
      <c r="G216" s="20"/>
      <c r="H216" s="64"/>
      <c r="I216" s="64"/>
      <c r="J216" s="64"/>
      <c r="K216" s="64"/>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row>
    <row r="217" spans="1:61" s="19" customFormat="1" x14ac:dyDescent="0.25">
      <c r="A217" s="21"/>
      <c r="B217" s="21"/>
      <c r="E217" s="20"/>
      <c r="F217" s="21"/>
      <c r="G217" s="20"/>
      <c r="H217" s="64"/>
      <c r="I217" s="64"/>
      <c r="J217" s="64"/>
      <c r="K217" s="64"/>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row>
    <row r="218" spans="1:61" x14ac:dyDescent="0.25">
      <c r="A218" s="37"/>
    </row>
    <row r="219" spans="1:61" x14ac:dyDescent="0.25">
      <c r="A219" s="37"/>
    </row>
    <row r="220" spans="1:61" x14ac:dyDescent="0.25">
      <c r="A220" s="37"/>
    </row>
    <row r="221" spans="1:61" x14ac:dyDescent="0.25">
      <c r="A221" s="37"/>
    </row>
    <row r="222" spans="1:61" x14ac:dyDescent="0.25">
      <c r="A222" s="37"/>
    </row>
    <row r="223" spans="1:61" x14ac:dyDescent="0.25">
      <c r="A223" s="37"/>
    </row>
    <row r="224" spans="1:61" x14ac:dyDescent="0.25">
      <c r="A224" s="37"/>
    </row>
    <row r="225" spans="1:1" x14ac:dyDescent="0.25">
      <c r="A225" s="37"/>
    </row>
    <row r="226" spans="1:1" x14ac:dyDescent="0.25">
      <c r="A226" s="37"/>
    </row>
    <row r="227" spans="1:1" x14ac:dyDescent="0.25">
      <c r="A227" s="37"/>
    </row>
    <row r="228" spans="1:1" x14ac:dyDescent="0.25">
      <c r="A228" s="37"/>
    </row>
    <row r="229" spans="1:1" x14ac:dyDescent="0.25">
      <c r="A229" s="37"/>
    </row>
    <row r="230" spans="1:1" x14ac:dyDescent="0.25">
      <c r="A230" s="37"/>
    </row>
    <row r="231" spans="1:1" x14ac:dyDescent="0.25">
      <c r="A231" s="37"/>
    </row>
    <row r="232" spans="1:1" x14ac:dyDescent="0.25">
      <c r="A232" s="37"/>
    </row>
    <row r="233" spans="1:1" x14ac:dyDescent="0.25">
      <c r="A233" s="37"/>
    </row>
    <row r="234" spans="1:1" x14ac:dyDescent="0.25">
      <c r="A234" s="37"/>
    </row>
    <row r="235" spans="1:1" x14ac:dyDescent="0.25">
      <c r="A235" s="37"/>
    </row>
    <row r="236" spans="1:1" x14ac:dyDescent="0.25">
      <c r="A236" s="37"/>
    </row>
    <row r="237" spans="1:1" x14ac:dyDescent="0.25">
      <c r="A237" s="37"/>
    </row>
    <row r="238" spans="1:1" x14ac:dyDescent="0.25">
      <c r="A238" s="37"/>
    </row>
    <row r="239" spans="1:1" x14ac:dyDescent="0.25">
      <c r="A239" s="37"/>
    </row>
    <row r="240" spans="1:1" x14ac:dyDescent="0.25">
      <c r="A240" s="37"/>
    </row>
    <row r="241" spans="1:1" x14ac:dyDescent="0.25">
      <c r="A241" s="37"/>
    </row>
    <row r="242" spans="1:1" x14ac:dyDescent="0.25">
      <c r="A242" s="37"/>
    </row>
    <row r="243" spans="1:1" x14ac:dyDescent="0.25">
      <c r="A243" s="37"/>
    </row>
    <row r="244" spans="1:1" x14ac:dyDescent="0.25">
      <c r="A244" s="37"/>
    </row>
    <row r="245" spans="1:1" x14ac:dyDescent="0.25">
      <c r="A245" s="37"/>
    </row>
    <row r="246" spans="1:1" x14ac:dyDescent="0.25">
      <c r="A246" s="37"/>
    </row>
    <row r="247" spans="1:1" x14ac:dyDescent="0.25">
      <c r="A247" s="37"/>
    </row>
    <row r="248" spans="1:1" x14ac:dyDescent="0.25">
      <c r="A248" s="37"/>
    </row>
    <row r="249" spans="1:1" x14ac:dyDescent="0.25">
      <c r="A249" s="37"/>
    </row>
    <row r="250" spans="1:1" x14ac:dyDescent="0.25">
      <c r="A250" s="37"/>
    </row>
    <row r="251" spans="1:1" x14ac:dyDescent="0.25">
      <c r="A251" s="37"/>
    </row>
    <row r="252" spans="1:1" x14ac:dyDescent="0.25">
      <c r="A252" s="37"/>
    </row>
    <row r="253" spans="1:1" x14ac:dyDescent="0.25">
      <c r="A253" s="37"/>
    </row>
    <row r="254" spans="1:1" x14ac:dyDescent="0.25">
      <c r="A254" s="37"/>
    </row>
    <row r="255" spans="1:1" x14ac:dyDescent="0.25">
      <c r="A255" s="37"/>
    </row>
    <row r="256" spans="1:1" x14ac:dyDescent="0.25">
      <c r="A256" s="37"/>
    </row>
    <row r="257" spans="1:1" x14ac:dyDescent="0.25">
      <c r="A257" s="37"/>
    </row>
    <row r="258" spans="1:1" x14ac:dyDescent="0.25">
      <c r="A258" s="37"/>
    </row>
    <row r="259" spans="1:1" x14ac:dyDescent="0.25">
      <c r="A259" s="37"/>
    </row>
    <row r="260" spans="1:1" x14ac:dyDescent="0.25">
      <c r="A260" s="37"/>
    </row>
    <row r="261" spans="1:1" x14ac:dyDescent="0.25">
      <c r="A261" s="37"/>
    </row>
    <row r="262" spans="1:1" x14ac:dyDescent="0.25">
      <c r="A262" s="37"/>
    </row>
    <row r="263" spans="1:1" x14ac:dyDescent="0.25">
      <c r="A263" s="37"/>
    </row>
    <row r="264" spans="1:1" x14ac:dyDescent="0.25">
      <c r="A264" s="37"/>
    </row>
    <row r="265" spans="1:1" x14ac:dyDescent="0.25">
      <c r="A265" s="37"/>
    </row>
    <row r="266" spans="1:1" x14ac:dyDescent="0.25">
      <c r="A266" s="37"/>
    </row>
    <row r="267" spans="1:1" x14ac:dyDescent="0.25">
      <c r="A267" s="37"/>
    </row>
    <row r="268" spans="1:1" x14ac:dyDescent="0.25">
      <c r="A268" s="37"/>
    </row>
    <row r="269" spans="1:1" x14ac:dyDescent="0.25">
      <c r="A269" s="37"/>
    </row>
    <row r="270" spans="1:1" x14ac:dyDescent="0.25">
      <c r="A270" s="37"/>
    </row>
    <row r="271" spans="1:1" x14ac:dyDescent="0.25">
      <c r="A271" s="37"/>
    </row>
    <row r="272" spans="1:1" x14ac:dyDescent="0.25">
      <c r="A272" s="37"/>
    </row>
    <row r="273" spans="1:1" x14ac:dyDescent="0.25">
      <c r="A273" s="37"/>
    </row>
    <row r="274" spans="1:1" x14ac:dyDescent="0.25">
      <c r="A274" s="37"/>
    </row>
    <row r="275" spans="1:1" x14ac:dyDescent="0.25">
      <c r="A275" s="37"/>
    </row>
    <row r="276" spans="1:1" x14ac:dyDescent="0.25">
      <c r="A276" s="37"/>
    </row>
    <row r="277" spans="1:1" x14ac:dyDescent="0.25">
      <c r="A277" s="37"/>
    </row>
    <row r="278" spans="1:1" x14ac:dyDescent="0.25">
      <c r="A278" s="37"/>
    </row>
    <row r="279" spans="1:1" x14ac:dyDescent="0.25">
      <c r="A279" s="37"/>
    </row>
    <row r="280" spans="1:1" x14ac:dyDescent="0.25">
      <c r="A280" s="37"/>
    </row>
    <row r="281" spans="1:1" x14ac:dyDescent="0.25">
      <c r="A281" s="37"/>
    </row>
    <row r="282" spans="1:1" x14ac:dyDescent="0.25">
      <c r="A282" s="37"/>
    </row>
    <row r="283" spans="1:1" x14ac:dyDescent="0.25">
      <c r="A283" s="37"/>
    </row>
    <row r="284" spans="1:1" x14ac:dyDescent="0.25">
      <c r="A284" s="37"/>
    </row>
    <row r="285" spans="1:1" x14ac:dyDescent="0.25">
      <c r="A285" s="37"/>
    </row>
    <row r="286" spans="1:1" x14ac:dyDescent="0.25">
      <c r="A286" s="37"/>
    </row>
    <row r="287" spans="1:1" x14ac:dyDescent="0.25">
      <c r="A287" s="37"/>
    </row>
    <row r="288" spans="1:1" x14ac:dyDescent="0.25">
      <c r="A288" s="37"/>
    </row>
    <row r="289" spans="1:1" x14ac:dyDescent="0.25">
      <c r="A289" s="37"/>
    </row>
    <row r="290" spans="1:1" x14ac:dyDescent="0.25">
      <c r="A290" s="37"/>
    </row>
    <row r="291" spans="1:1" x14ac:dyDescent="0.25">
      <c r="A291" s="37"/>
    </row>
    <row r="292" spans="1:1" x14ac:dyDescent="0.25">
      <c r="A292" s="37"/>
    </row>
    <row r="293" spans="1:1" x14ac:dyDescent="0.25">
      <c r="A293" s="37"/>
    </row>
    <row r="294" spans="1:1" x14ac:dyDescent="0.25">
      <c r="A294" s="37"/>
    </row>
    <row r="295" spans="1:1" x14ac:dyDescent="0.25">
      <c r="A295" s="37"/>
    </row>
    <row r="296" spans="1:1" x14ac:dyDescent="0.25">
      <c r="A296" s="37"/>
    </row>
    <row r="297" spans="1:1" x14ac:dyDescent="0.25">
      <c r="A297" s="37"/>
    </row>
    <row r="298" spans="1:1" x14ac:dyDescent="0.25">
      <c r="A298" s="37"/>
    </row>
    <row r="299" spans="1:1" x14ac:dyDescent="0.25">
      <c r="A299" s="37"/>
    </row>
    <row r="300" spans="1:1" x14ac:dyDescent="0.25">
      <c r="A300" s="37"/>
    </row>
    <row r="301" spans="1:1" x14ac:dyDescent="0.25">
      <c r="A301" s="37"/>
    </row>
    <row r="302" spans="1:1" x14ac:dyDescent="0.25">
      <c r="A302" s="37"/>
    </row>
    <row r="303" spans="1:1" x14ac:dyDescent="0.25">
      <c r="A303" s="37"/>
    </row>
    <row r="304" spans="1:1" x14ac:dyDescent="0.25">
      <c r="A304" s="37"/>
    </row>
    <row r="305" spans="1:1" x14ac:dyDescent="0.25">
      <c r="A305" s="37"/>
    </row>
    <row r="306" spans="1:1" x14ac:dyDescent="0.25">
      <c r="A306" s="37"/>
    </row>
    <row r="307" spans="1:1" x14ac:dyDescent="0.25">
      <c r="A307" s="37"/>
    </row>
    <row r="308" spans="1:1" x14ac:dyDescent="0.25">
      <c r="A308" s="37"/>
    </row>
    <row r="309" spans="1:1" x14ac:dyDescent="0.25">
      <c r="A309" s="37"/>
    </row>
    <row r="310" spans="1:1" x14ac:dyDescent="0.25">
      <c r="A310" s="37"/>
    </row>
    <row r="311" spans="1:1" x14ac:dyDescent="0.25">
      <c r="A311" s="37"/>
    </row>
    <row r="312" spans="1:1" x14ac:dyDescent="0.25">
      <c r="A312" s="37"/>
    </row>
    <row r="313" spans="1:1" x14ac:dyDescent="0.25">
      <c r="A313" s="37"/>
    </row>
    <row r="314" spans="1:1" x14ac:dyDescent="0.25">
      <c r="A314" s="37"/>
    </row>
    <row r="315" spans="1:1" x14ac:dyDescent="0.25">
      <c r="A315" s="37"/>
    </row>
    <row r="316" spans="1:1" x14ac:dyDescent="0.25">
      <c r="A316" s="37"/>
    </row>
    <row r="317" spans="1:1" x14ac:dyDescent="0.25">
      <c r="A317" s="37"/>
    </row>
    <row r="318" spans="1:1" x14ac:dyDescent="0.25">
      <c r="A318" s="37"/>
    </row>
    <row r="319" spans="1:1" x14ac:dyDescent="0.25">
      <c r="A319" s="37"/>
    </row>
    <row r="320" spans="1:1" x14ac:dyDescent="0.25">
      <c r="A320" s="37"/>
    </row>
    <row r="321" spans="1:1" x14ac:dyDescent="0.25">
      <c r="A321" s="37"/>
    </row>
    <row r="322" spans="1:1" x14ac:dyDescent="0.25">
      <c r="A322" s="37"/>
    </row>
    <row r="323" spans="1:1" x14ac:dyDescent="0.25">
      <c r="A323" s="37"/>
    </row>
    <row r="324" spans="1:1" x14ac:dyDescent="0.25">
      <c r="A324" s="37"/>
    </row>
    <row r="325" spans="1:1" x14ac:dyDescent="0.25">
      <c r="A325" s="37"/>
    </row>
    <row r="326" spans="1:1" x14ac:dyDescent="0.25">
      <c r="A326" s="37"/>
    </row>
    <row r="327" spans="1:1" x14ac:dyDescent="0.25">
      <c r="A327" s="37"/>
    </row>
    <row r="328" spans="1:1" x14ac:dyDescent="0.25">
      <c r="A328" s="37"/>
    </row>
    <row r="329" spans="1:1" x14ac:dyDescent="0.25">
      <c r="A329" s="37"/>
    </row>
    <row r="330" spans="1:1" x14ac:dyDescent="0.25">
      <c r="A330" s="37"/>
    </row>
    <row r="331" spans="1:1" x14ac:dyDescent="0.25">
      <c r="A331" s="37"/>
    </row>
    <row r="332" spans="1:1" x14ac:dyDescent="0.25">
      <c r="A332" s="37"/>
    </row>
    <row r="333" spans="1:1" x14ac:dyDescent="0.25">
      <c r="A333" s="37"/>
    </row>
    <row r="334" spans="1:1" x14ac:dyDescent="0.25">
      <c r="A334" s="37"/>
    </row>
    <row r="335" spans="1:1" x14ac:dyDescent="0.25">
      <c r="A335" s="37"/>
    </row>
    <row r="336" spans="1:1" x14ac:dyDescent="0.25">
      <c r="A336" s="37"/>
    </row>
    <row r="337" spans="1:1" x14ac:dyDescent="0.25">
      <c r="A337" s="37"/>
    </row>
    <row r="338" spans="1:1" x14ac:dyDescent="0.25">
      <c r="A338" s="37"/>
    </row>
    <row r="339" spans="1:1" x14ac:dyDescent="0.25">
      <c r="A339" s="37"/>
    </row>
    <row r="340" spans="1:1" x14ac:dyDescent="0.25">
      <c r="A340" s="37"/>
    </row>
    <row r="341" spans="1:1" x14ac:dyDescent="0.25">
      <c r="A341" s="37"/>
    </row>
    <row r="342" spans="1:1" x14ac:dyDescent="0.25">
      <c r="A342" s="37"/>
    </row>
    <row r="343" spans="1:1" x14ac:dyDescent="0.25">
      <c r="A343" s="37"/>
    </row>
    <row r="344" spans="1:1" x14ac:dyDescent="0.25">
      <c r="A344" s="37"/>
    </row>
    <row r="345" spans="1:1" x14ac:dyDescent="0.25">
      <c r="A345" s="37"/>
    </row>
    <row r="346" spans="1:1" x14ac:dyDescent="0.25">
      <c r="A346" s="37"/>
    </row>
    <row r="347" spans="1:1" x14ac:dyDescent="0.25">
      <c r="A347" s="37"/>
    </row>
    <row r="348" spans="1:1" x14ac:dyDescent="0.25">
      <c r="A348" s="37"/>
    </row>
    <row r="349" spans="1:1" x14ac:dyDescent="0.25">
      <c r="A349" s="37"/>
    </row>
    <row r="350" spans="1:1" x14ac:dyDescent="0.25">
      <c r="A350" s="37"/>
    </row>
    <row r="351" spans="1:1" x14ac:dyDescent="0.25">
      <c r="A351" s="37"/>
    </row>
    <row r="352" spans="1:1" x14ac:dyDescent="0.25">
      <c r="A352" s="37"/>
    </row>
    <row r="353" spans="1:1" x14ac:dyDescent="0.25">
      <c r="A353" s="37"/>
    </row>
    <row r="354" spans="1:1" x14ac:dyDescent="0.25">
      <c r="A354" s="37"/>
    </row>
    <row r="355" spans="1:1" x14ac:dyDescent="0.25">
      <c r="A355" s="37"/>
    </row>
    <row r="356" spans="1:1" x14ac:dyDescent="0.25">
      <c r="A356" s="37"/>
    </row>
    <row r="357" spans="1:1" x14ac:dyDescent="0.25">
      <c r="A357" s="37"/>
    </row>
    <row r="358" spans="1:1" x14ac:dyDescent="0.25">
      <c r="A358" s="37"/>
    </row>
    <row r="359" spans="1:1" x14ac:dyDescent="0.25">
      <c r="A359" s="37"/>
    </row>
    <row r="360" spans="1:1" x14ac:dyDescent="0.25">
      <c r="A360" s="37"/>
    </row>
    <row r="361" spans="1:1" x14ac:dyDescent="0.25">
      <c r="A361" s="37"/>
    </row>
    <row r="362" spans="1:1" x14ac:dyDescent="0.25">
      <c r="A362" s="37"/>
    </row>
    <row r="363" spans="1:1" x14ac:dyDescent="0.25">
      <c r="A363" s="37"/>
    </row>
    <row r="364" spans="1:1" x14ac:dyDescent="0.25">
      <c r="A364" s="37"/>
    </row>
    <row r="365" spans="1:1" x14ac:dyDescent="0.25">
      <c r="A365" s="37"/>
    </row>
    <row r="366" spans="1:1" x14ac:dyDescent="0.25">
      <c r="A366" s="37"/>
    </row>
    <row r="367" spans="1:1" x14ac:dyDescent="0.25">
      <c r="A367" s="37"/>
    </row>
    <row r="368" spans="1:1" x14ac:dyDescent="0.25">
      <c r="A368" s="37"/>
    </row>
    <row r="369" spans="1:1" x14ac:dyDescent="0.25">
      <c r="A369" s="37"/>
    </row>
    <row r="370" spans="1:1" x14ac:dyDescent="0.25">
      <c r="A370" s="37"/>
    </row>
    <row r="371" spans="1:1" x14ac:dyDescent="0.25">
      <c r="A371" s="37"/>
    </row>
    <row r="372" spans="1:1" x14ac:dyDescent="0.25">
      <c r="A372" s="37"/>
    </row>
    <row r="373" spans="1:1" x14ac:dyDescent="0.25">
      <c r="A373" s="37"/>
    </row>
    <row r="374" spans="1:1" x14ac:dyDescent="0.25">
      <c r="A374" s="37"/>
    </row>
    <row r="375" spans="1:1" x14ac:dyDescent="0.25">
      <c r="A375" s="37"/>
    </row>
    <row r="376" spans="1:1" x14ac:dyDescent="0.25">
      <c r="A376" s="37"/>
    </row>
    <row r="377" spans="1:1" x14ac:dyDescent="0.25">
      <c r="A377" s="37"/>
    </row>
    <row r="378" spans="1:1" x14ac:dyDescent="0.25">
      <c r="A378" s="37"/>
    </row>
    <row r="379" spans="1:1" x14ac:dyDescent="0.25">
      <c r="A379" s="37"/>
    </row>
    <row r="380" spans="1:1" x14ac:dyDescent="0.25">
      <c r="A380" s="37"/>
    </row>
    <row r="381" spans="1:1" x14ac:dyDescent="0.25">
      <c r="A381" s="37"/>
    </row>
    <row r="382" spans="1:1" x14ac:dyDescent="0.25">
      <c r="A382" s="37"/>
    </row>
    <row r="383" spans="1:1" x14ac:dyDescent="0.25">
      <c r="A383" s="37"/>
    </row>
    <row r="384" spans="1:1" x14ac:dyDescent="0.25">
      <c r="A384" s="37"/>
    </row>
    <row r="385" spans="1:1" x14ac:dyDescent="0.25">
      <c r="A385" s="37"/>
    </row>
    <row r="386" spans="1:1" x14ac:dyDescent="0.25">
      <c r="A386" s="37"/>
    </row>
    <row r="387" spans="1:1" x14ac:dyDescent="0.25">
      <c r="A387" s="37"/>
    </row>
    <row r="388" spans="1:1" x14ac:dyDescent="0.25">
      <c r="A388" s="37"/>
    </row>
    <row r="389" spans="1:1" x14ac:dyDescent="0.25">
      <c r="A389" s="37"/>
    </row>
    <row r="390" spans="1:1" x14ac:dyDescent="0.25">
      <c r="A390" s="37"/>
    </row>
    <row r="391" spans="1:1" x14ac:dyDescent="0.25">
      <c r="A391" s="37"/>
    </row>
    <row r="392" spans="1:1" x14ac:dyDescent="0.25">
      <c r="A392" s="37"/>
    </row>
    <row r="393" spans="1:1" x14ac:dyDescent="0.25">
      <c r="A393" s="37"/>
    </row>
    <row r="394" spans="1:1" x14ac:dyDescent="0.25">
      <c r="A394" s="37"/>
    </row>
    <row r="395" spans="1:1" x14ac:dyDescent="0.25">
      <c r="A395" s="37"/>
    </row>
    <row r="396" spans="1:1" x14ac:dyDescent="0.25">
      <c r="A396" s="37"/>
    </row>
    <row r="397" spans="1:1" x14ac:dyDescent="0.25">
      <c r="A397" s="37"/>
    </row>
    <row r="398" spans="1:1" x14ac:dyDescent="0.25">
      <c r="A398" s="37"/>
    </row>
    <row r="399" spans="1:1" x14ac:dyDescent="0.25">
      <c r="A399" s="37"/>
    </row>
    <row r="400" spans="1:1" x14ac:dyDescent="0.25">
      <c r="A400" s="37"/>
    </row>
    <row r="401" spans="1:1" x14ac:dyDescent="0.25">
      <c r="A401" s="37"/>
    </row>
    <row r="402" spans="1:1" x14ac:dyDescent="0.25">
      <c r="A402" s="37"/>
    </row>
    <row r="403" spans="1:1" x14ac:dyDescent="0.25">
      <c r="A403" s="37"/>
    </row>
    <row r="404" spans="1:1" x14ac:dyDescent="0.25">
      <c r="A404" s="37"/>
    </row>
    <row r="405" spans="1:1" x14ac:dyDescent="0.25">
      <c r="A405" s="37"/>
    </row>
    <row r="406" spans="1:1" x14ac:dyDescent="0.25">
      <c r="A406" s="37"/>
    </row>
    <row r="407" spans="1:1" x14ac:dyDescent="0.25">
      <c r="A407" s="37"/>
    </row>
    <row r="408" spans="1:1" x14ac:dyDescent="0.25">
      <c r="A408" s="37"/>
    </row>
    <row r="409" spans="1:1" x14ac:dyDescent="0.25">
      <c r="A409" s="37"/>
    </row>
    <row r="410" spans="1:1" x14ac:dyDescent="0.25">
      <c r="A410" s="37"/>
    </row>
    <row r="411" spans="1:1" x14ac:dyDescent="0.25">
      <c r="A411" s="37"/>
    </row>
    <row r="412" spans="1:1" x14ac:dyDescent="0.25">
      <c r="A412" s="37"/>
    </row>
    <row r="413" spans="1:1" x14ac:dyDescent="0.25">
      <c r="A413" s="37"/>
    </row>
    <row r="414" spans="1:1" x14ac:dyDescent="0.25">
      <c r="A414" s="37"/>
    </row>
    <row r="415" spans="1:1" x14ac:dyDescent="0.25">
      <c r="A415" s="37"/>
    </row>
    <row r="416" spans="1:1" x14ac:dyDescent="0.25">
      <c r="A416" s="37"/>
    </row>
    <row r="417" spans="1:1" x14ac:dyDescent="0.25">
      <c r="A417" s="37"/>
    </row>
    <row r="418" spans="1:1" x14ac:dyDescent="0.25">
      <c r="A418" s="37"/>
    </row>
    <row r="419" spans="1:1" x14ac:dyDescent="0.25">
      <c r="A419" s="37"/>
    </row>
    <row r="420" spans="1:1" x14ac:dyDescent="0.25">
      <c r="A420" s="37"/>
    </row>
    <row r="421" spans="1:1" x14ac:dyDescent="0.25">
      <c r="A421" s="37"/>
    </row>
    <row r="422" spans="1:1" x14ac:dyDescent="0.25">
      <c r="A422" s="37"/>
    </row>
    <row r="423" spans="1:1" x14ac:dyDescent="0.25">
      <c r="A423" s="37"/>
    </row>
    <row r="424" spans="1:1" x14ac:dyDescent="0.25">
      <c r="A424" s="37"/>
    </row>
    <row r="425" spans="1:1" x14ac:dyDescent="0.25">
      <c r="A425" s="37"/>
    </row>
    <row r="426" spans="1:1" x14ac:dyDescent="0.25">
      <c r="A426" s="37"/>
    </row>
    <row r="427" spans="1:1" x14ac:dyDescent="0.25">
      <c r="A427" s="37"/>
    </row>
    <row r="428" spans="1:1" x14ac:dyDescent="0.25">
      <c r="A428" s="37"/>
    </row>
    <row r="429" spans="1:1" x14ac:dyDescent="0.25">
      <c r="A429" s="37"/>
    </row>
    <row r="430" spans="1:1" x14ac:dyDescent="0.25">
      <c r="A430" s="37"/>
    </row>
    <row r="431" spans="1:1" x14ac:dyDescent="0.25">
      <c r="A431" s="37"/>
    </row>
    <row r="432" spans="1:1" x14ac:dyDescent="0.25">
      <c r="A432" s="37"/>
    </row>
    <row r="433" spans="1:1" x14ac:dyDescent="0.25">
      <c r="A433" s="37"/>
    </row>
    <row r="434" spans="1:1" x14ac:dyDescent="0.25">
      <c r="A434" s="37"/>
    </row>
    <row r="435" spans="1:1" x14ac:dyDescent="0.25">
      <c r="A435" s="37"/>
    </row>
    <row r="436" spans="1:1" x14ac:dyDescent="0.25">
      <c r="A436" s="37"/>
    </row>
    <row r="437" spans="1:1" x14ac:dyDescent="0.25">
      <c r="A437" s="37"/>
    </row>
    <row r="438" spans="1:1" x14ac:dyDescent="0.25">
      <c r="A438" s="37"/>
    </row>
    <row r="439" spans="1:1" x14ac:dyDescent="0.25">
      <c r="A439" s="37"/>
    </row>
    <row r="440" spans="1:1" x14ac:dyDescent="0.25">
      <c r="A440" s="37"/>
    </row>
    <row r="441" spans="1:1" x14ac:dyDescent="0.25">
      <c r="A441" s="37"/>
    </row>
    <row r="442" spans="1:1" x14ac:dyDescent="0.25">
      <c r="A442" s="37"/>
    </row>
    <row r="443" spans="1:1" x14ac:dyDescent="0.25">
      <c r="A443" s="37"/>
    </row>
    <row r="444" spans="1:1" x14ac:dyDescent="0.25">
      <c r="A444" s="37"/>
    </row>
    <row r="445" spans="1:1" x14ac:dyDescent="0.25">
      <c r="A445" s="37"/>
    </row>
    <row r="446" spans="1:1" x14ac:dyDescent="0.25">
      <c r="A446" s="37"/>
    </row>
    <row r="447" spans="1:1" x14ac:dyDescent="0.25">
      <c r="A447" s="37"/>
    </row>
    <row r="448" spans="1:1" x14ac:dyDescent="0.25">
      <c r="A448" s="37"/>
    </row>
    <row r="449" spans="1:1" x14ac:dyDescent="0.25">
      <c r="A449" s="37"/>
    </row>
    <row r="450" spans="1:1" x14ac:dyDescent="0.25">
      <c r="A450" s="37"/>
    </row>
    <row r="451" spans="1:1" x14ac:dyDescent="0.25">
      <c r="A451" s="37"/>
    </row>
    <row r="452" spans="1:1" x14ac:dyDescent="0.25">
      <c r="A452" s="37"/>
    </row>
    <row r="453" spans="1:1" x14ac:dyDescent="0.25">
      <c r="A453" s="37"/>
    </row>
    <row r="454" spans="1:1" x14ac:dyDescent="0.25">
      <c r="A454" s="37"/>
    </row>
    <row r="455" spans="1:1" x14ac:dyDescent="0.25">
      <c r="A455" s="37"/>
    </row>
    <row r="456" spans="1:1" x14ac:dyDescent="0.25">
      <c r="A456" s="37"/>
    </row>
    <row r="457" spans="1:1" x14ac:dyDescent="0.25">
      <c r="A457" s="37"/>
    </row>
    <row r="458" spans="1:1" x14ac:dyDescent="0.25">
      <c r="A458" s="37"/>
    </row>
    <row r="459" spans="1:1" x14ac:dyDescent="0.25">
      <c r="A459" s="37"/>
    </row>
    <row r="460" spans="1:1" x14ac:dyDescent="0.25">
      <c r="A460" s="37"/>
    </row>
    <row r="461" spans="1:1" x14ac:dyDescent="0.25">
      <c r="A461" s="37"/>
    </row>
    <row r="462" spans="1:1" x14ac:dyDescent="0.25">
      <c r="A462" s="37"/>
    </row>
    <row r="463" spans="1:1" x14ac:dyDescent="0.25">
      <c r="A463" s="37"/>
    </row>
    <row r="464" spans="1:1" x14ac:dyDescent="0.25">
      <c r="A464" s="37"/>
    </row>
    <row r="465" spans="1:1" x14ac:dyDescent="0.25">
      <c r="A465" s="37"/>
    </row>
    <row r="466" spans="1:1" x14ac:dyDescent="0.25">
      <c r="A466" s="37"/>
    </row>
    <row r="467" spans="1:1" x14ac:dyDescent="0.25">
      <c r="A467" s="37"/>
    </row>
    <row r="468" spans="1:1" x14ac:dyDescent="0.25">
      <c r="A468" s="37"/>
    </row>
    <row r="469" spans="1:1" x14ac:dyDescent="0.25">
      <c r="A469" s="37"/>
    </row>
    <row r="470" spans="1:1" x14ac:dyDescent="0.25">
      <c r="A470" s="37"/>
    </row>
    <row r="471" spans="1:1" x14ac:dyDescent="0.25">
      <c r="A471" s="37"/>
    </row>
    <row r="472" spans="1:1" x14ac:dyDescent="0.25">
      <c r="A472" s="37"/>
    </row>
    <row r="473" spans="1:1" x14ac:dyDescent="0.25">
      <c r="A473" s="37"/>
    </row>
    <row r="474" spans="1:1" x14ac:dyDescent="0.25">
      <c r="A474" s="37"/>
    </row>
    <row r="475" spans="1:1" x14ac:dyDescent="0.25">
      <c r="A475" s="37"/>
    </row>
    <row r="476" spans="1:1" x14ac:dyDescent="0.25">
      <c r="A476" s="37"/>
    </row>
    <row r="477" spans="1:1" x14ac:dyDescent="0.25">
      <c r="A477" s="37"/>
    </row>
    <row r="478" spans="1:1" x14ac:dyDescent="0.25">
      <c r="A478" s="37"/>
    </row>
    <row r="479" spans="1:1" x14ac:dyDescent="0.25">
      <c r="A479" s="37"/>
    </row>
    <row r="480" spans="1:1" x14ac:dyDescent="0.25">
      <c r="A480" s="37"/>
    </row>
    <row r="481" spans="1:1" x14ac:dyDescent="0.25">
      <c r="A481" s="37"/>
    </row>
    <row r="482" spans="1:1" x14ac:dyDescent="0.25">
      <c r="A482" s="37"/>
    </row>
    <row r="483" spans="1:1" x14ac:dyDescent="0.25">
      <c r="A483" s="37"/>
    </row>
    <row r="484" spans="1:1" x14ac:dyDescent="0.25">
      <c r="A484" s="37"/>
    </row>
    <row r="485" spans="1:1" x14ac:dyDescent="0.25">
      <c r="A485" s="37"/>
    </row>
    <row r="486" spans="1:1" x14ac:dyDescent="0.25">
      <c r="A486" s="37"/>
    </row>
    <row r="487" spans="1:1" x14ac:dyDescent="0.25">
      <c r="A487" s="37"/>
    </row>
    <row r="488" spans="1:1" x14ac:dyDescent="0.25">
      <c r="A488" s="37"/>
    </row>
    <row r="489" spans="1:1" x14ac:dyDescent="0.25">
      <c r="A489" s="37"/>
    </row>
    <row r="490" spans="1:1" x14ac:dyDescent="0.25">
      <c r="A490" s="37"/>
    </row>
    <row r="491" spans="1:1" x14ac:dyDescent="0.25">
      <c r="A491" s="37"/>
    </row>
    <row r="492" spans="1:1" x14ac:dyDescent="0.25">
      <c r="A492" s="37"/>
    </row>
    <row r="493" spans="1:1" x14ac:dyDescent="0.25">
      <c r="A493" s="37"/>
    </row>
    <row r="494" spans="1:1" x14ac:dyDescent="0.25">
      <c r="A494" s="37"/>
    </row>
    <row r="495" spans="1:1" x14ac:dyDescent="0.25">
      <c r="A495" s="37"/>
    </row>
    <row r="496" spans="1:1" x14ac:dyDescent="0.25">
      <c r="A496" s="37"/>
    </row>
    <row r="497" spans="1:1" x14ac:dyDescent="0.25">
      <c r="A497" s="37"/>
    </row>
    <row r="498" spans="1:1" x14ac:dyDescent="0.25">
      <c r="A498" s="37"/>
    </row>
    <row r="499" spans="1:1" x14ac:dyDescent="0.25">
      <c r="A499" s="37"/>
    </row>
    <row r="500" spans="1:1" x14ac:dyDescent="0.25">
      <c r="A500" s="37"/>
    </row>
    <row r="501" spans="1:1" x14ac:dyDescent="0.25">
      <c r="A501" s="37"/>
    </row>
    <row r="502" spans="1:1" x14ac:dyDescent="0.25">
      <c r="A502" s="37"/>
    </row>
    <row r="503" spans="1:1" x14ac:dyDescent="0.25">
      <c r="A503" s="37"/>
    </row>
    <row r="504" spans="1:1" x14ac:dyDescent="0.25">
      <c r="A504" s="37"/>
    </row>
    <row r="505" spans="1:1" x14ac:dyDescent="0.25">
      <c r="A505" s="37"/>
    </row>
    <row r="506" spans="1:1" x14ac:dyDescent="0.25">
      <c r="A506" s="37"/>
    </row>
    <row r="507" spans="1:1" x14ac:dyDescent="0.25">
      <c r="A507" s="37"/>
    </row>
    <row r="508" spans="1:1" x14ac:dyDescent="0.25">
      <c r="A508" s="37"/>
    </row>
    <row r="509" spans="1:1" x14ac:dyDescent="0.25">
      <c r="A509" s="37"/>
    </row>
    <row r="510" spans="1:1" x14ac:dyDescent="0.25">
      <c r="A510" s="37"/>
    </row>
    <row r="511" spans="1:1" x14ac:dyDescent="0.25">
      <c r="A511" s="37"/>
    </row>
    <row r="512" spans="1:1" x14ac:dyDescent="0.25">
      <c r="A512" s="37"/>
    </row>
    <row r="513" spans="1:1" x14ac:dyDescent="0.25">
      <c r="A513" s="37"/>
    </row>
    <row r="514" spans="1:1" x14ac:dyDescent="0.25">
      <c r="A514" s="37"/>
    </row>
    <row r="515" spans="1:1" x14ac:dyDescent="0.25">
      <c r="A515" s="37"/>
    </row>
    <row r="516" spans="1:1" x14ac:dyDescent="0.25">
      <c r="A516" s="37"/>
    </row>
    <row r="517" spans="1:1" x14ac:dyDescent="0.25">
      <c r="A517" s="37"/>
    </row>
    <row r="518" spans="1:1" x14ac:dyDescent="0.25">
      <c r="A518" s="37"/>
    </row>
    <row r="519" spans="1:1" x14ac:dyDescent="0.25">
      <c r="A519" s="37"/>
    </row>
    <row r="520" spans="1:1" x14ac:dyDescent="0.25">
      <c r="A520" s="37"/>
    </row>
    <row r="521" spans="1:1" x14ac:dyDescent="0.25">
      <c r="A521" s="37"/>
    </row>
    <row r="522" spans="1:1" x14ac:dyDescent="0.25">
      <c r="A522" s="37"/>
    </row>
    <row r="523" spans="1:1" x14ac:dyDescent="0.25">
      <c r="A523" s="37"/>
    </row>
    <row r="524" spans="1:1" x14ac:dyDescent="0.25">
      <c r="A524" s="37"/>
    </row>
    <row r="525" spans="1:1" x14ac:dyDescent="0.25">
      <c r="A525" s="37"/>
    </row>
    <row r="526" spans="1:1" x14ac:dyDescent="0.25">
      <c r="A526" s="37"/>
    </row>
    <row r="527" spans="1:1" x14ac:dyDescent="0.25">
      <c r="A527" s="37"/>
    </row>
    <row r="528" spans="1:1" x14ac:dyDescent="0.25">
      <c r="A528" s="37"/>
    </row>
    <row r="529" spans="1:1" x14ac:dyDescent="0.25">
      <c r="A529" s="37"/>
    </row>
    <row r="530" spans="1:1" x14ac:dyDescent="0.25">
      <c r="A530" s="37"/>
    </row>
    <row r="531" spans="1:1" x14ac:dyDescent="0.25">
      <c r="A531" s="37"/>
    </row>
    <row r="532" spans="1:1" x14ac:dyDescent="0.25">
      <c r="A532" s="37"/>
    </row>
    <row r="533" spans="1:1" x14ac:dyDescent="0.25">
      <c r="A533" s="37"/>
    </row>
    <row r="534" spans="1:1" x14ac:dyDescent="0.25">
      <c r="A534" s="37"/>
    </row>
    <row r="535" spans="1:1" x14ac:dyDescent="0.25">
      <c r="A535" s="37"/>
    </row>
    <row r="536" spans="1:1" x14ac:dyDescent="0.25">
      <c r="A536" s="37"/>
    </row>
    <row r="537" spans="1:1" x14ac:dyDescent="0.25">
      <c r="A537" s="37"/>
    </row>
    <row r="538" spans="1:1" x14ac:dyDescent="0.25">
      <c r="A538" s="37"/>
    </row>
    <row r="539" spans="1:1" x14ac:dyDescent="0.25">
      <c r="A539" s="37"/>
    </row>
    <row r="540" spans="1:1" x14ac:dyDescent="0.25">
      <c r="A540" s="37"/>
    </row>
    <row r="541" spans="1:1" x14ac:dyDescent="0.25">
      <c r="A541" s="37"/>
    </row>
    <row r="542" spans="1:1" x14ac:dyDescent="0.25">
      <c r="A542" s="37"/>
    </row>
    <row r="543" spans="1:1" x14ac:dyDescent="0.25">
      <c r="A543" s="37"/>
    </row>
    <row r="544" spans="1:1" x14ac:dyDescent="0.25">
      <c r="A544" s="37"/>
    </row>
    <row r="545" spans="1:1" x14ac:dyDescent="0.25">
      <c r="A545" s="37"/>
    </row>
  </sheetData>
  <sortState xmlns:xlrd2="http://schemas.microsoft.com/office/spreadsheetml/2017/richdata2" ref="A2:L218">
    <sortCondition ref="A2:A218"/>
    <sortCondition ref="C2:C218"/>
  </sortState>
  <phoneticPr fontId="8" type="noConversion"/>
  <pageMargins left="0.25" right="0.25" top="0.75" bottom="0.75" header="0.3" footer="0.3"/>
  <pageSetup paperSize="9" scale="1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03327-7F66-424F-8C26-553B835DEC33}">
  <dimension ref="A1:S30"/>
  <sheetViews>
    <sheetView workbookViewId="0">
      <selection activeCell="H17" sqref="H17"/>
    </sheetView>
  </sheetViews>
  <sheetFormatPr defaultRowHeight="15" x14ac:dyDescent="0.25"/>
  <cols>
    <col min="2" max="2" width="20.42578125" customWidth="1"/>
    <col min="3" max="3" width="39" customWidth="1"/>
    <col min="7" max="7" width="10.28515625" customWidth="1"/>
    <col min="8" max="8" width="20.85546875" customWidth="1"/>
    <col min="9" max="9" width="13.85546875" customWidth="1"/>
    <col min="10" max="10" width="3" customWidth="1"/>
    <col min="11" max="11" width="14.140625" customWidth="1"/>
    <col min="12" max="12" width="9.85546875" customWidth="1"/>
    <col min="13" max="13" width="15.7109375" customWidth="1"/>
    <col min="14" max="14" width="13" customWidth="1"/>
    <col min="15" max="15" width="10.42578125" customWidth="1"/>
    <col min="19" max="19" width="14.28515625" customWidth="1"/>
    <col min="20" max="20" width="13.42578125" customWidth="1"/>
  </cols>
  <sheetData>
    <row r="1" spans="1:19" s="109" customFormat="1" ht="18.75" x14ac:dyDescent="0.3">
      <c r="B1" s="110" t="s">
        <v>609</v>
      </c>
    </row>
    <row r="2" spans="1:19" x14ac:dyDescent="0.25">
      <c r="B2" s="60"/>
    </row>
    <row r="3" spans="1:19" x14ac:dyDescent="0.25">
      <c r="B3" s="3" t="s">
        <v>514</v>
      </c>
    </row>
    <row r="4" spans="1:19" x14ac:dyDescent="0.25">
      <c r="B4" t="s">
        <v>562</v>
      </c>
    </row>
    <row r="6" spans="1:19" x14ac:dyDescent="0.25">
      <c r="A6" s="45"/>
      <c r="B6" s="46" t="s">
        <v>300</v>
      </c>
      <c r="C6" s="47"/>
      <c r="D6" s="47"/>
      <c r="E6" s="47"/>
      <c r="F6" s="47"/>
      <c r="G6" s="47"/>
      <c r="H6" s="47"/>
      <c r="I6" s="48"/>
      <c r="K6" s="45"/>
      <c r="L6" s="46" t="s">
        <v>459</v>
      </c>
      <c r="M6" s="47"/>
      <c r="N6" s="47"/>
      <c r="O6" s="47"/>
      <c r="P6" s="47"/>
      <c r="Q6" s="47"/>
      <c r="R6" s="47"/>
      <c r="S6" s="48"/>
    </row>
    <row r="7" spans="1:19" s="91" customFormat="1" ht="75" x14ac:dyDescent="0.25">
      <c r="A7" s="93" t="s">
        <v>555</v>
      </c>
      <c r="B7" s="91" t="s">
        <v>556</v>
      </c>
      <c r="C7" s="91" t="s">
        <v>557</v>
      </c>
      <c r="D7" s="91" t="s">
        <v>558</v>
      </c>
      <c r="E7" s="91" t="s">
        <v>559</v>
      </c>
      <c r="F7" s="91" t="s">
        <v>560</v>
      </c>
      <c r="G7" s="91" t="s">
        <v>561</v>
      </c>
      <c r="H7" s="91" t="s">
        <v>565</v>
      </c>
      <c r="I7" s="94" t="s">
        <v>566</v>
      </c>
      <c r="K7" s="93"/>
      <c r="L7" s="91" t="s">
        <v>288</v>
      </c>
      <c r="M7" s="91" t="s">
        <v>568</v>
      </c>
      <c r="N7" s="91" t="s">
        <v>265</v>
      </c>
      <c r="O7" s="91" t="s">
        <v>266</v>
      </c>
      <c r="P7" s="91" t="s">
        <v>567</v>
      </c>
      <c r="Q7" s="91" t="s">
        <v>563</v>
      </c>
      <c r="R7" s="91" t="s">
        <v>564</v>
      </c>
      <c r="S7" s="94" t="s">
        <v>460</v>
      </c>
    </row>
    <row r="8" spans="1:19" x14ac:dyDescent="0.25">
      <c r="A8" s="95">
        <v>-29</v>
      </c>
      <c r="B8" t="s">
        <v>310</v>
      </c>
      <c r="C8" t="s">
        <v>248</v>
      </c>
      <c r="D8" s="1">
        <v>7.86</v>
      </c>
      <c r="E8" s="1">
        <v>95</v>
      </c>
      <c r="F8" s="1">
        <v>12.09</v>
      </c>
      <c r="G8" s="1">
        <f>ROUND(E8/25,3)</f>
        <v>3.8</v>
      </c>
      <c r="H8" s="54">
        <f>ROUND(E8/D8,2)</f>
        <v>12.09</v>
      </c>
      <c r="I8" s="51">
        <f>ROUND(100*(H8-F8)/H8,3)</f>
        <v>0</v>
      </c>
      <c r="J8" s="1"/>
      <c r="K8" s="49"/>
      <c r="L8" s="1">
        <v>3.8</v>
      </c>
      <c r="M8" s="1">
        <v>25</v>
      </c>
      <c r="N8" s="1">
        <v>100</v>
      </c>
      <c r="O8" s="1">
        <f>ROUND(L8*N8/100,2)</f>
        <v>3.8</v>
      </c>
      <c r="P8" s="1">
        <f>ROUND(100*(O8-G8)/O8,2)</f>
        <v>0</v>
      </c>
      <c r="Q8" s="1">
        <f>ROUND(100*O8/L8,3)</f>
        <v>100</v>
      </c>
      <c r="R8" s="1">
        <f>ROUND(100*(N8-Q8)/Q8,3)</f>
        <v>0</v>
      </c>
      <c r="S8" s="58">
        <f>ROUND(L8*M8/D8,2)</f>
        <v>12.09</v>
      </c>
    </row>
    <row r="9" spans="1:19" x14ac:dyDescent="0.25">
      <c r="A9" s="95">
        <v>13</v>
      </c>
      <c r="B9" t="s">
        <v>310</v>
      </c>
      <c r="C9" t="s">
        <v>248</v>
      </c>
      <c r="D9" s="1">
        <v>7.86</v>
      </c>
      <c r="E9" s="1">
        <v>95</v>
      </c>
      <c r="F9" s="1">
        <v>12.09</v>
      </c>
      <c r="G9" s="1">
        <f t="shared" ref="G9:G30" si="0">ROUND(E9/25,3)</f>
        <v>3.8</v>
      </c>
      <c r="H9" s="54">
        <f t="shared" ref="H9" si="1">ROUND(E9/D9,2)</f>
        <v>12.09</v>
      </c>
      <c r="I9" s="51">
        <f t="shared" ref="I9:I30" si="2">ROUND(100*(H9-F9)/H9,3)</f>
        <v>0</v>
      </c>
      <c r="J9" s="1"/>
      <c r="K9" s="49"/>
      <c r="L9" s="1">
        <v>3.8</v>
      </c>
      <c r="M9" s="1">
        <v>25</v>
      </c>
      <c r="N9" s="1">
        <v>100</v>
      </c>
      <c r="O9" s="1">
        <f t="shared" ref="O9" si="3">ROUND(L9*N9/100,2)</f>
        <v>3.8</v>
      </c>
      <c r="P9" s="1">
        <f t="shared" ref="P9:P29" si="4">ROUND(100*(O9-G9)/O9,2)</f>
        <v>0</v>
      </c>
      <c r="Q9" s="1">
        <f t="shared" ref="Q9:Q30" si="5">ROUND(100*O9/L9,3)</f>
        <v>100</v>
      </c>
      <c r="R9" s="1">
        <f t="shared" ref="R9:R30" si="6">ROUND(100*(N9-Q9)/Q9,3)</f>
        <v>0</v>
      </c>
      <c r="S9" s="58">
        <f t="shared" ref="S9:S29" si="7">ROUND(L9*M9/D9,2)</f>
        <v>12.09</v>
      </c>
    </row>
    <row r="10" spans="1:19" x14ac:dyDescent="0.25">
      <c r="A10" s="95">
        <v>15</v>
      </c>
      <c r="B10" t="s">
        <v>311</v>
      </c>
      <c r="C10" t="s">
        <v>249</v>
      </c>
      <c r="D10" s="1">
        <v>7.78</v>
      </c>
      <c r="E10" s="1">
        <v>93.75</v>
      </c>
      <c r="F10" s="1">
        <v>12.05</v>
      </c>
      <c r="G10" s="1">
        <f t="shared" si="0"/>
        <v>3.75</v>
      </c>
      <c r="H10" s="54">
        <f t="shared" ref="H10:H30" si="8">ROUND(E10/D10,2)</f>
        <v>12.05</v>
      </c>
      <c r="I10" s="51">
        <f t="shared" si="2"/>
        <v>0</v>
      </c>
      <c r="J10" s="1"/>
      <c r="K10" s="49"/>
      <c r="L10" s="1">
        <v>3.75</v>
      </c>
      <c r="M10" s="1">
        <v>25</v>
      </c>
      <c r="N10" s="1">
        <v>100</v>
      </c>
      <c r="O10" s="1">
        <f t="shared" ref="O10:O28" si="9">ROUND(L10*N10/100,2)</f>
        <v>3.75</v>
      </c>
      <c r="P10" s="1">
        <f t="shared" si="4"/>
        <v>0</v>
      </c>
      <c r="Q10" s="1">
        <f t="shared" si="5"/>
        <v>100</v>
      </c>
      <c r="R10" s="1">
        <f t="shared" si="6"/>
        <v>0</v>
      </c>
      <c r="S10" s="58">
        <f t="shared" si="7"/>
        <v>12.05</v>
      </c>
    </row>
    <row r="11" spans="1:19" x14ac:dyDescent="0.25">
      <c r="A11" s="95">
        <v>50</v>
      </c>
      <c r="B11" t="s">
        <v>311</v>
      </c>
      <c r="C11" t="s">
        <v>249</v>
      </c>
      <c r="D11" s="1">
        <v>7.78</v>
      </c>
      <c r="E11" s="1">
        <v>93.75</v>
      </c>
      <c r="F11" s="1">
        <v>12.05</v>
      </c>
      <c r="G11" s="1">
        <f t="shared" si="0"/>
        <v>3.75</v>
      </c>
      <c r="H11" s="54">
        <f t="shared" ref="H11" si="10">ROUND(E11/D11,2)</f>
        <v>12.05</v>
      </c>
      <c r="I11" s="51">
        <f t="shared" si="2"/>
        <v>0</v>
      </c>
      <c r="J11" s="1"/>
      <c r="K11" s="49"/>
      <c r="L11" s="1">
        <v>3.75</v>
      </c>
      <c r="M11" s="1">
        <v>25</v>
      </c>
      <c r="N11" s="1">
        <v>100</v>
      </c>
      <c r="O11" s="1">
        <f t="shared" ref="O11" si="11">ROUND(L11*N11/100,2)</f>
        <v>3.75</v>
      </c>
      <c r="P11" s="1">
        <f t="shared" si="4"/>
        <v>0</v>
      </c>
      <c r="Q11" s="1">
        <f t="shared" si="5"/>
        <v>100</v>
      </c>
      <c r="R11" s="1">
        <f t="shared" si="6"/>
        <v>0</v>
      </c>
      <c r="S11" s="58">
        <f t="shared" si="7"/>
        <v>12.05</v>
      </c>
    </row>
    <row r="12" spans="1:19" x14ac:dyDescent="0.25">
      <c r="A12" s="95">
        <v>52</v>
      </c>
      <c r="B12" t="s">
        <v>312</v>
      </c>
      <c r="C12" t="s">
        <v>250</v>
      </c>
      <c r="D12" s="1">
        <v>7.66</v>
      </c>
      <c r="E12" s="1">
        <v>91.25</v>
      </c>
      <c r="F12" s="1">
        <v>11.91</v>
      </c>
      <c r="G12" s="1">
        <f t="shared" si="0"/>
        <v>3.65</v>
      </c>
      <c r="H12" s="54">
        <f t="shared" si="8"/>
        <v>11.91</v>
      </c>
      <c r="I12" s="51">
        <f t="shared" si="2"/>
        <v>0</v>
      </c>
      <c r="J12" s="1"/>
      <c r="K12" s="49"/>
      <c r="L12" s="1">
        <v>3.65</v>
      </c>
      <c r="M12" s="1">
        <v>25</v>
      </c>
      <c r="N12" s="1">
        <v>100</v>
      </c>
      <c r="O12" s="1">
        <f t="shared" si="9"/>
        <v>3.65</v>
      </c>
      <c r="P12" s="1">
        <f t="shared" si="4"/>
        <v>0</v>
      </c>
      <c r="Q12" s="1">
        <f t="shared" si="5"/>
        <v>100</v>
      </c>
      <c r="R12" s="1">
        <f t="shared" si="6"/>
        <v>0</v>
      </c>
      <c r="S12" s="58">
        <f t="shared" si="7"/>
        <v>11.91</v>
      </c>
    </row>
    <row r="13" spans="1:19" x14ac:dyDescent="0.25">
      <c r="A13" s="95">
        <v>63</v>
      </c>
      <c r="B13" t="s">
        <v>312</v>
      </c>
      <c r="C13" t="s">
        <v>250</v>
      </c>
      <c r="D13" s="1">
        <v>7.66</v>
      </c>
      <c r="E13" s="1">
        <v>91.25</v>
      </c>
      <c r="F13" s="1">
        <v>11.91</v>
      </c>
      <c r="G13" s="1">
        <f t="shared" si="0"/>
        <v>3.65</v>
      </c>
      <c r="H13" s="54">
        <f t="shared" ref="H13" si="12">ROUND(E13/D13,2)</f>
        <v>11.91</v>
      </c>
      <c r="I13" s="51">
        <f t="shared" si="2"/>
        <v>0</v>
      </c>
      <c r="J13" s="1"/>
      <c r="K13" s="49"/>
      <c r="L13" s="1">
        <v>3.65</v>
      </c>
      <c r="M13" s="1">
        <v>25</v>
      </c>
      <c r="N13" s="1">
        <v>100</v>
      </c>
      <c r="O13" s="1">
        <f t="shared" ref="O13" si="13">ROUND(L13*N13/100,2)</f>
        <v>3.65</v>
      </c>
      <c r="P13" s="1">
        <f t="shared" si="4"/>
        <v>0</v>
      </c>
      <c r="Q13" s="1">
        <f t="shared" si="5"/>
        <v>100</v>
      </c>
      <c r="R13" s="1">
        <f t="shared" si="6"/>
        <v>0</v>
      </c>
      <c r="S13" s="58">
        <f t="shared" si="7"/>
        <v>11.91</v>
      </c>
    </row>
    <row r="14" spans="1:19" x14ac:dyDescent="0.25">
      <c r="A14" s="95">
        <v>66</v>
      </c>
      <c r="B14" t="s">
        <v>313</v>
      </c>
      <c r="C14" t="s">
        <v>251</v>
      </c>
      <c r="D14" s="1">
        <v>7.35</v>
      </c>
      <c r="E14" s="1">
        <v>69</v>
      </c>
      <c r="F14" s="1">
        <v>9.4</v>
      </c>
      <c r="G14" s="1">
        <f t="shared" si="0"/>
        <v>2.76</v>
      </c>
      <c r="H14" s="54">
        <f t="shared" si="8"/>
        <v>9.39</v>
      </c>
      <c r="I14" s="51">
        <f t="shared" si="2"/>
        <v>-0.106</v>
      </c>
      <c r="J14" s="1"/>
      <c r="K14" s="49"/>
      <c r="L14" s="1">
        <v>3.45</v>
      </c>
      <c r="M14" s="1">
        <v>25</v>
      </c>
      <c r="N14" s="1">
        <v>80</v>
      </c>
      <c r="O14" s="1">
        <f t="shared" si="9"/>
        <v>2.76</v>
      </c>
      <c r="P14" s="1">
        <f t="shared" si="4"/>
        <v>0</v>
      </c>
      <c r="Q14" s="1">
        <f t="shared" si="5"/>
        <v>80</v>
      </c>
      <c r="R14" s="1">
        <f t="shared" si="6"/>
        <v>0</v>
      </c>
      <c r="S14" s="58">
        <f t="shared" si="7"/>
        <v>11.73</v>
      </c>
    </row>
    <row r="15" spans="1:19" x14ac:dyDescent="0.25">
      <c r="A15" s="95">
        <v>68</v>
      </c>
      <c r="B15" t="s">
        <v>314</v>
      </c>
      <c r="C15" t="s">
        <v>252</v>
      </c>
      <c r="D15" s="1">
        <v>7.35</v>
      </c>
      <c r="E15" s="1">
        <v>77.75</v>
      </c>
      <c r="F15" s="1">
        <v>10.59</v>
      </c>
      <c r="G15" s="1">
        <f t="shared" si="0"/>
        <v>3.11</v>
      </c>
      <c r="H15" s="54">
        <f t="shared" si="8"/>
        <v>10.58</v>
      </c>
      <c r="I15" s="51">
        <f t="shared" si="2"/>
        <v>-9.5000000000000001E-2</v>
      </c>
      <c r="J15" s="1"/>
      <c r="K15" s="49"/>
      <c r="L15" s="1">
        <v>3.45</v>
      </c>
      <c r="M15" s="1">
        <v>25</v>
      </c>
      <c r="N15" s="1">
        <v>90</v>
      </c>
      <c r="O15" s="1">
        <f t="shared" si="9"/>
        <v>3.11</v>
      </c>
      <c r="P15" s="1">
        <f t="shared" si="4"/>
        <v>0</v>
      </c>
      <c r="Q15" s="1">
        <f t="shared" si="5"/>
        <v>90.144999999999996</v>
      </c>
      <c r="R15" s="1">
        <f>ROUND(100*(N15-Q15)/Q15,3)</f>
        <v>-0.161</v>
      </c>
      <c r="S15" s="58">
        <f t="shared" si="7"/>
        <v>11.73</v>
      </c>
    </row>
    <row r="16" spans="1:19" x14ac:dyDescent="0.25">
      <c r="A16" s="95">
        <v>69</v>
      </c>
      <c r="B16" t="s">
        <v>315</v>
      </c>
      <c r="C16" t="s">
        <v>253</v>
      </c>
      <c r="D16" s="1">
        <v>7.35</v>
      </c>
      <c r="E16" s="1">
        <v>77.75</v>
      </c>
      <c r="F16" s="1">
        <v>10.59</v>
      </c>
      <c r="G16" s="1">
        <f t="shared" si="0"/>
        <v>3.11</v>
      </c>
      <c r="H16" s="54">
        <f t="shared" si="8"/>
        <v>10.58</v>
      </c>
      <c r="I16" s="51">
        <f t="shared" si="2"/>
        <v>-9.5000000000000001E-2</v>
      </c>
      <c r="J16" s="1"/>
      <c r="K16" s="49"/>
      <c r="L16" s="1">
        <v>3.45</v>
      </c>
      <c r="M16" s="1">
        <v>25</v>
      </c>
      <c r="N16" s="1">
        <v>90</v>
      </c>
      <c r="O16" s="1">
        <f t="shared" si="9"/>
        <v>3.11</v>
      </c>
      <c r="P16" s="1">
        <f t="shared" si="4"/>
        <v>0</v>
      </c>
      <c r="Q16" s="1">
        <f t="shared" si="5"/>
        <v>90.144999999999996</v>
      </c>
      <c r="R16" s="1">
        <f t="shared" si="6"/>
        <v>-0.161</v>
      </c>
      <c r="S16" s="58">
        <f t="shared" si="7"/>
        <v>11.73</v>
      </c>
    </row>
    <row r="17" spans="1:19" x14ac:dyDescent="0.25">
      <c r="A17" s="95">
        <v>69</v>
      </c>
      <c r="B17" t="s">
        <v>316</v>
      </c>
      <c r="C17" t="s">
        <v>254</v>
      </c>
      <c r="D17" s="1">
        <v>7.35</v>
      </c>
      <c r="E17" s="1">
        <v>77.75</v>
      </c>
      <c r="F17" s="1">
        <v>10.59</v>
      </c>
      <c r="G17" s="1">
        <f t="shared" si="0"/>
        <v>3.11</v>
      </c>
      <c r="H17" s="54">
        <f t="shared" si="8"/>
        <v>10.58</v>
      </c>
      <c r="I17" s="51">
        <f t="shared" si="2"/>
        <v>-9.5000000000000001E-2</v>
      </c>
      <c r="J17" s="1"/>
      <c r="K17" s="49"/>
      <c r="L17" s="1">
        <v>3.45</v>
      </c>
      <c r="M17" s="1">
        <v>25</v>
      </c>
      <c r="N17" s="1">
        <v>90</v>
      </c>
      <c r="O17" s="1">
        <f t="shared" si="9"/>
        <v>3.11</v>
      </c>
      <c r="P17" s="1">
        <f t="shared" si="4"/>
        <v>0</v>
      </c>
      <c r="Q17" s="1">
        <f t="shared" si="5"/>
        <v>90.144999999999996</v>
      </c>
      <c r="R17" s="1">
        <f t="shared" si="6"/>
        <v>-0.161</v>
      </c>
      <c r="S17" s="58">
        <f t="shared" si="7"/>
        <v>11.73</v>
      </c>
    </row>
    <row r="18" spans="1:19" x14ac:dyDescent="0.25">
      <c r="A18" s="95">
        <v>69</v>
      </c>
      <c r="B18" t="s">
        <v>316</v>
      </c>
      <c r="C18" t="s">
        <v>255</v>
      </c>
      <c r="D18" s="1">
        <v>7.35</v>
      </c>
      <c r="E18" s="1">
        <v>67</v>
      </c>
      <c r="F18" s="1">
        <v>9.1199999999999992</v>
      </c>
      <c r="G18" s="1">
        <f t="shared" si="0"/>
        <v>2.68</v>
      </c>
      <c r="H18" s="54">
        <f t="shared" si="8"/>
        <v>9.1199999999999992</v>
      </c>
      <c r="I18" s="51">
        <f t="shared" si="2"/>
        <v>0</v>
      </c>
      <c r="J18" s="1"/>
      <c r="K18" s="49"/>
      <c r="L18" s="1">
        <v>3.4</v>
      </c>
      <c r="M18" s="1">
        <v>25</v>
      </c>
      <c r="N18" s="1">
        <v>80</v>
      </c>
      <c r="O18" s="1">
        <f t="shared" si="9"/>
        <v>2.72</v>
      </c>
      <c r="P18" s="1">
        <f t="shared" si="4"/>
        <v>1.47</v>
      </c>
      <c r="Q18" s="1">
        <f t="shared" si="5"/>
        <v>80</v>
      </c>
      <c r="R18" s="1">
        <f t="shared" si="6"/>
        <v>0</v>
      </c>
      <c r="S18" s="58">
        <f t="shared" si="7"/>
        <v>11.56</v>
      </c>
    </row>
    <row r="19" spans="1:19" x14ac:dyDescent="0.25">
      <c r="A19" s="95">
        <v>69</v>
      </c>
      <c r="B19" t="s">
        <v>316</v>
      </c>
      <c r="C19" t="s">
        <v>256</v>
      </c>
      <c r="D19" s="1">
        <v>7.33</v>
      </c>
      <c r="E19" s="1">
        <v>69</v>
      </c>
      <c r="F19" s="1">
        <v>9.41</v>
      </c>
      <c r="G19" s="1">
        <f t="shared" si="0"/>
        <v>2.76</v>
      </c>
      <c r="H19" s="54">
        <f t="shared" si="8"/>
        <v>9.41</v>
      </c>
      <c r="I19" s="51">
        <f t="shared" si="2"/>
        <v>0</v>
      </c>
      <c r="J19" s="1"/>
      <c r="K19" s="49"/>
      <c r="L19" s="1">
        <v>3.45</v>
      </c>
      <c r="M19" s="1">
        <v>25</v>
      </c>
      <c r="N19" s="1">
        <v>80</v>
      </c>
      <c r="O19" s="1">
        <f t="shared" si="9"/>
        <v>2.76</v>
      </c>
      <c r="P19" s="1">
        <f t="shared" si="4"/>
        <v>0</v>
      </c>
      <c r="Q19" s="1">
        <f t="shared" si="5"/>
        <v>80</v>
      </c>
      <c r="R19" s="1">
        <f t="shared" si="6"/>
        <v>0</v>
      </c>
      <c r="S19" s="58">
        <f t="shared" si="7"/>
        <v>11.77</v>
      </c>
    </row>
    <row r="20" spans="1:19" x14ac:dyDescent="0.25">
      <c r="A20" s="95">
        <v>70</v>
      </c>
      <c r="B20" t="s">
        <v>317</v>
      </c>
      <c r="C20" t="s">
        <v>257</v>
      </c>
      <c r="D20" s="1">
        <v>7.3</v>
      </c>
      <c r="E20" s="1">
        <v>68</v>
      </c>
      <c r="F20" s="1">
        <v>9.32</v>
      </c>
      <c r="G20" s="1">
        <f t="shared" si="0"/>
        <v>2.72</v>
      </c>
      <c r="H20" s="54">
        <f t="shared" si="8"/>
        <v>9.32</v>
      </c>
      <c r="I20" s="51">
        <f t="shared" si="2"/>
        <v>0</v>
      </c>
      <c r="J20" s="1"/>
      <c r="K20" s="49"/>
      <c r="L20" s="1">
        <v>3.4</v>
      </c>
      <c r="M20" s="1">
        <v>25</v>
      </c>
      <c r="N20" s="1">
        <v>80</v>
      </c>
      <c r="O20" s="1">
        <f t="shared" si="9"/>
        <v>2.72</v>
      </c>
      <c r="P20" s="1">
        <f t="shared" si="4"/>
        <v>0</v>
      </c>
      <c r="Q20" s="1">
        <f t="shared" si="5"/>
        <v>80</v>
      </c>
      <c r="R20" s="1">
        <f t="shared" si="6"/>
        <v>0</v>
      </c>
      <c r="S20" s="58">
        <f>ROUND(L20*M20/D20,2)</f>
        <v>11.64</v>
      </c>
    </row>
    <row r="21" spans="1:19" x14ac:dyDescent="0.25">
      <c r="A21" s="95">
        <v>78</v>
      </c>
      <c r="B21" t="s">
        <v>317</v>
      </c>
      <c r="C21" t="s">
        <v>257</v>
      </c>
      <c r="D21" s="1">
        <v>7.3</v>
      </c>
      <c r="E21" s="1">
        <v>68</v>
      </c>
      <c r="F21" s="1">
        <v>9.32</v>
      </c>
      <c r="G21" s="1">
        <f t="shared" si="0"/>
        <v>2.72</v>
      </c>
      <c r="H21" s="54">
        <f t="shared" ref="H21" si="14">ROUND(E21/D21,2)</f>
        <v>9.32</v>
      </c>
      <c r="I21" s="51">
        <f t="shared" si="2"/>
        <v>0</v>
      </c>
      <c r="J21" s="1"/>
      <c r="K21" s="49"/>
      <c r="L21" s="1">
        <v>3.4</v>
      </c>
      <c r="M21" s="1">
        <v>25</v>
      </c>
      <c r="N21" s="1">
        <v>80</v>
      </c>
      <c r="O21" s="1">
        <f t="shared" ref="O21" si="15">ROUND(L21*N21/100,2)</f>
        <v>2.72</v>
      </c>
      <c r="P21" s="1">
        <f t="shared" si="4"/>
        <v>0</v>
      </c>
      <c r="Q21" s="1">
        <f t="shared" si="5"/>
        <v>80</v>
      </c>
      <c r="R21" s="1">
        <f t="shared" si="6"/>
        <v>0</v>
      </c>
      <c r="S21" s="58">
        <f t="shared" si="7"/>
        <v>11.64</v>
      </c>
    </row>
    <row r="22" spans="1:19" x14ac:dyDescent="0.25">
      <c r="A22" s="95">
        <v>80</v>
      </c>
      <c r="B22" t="s">
        <v>318</v>
      </c>
      <c r="C22" t="s">
        <v>258</v>
      </c>
      <c r="D22" s="1">
        <v>7.34</v>
      </c>
      <c r="E22" s="1">
        <v>69</v>
      </c>
      <c r="F22" s="1">
        <v>9.4</v>
      </c>
      <c r="G22" s="1">
        <f t="shared" si="0"/>
        <v>2.76</v>
      </c>
      <c r="H22" s="54">
        <f t="shared" si="8"/>
        <v>9.4</v>
      </c>
      <c r="I22" s="51">
        <f t="shared" si="2"/>
        <v>0</v>
      </c>
      <c r="J22" s="1"/>
      <c r="K22" s="49"/>
      <c r="L22" s="1">
        <v>3.45</v>
      </c>
      <c r="M22" s="1">
        <v>25</v>
      </c>
      <c r="N22" s="1">
        <v>80</v>
      </c>
      <c r="O22" s="1">
        <f t="shared" si="9"/>
        <v>2.76</v>
      </c>
      <c r="P22" s="1">
        <f t="shared" si="4"/>
        <v>0</v>
      </c>
      <c r="Q22" s="1">
        <f t="shared" si="5"/>
        <v>80</v>
      </c>
      <c r="R22" s="1">
        <f t="shared" si="6"/>
        <v>0</v>
      </c>
      <c r="S22" s="58">
        <f t="shared" si="7"/>
        <v>11.75</v>
      </c>
    </row>
    <row r="23" spans="1:19" x14ac:dyDescent="0.25">
      <c r="A23" s="95">
        <v>82</v>
      </c>
      <c r="B23" t="s">
        <v>319</v>
      </c>
      <c r="C23" t="s">
        <v>259</v>
      </c>
      <c r="D23" s="1">
        <v>7.34</v>
      </c>
      <c r="E23" s="1">
        <v>68</v>
      </c>
      <c r="F23" s="1">
        <v>9.26</v>
      </c>
      <c r="G23" s="1">
        <f t="shared" si="0"/>
        <v>2.72</v>
      </c>
      <c r="H23" s="54">
        <f t="shared" si="8"/>
        <v>9.26</v>
      </c>
      <c r="I23" s="51">
        <f t="shared" si="2"/>
        <v>0</v>
      </c>
      <c r="J23" s="1"/>
      <c r="K23" s="49"/>
      <c r="L23" s="1">
        <v>3.4</v>
      </c>
      <c r="M23" s="1">
        <v>25</v>
      </c>
      <c r="N23" s="1">
        <v>80</v>
      </c>
      <c r="O23" s="1">
        <f t="shared" si="9"/>
        <v>2.72</v>
      </c>
      <c r="P23" s="1">
        <f t="shared" si="4"/>
        <v>0</v>
      </c>
      <c r="Q23" s="1">
        <f t="shared" si="5"/>
        <v>80</v>
      </c>
      <c r="R23" s="1">
        <f t="shared" si="6"/>
        <v>0</v>
      </c>
      <c r="S23" s="58">
        <f t="shared" si="7"/>
        <v>11.58</v>
      </c>
    </row>
    <row r="24" spans="1:19" x14ac:dyDescent="0.25">
      <c r="A24" s="95">
        <v>84</v>
      </c>
      <c r="B24" t="s">
        <v>320</v>
      </c>
      <c r="C24" t="s">
        <v>260</v>
      </c>
      <c r="D24" s="1">
        <v>7.75</v>
      </c>
      <c r="E24" s="1">
        <v>88.75</v>
      </c>
      <c r="F24" s="1">
        <v>11.45</v>
      </c>
      <c r="G24" s="1">
        <f t="shared" si="0"/>
        <v>3.55</v>
      </c>
      <c r="H24" s="54">
        <f t="shared" si="8"/>
        <v>11.45</v>
      </c>
      <c r="I24" s="51">
        <f t="shared" si="2"/>
        <v>0</v>
      </c>
      <c r="J24" s="1"/>
      <c r="K24" s="49"/>
      <c r="L24" s="1">
        <v>3.55</v>
      </c>
      <c r="M24" s="1">
        <v>25</v>
      </c>
      <c r="N24" s="1">
        <v>100</v>
      </c>
      <c r="O24" s="1">
        <f t="shared" si="9"/>
        <v>3.55</v>
      </c>
      <c r="P24" s="1">
        <f t="shared" si="4"/>
        <v>0</v>
      </c>
      <c r="Q24" s="1">
        <f t="shared" si="5"/>
        <v>100</v>
      </c>
      <c r="R24" s="1">
        <f t="shared" si="6"/>
        <v>0</v>
      </c>
      <c r="S24" s="58">
        <f t="shared" si="7"/>
        <v>11.45</v>
      </c>
    </row>
    <row r="25" spans="1:19" x14ac:dyDescent="0.25">
      <c r="A25" s="95">
        <v>86</v>
      </c>
      <c r="B25" t="s">
        <v>321</v>
      </c>
      <c r="C25" t="s">
        <v>261</v>
      </c>
      <c r="D25" s="1">
        <v>7.63</v>
      </c>
      <c r="E25" s="1">
        <v>77.75</v>
      </c>
      <c r="F25" s="1">
        <v>10.19</v>
      </c>
      <c r="G25" s="1">
        <f t="shared" si="0"/>
        <v>3.11</v>
      </c>
      <c r="H25" s="54">
        <f t="shared" si="8"/>
        <v>10.19</v>
      </c>
      <c r="I25" s="51">
        <f t="shared" si="2"/>
        <v>0</v>
      </c>
      <c r="J25" s="1"/>
      <c r="K25" s="49"/>
      <c r="L25" s="1">
        <v>3.45</v>
      </c>
      <c r="M25" s="1">
        <v>25</v>
      </c>
      <c r="N25" s="1">
        <v>90</v>
      </c>
      <c r="O25" s="1">
        <f t="shared" si="9"/>
        <v>3.11</v>
      </c>
      <c r="P25" s="1">
        <f t="shared" si="4"/>
        <v>0</v>
      </c>
      <c r="Q25" s="1">
        <f t="shared" si="5"/>
        <v>90.144999999999996</v>
      </c>
      <c r="R25" s="1">
        <f t="shared" si="6"/>
        <v>-0.161</v>
      </c>
      <c r="S25" s="58">
        <f t="shared" si="7"/>
        <v>11.3</v>
      </c>
    </row>
    <row r="26" spans="1:19" x14ac:dyDescent="0.25">
      <c r="A26" s="95">
        <v>95</v>
      </c>
      <c r="B26" t="s">
        <v>321</v>
      </c>
      <c r="C26" t="s">
        <v>261</v>
      </c>
      <c r="D26" s="1">
        <v>7.63</v>
      </c>
      <c r="E26" s="1">
        <v>77.75</v>
      </c>
      <c r="F26" s="1">
        <v>10.19</v>
      </c>
      <c r="G26" s="1">
        <f t="shared" si="0"/>
        <v>3.11</v>
      </c>
      <c r="H26" s="54">
        <f t="shared" ref="H26" si="16">ROUND(E26/D26,2)</f>
        <v>10.19</v>
      </c>
      <c r="I26" s="51">
        <f t="shared" si="2"/>
        <v>0</v>
      </c>
      <c r="J26" s="1"/>
      <c r="K26" s="49"/>
      <c r="L26" s="1">
        <v>3.45</v>
      </c>
      <c r="M26" s="1">
        <v>25</v>
      </c>
      <c r="N26" s="1">
        <v>90</v>
      </c>
      <c r="O26" s="1">
        <f t="shared" ref="O26" si="17">ROUND(L26*N26/100,2)</f>
        <v>3.11</v>
      </c>
      <c r="P26" s="1">
        <f t="shared" si="4"/>
        <v>0</v>
      </c>
      <c r="Q26" s="1">
        <f t="shared" si="5"/>
        <v>90.144999999999996</v>
      </c>
      <c r="R26" s="1">
        <f t="shared" si="6"/>
        <v>-0.161</v>
      </c>
      <c r="S26" s="58">
        <f t="shared" si="7"/>
        <v>11.3</v>
      </c>
    </row>
    <row r="27" spans="1:19" x14ac:dyDescent="0.25">
      <c r="A27" s="95">
        <v>96</v>
      </c>
      <c r="B27" t="s">
        <v>322</v>
      </c>
      <c r="C27" t="s">
        <v>262</v>
      </c>
      <c r="D27" s="1">
        <v>7.62</v>
      </c>
      <c r="E27" s="1">
        <v>77.75</v>
      </c>
      <c r="F27" s="1">
        <v>10.199999999999999</v>
      </c>
      <c r="G27" s="1">
        <f t="shared" si="0"/>
        <v>3.11</v>
      </c>
      <c r="H27" s="54">
        <f t="shared" si="8"/>
        <v>10.199999999999999</v>
      </c>
      <c r="I27" s="51">
        <f t="shared" si="2"/>
        <v>0</v>
      </c>
      <c r="J27" s="1"/>
      <c r="K27" s="49"/>
      <c r="L27" s="1">
        <v>3.45</v>
      </c>
      <c r="M27" s="1">
        <v>25</v>
      </c>
      <c r="N27" s="1">
        <v>90</v>
      </c>
      <c r="O27" s="1">
        <f t="shared" si="9"/>
        <v>3.11</v>
      </c>
      <c r="P27" s="1">
        <f t="shared" si="4"/>
        <v>0</v>
      </c>
      <c r="Q27" s="1">
        <f t="shared" si="5"/>
        <v>90.144999999999996</v>
      </c>
      <c r="R27" s="1">
        <f t="shared" si="6"/>
        <v>-0.161</v>
      </c>
      <c r="S27" s="58">
        <f t="shared" si="7"/>
        <v>11.32</v>
      </c>
    </row>
    <row r="28" spans="1:19" x14ac:dyDescent="0.25">
      <c r="A28" s="95">
        <v>97</v>
      </c>
      <c r="B28" t="s">
        <v>323</v>
      </c>
      <c r="C28" t="s">
        <v>263</v>
      </c>
      <c r="D28" s="1">
        <v>7.62</v>
      </c>
      <c r="E28" s="1">
        <v>74.25</v>
      </c>
      <c r="F28" s="1">
        <v>9.74</v>
      </c>
      <c r="G28" s="1">
        <f t="shared" si="0"/>
        <v>2.97</v>
      </c>
      <c r="H28" s="54">
        <f t="shared" si="8"/>
        <v>9.74</v>
      </c>
      <c r="I28" s="51">
        <f t="shared" si="2"/>
        <v>0</v>
      </c>
      <c r="J28" s="1"/>
      <c r="K28" s="49"/>
      <c r="L28" s="1">
        <v>3.3</v>
      </c>
      <c r="M28" s="1">
        <v>25</v>
      </c>
      <c r="N28" s="1">
        <v>90</v>
      </c>
      <c r="O28" s="1">
        <f t="shared" si="9"/>
        <v>2.97</v>
      </c>
      <c r="P28" s="1">
        <f t="shared" si="4"/>
        <v>0</v>
      </c>
      <c r="Q28" s="1">
        <f t="shared" si="5"/>
        <v>90</v>
      </c>
      <c r="R28" s="1">
        <f t="shared" si="6"/>
        <v>0</v>
      </c>
      <c r="S28" s="58">
        <f t="shared" si="7"/>
        <v>10.83</v>
      </c>
    </row>
    <row r="29" spans="1:19" x14ac:dyDescent="0.25">
      <c r="A29" s="95">
        <v>98</v>
      </c>
      <c r="B29" t="s">
        <v>324</v>
      </c>
      <c r="C29" t="s">
        <v>264</v>
      </c>
      <c r="D29" s="1">
        <v>7.6</v>
      </c>
      <c r="E29" s="1">
        <v>76.5</v>
      </c>
      <c r="F29" s="1">
        <v>10.07</v>
      </c>
      <c r="G29" s="1">
        <f t="shared" si="0"/>
        <v>3.06</v>
      </c>
      <c r="H29" s="54">
        <f t="shared" si="8"/>
        <v>10.07</v>
      </c>
      <c r="I29" s="51">
        <f t="shared" si="2"/>
        <v>0</v>
      </c>
      <c r="J29" s="1"/>
      <c r="K29" s="49"/>
      <c r="L29" s="1">
        <v>3.4</v>
      </c>
      <c r="M29" s="1">
        <v>25</v>
      </c>
      <c r="N29" s="1">
        <v>90</v>
      </c>
      <c r="O29" s="1">
        <f>ROUND(L29*N29/100,2)</f>
        <v>3.06</v>
      </c>
      <c r="P29" s="1">
        <f t="shared" si="4"/>
        <v>0</v>
      </c>
      <c r="Q29" s="1">
        <f t="shared" si="5"/>
        <v>90</v>
      </c>
      <c r="R29" s="1">
        <f t="shared" si="6"/>
        <v>0</v>
      </c>
      <c r="S29" s="58">
        <f t="shared" si="7"/>
        <v>11.18</v>
      </c>
    </row>
    <row r="30" spans="1:19" x14ac:dyDescent="0.25">
      <c r="A30" s="96">
        <v>100</v>
      </c>
      <c r="B30" s="50" t="s">
        <v>325</v>
      </c>
      <c r="C30" s="50" t="s">
        <v>87</v>
      </c>
      <c r="D30" s="52">
        <v>7.27</v>
      </c>
      <c r="E30" s="52">
        <v>68</v>
      </c>
      <c r="F30" s="52">
        <v>9.35</v>
      </c>
      <c r="G30" s="52">
        <f t="shared" si="0"/>
        <v>2.72</v>
      </c>
      <c r="H30" s="55">
        <f t="shared" si="8"/>
        <v>9.35</v>
      </c>
      <c r="I30" s="53">
        <f t="shared" si="2"/>
        <v>0</v>
      </c>
      <c r="J30" s="1"/>
      <c r="K30" s="56" t="s">
        <v>458</v>
      </c>
      <c r="L30" s="57">
        <v>3.4</v>
      </c>
      <c r="M30" s="52">
        <v>25</v>
      </c>
      <c r="N30" s="97" t="e">
        <f>NA()</f>
        <v>#N/A</v>
      </c>
      <c r="O30" s="57">
        <v>2.72</v>
      </c>
      <c r="P30" s="52"/>
      <c r="Q30" s="52">
        <f t="shared" si="5"/>
        <v>80</v>
      </c>
      <c r="R30" s="52" t="e">
        <f t="shared" si="6"/>
        <v>#N/A</v>
      </c>
      <c r="S30" s="59">
        <f>ROUND(L30*M30/D30,2)</f>
        <v>11.69</v>
      </c>
    </row>
  </sheetData>
  <phoneticPr fontId="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09F7F-81A1-4609-9279-7AD98B7CB1F3}">
  <sheetPr>
    <pageSetUpPr fitToPage="1"/>
  </sheetPr>
  <dimension ref="A1:Z50"/>
  <sheetViews>
    <sheetView workbookViewId="0">
      <pane xSplit="5" ySplit="9" topLeftCell="F10" activePane="bottomRight" state="frozen"/>
      <selection pane="topRight" activeCell="F1" sqref="F1"/>
      <selection pane="bottomLeft" activeCell="A7" sqref="A7"/>
      <selection pane="bottomRight" activeCell="C4" sqref="C4"/>
    </sheetView>
  </sheetViews>
  <sheetFormatPr defaultRowHeight="15" x14ac:dyDescent="0.25"/>
  <cols>
    <col min="1" max="1" width="13.42578125" style="4" customWidth="1"/>
    <col min="2" max="2" width="16.85546875" style="13" customWidth="1"/>
    <col min="3" max="3" width="33.140625" style="4" customWidth="1"/>
    <col min="4" max="4" width="11.85546875" style="4" customWidth="1"/>
    <col min="5" max="5" width="15.85546875" style="13" customWidth="1"/>
    <col min="6" max="6" width="12.140625" style="4" customWidth="1"/>
    <col min="7" max="7" width="9.28515625" style="4" customWidth="1"/>
    <col min="8" max="8" width="8.7109375" style="4" customWidth="1"/>
    <col min="9" max="9" width="9.28515625" style="4" customWidth="1"/>
    <col min="10" max="10" width="10.42578125" style="4" customWidth="1"/>
    <col min="11" max="11" width="10.5703125" style="4" customWidth="1"/>
    <col min="12" max="12" width="9.7109375" style="4" customWidth="1"/>
    <col min="13" max="13" width="9" style="4" customWidth="1"/>
    <col min="14" max="14" width="11.28515625" style="29" customWidth="1"/>
    <col min="15" max="15" width="13.85546875" style="25" customWidth="1"/>
    <col min="16" max="16" width="19.28515625" style="87" customWidth="1"/>
    <col min="17" max="17" width="1.28515625" customWidth="1"/>
    <col min="18" max="18" width="1.28515625" style="90" customWidth="1"/>
    <col min="19" max="19" width="1.28515625" style="89" customWidth="1"/>
    <col min="20" max="20" width="13.42578125" style="88" customWidth="1"/>
    <col min="21" max="21" width="15.140625" style="4" customWidth="1"/>
    <col min="22" max="22" width="12.28515625" style="4" customWidth="1"/>
    <col min="23" max="23" width="13.85546875" style="4" customWidth="1"/>
    <col min="24" max="24" width="16.5703125" style="4" customWidth="1"/>
    <col min="25" max="25" width="14.28515625" style="4" customWidth="1"/>
    <col min="26" max="26" width="111.7109375" style="13" customWidth="1"/>
    <col min="27" max="16384" width="9.140625" style="4"/>
  </cols>
  <sheetData>
    <row r="1" spans="1:26" s="119" customFormat="1" ht="18.75" x14ac:dyDescent="0.3">
      <c r="A1" s="114"/>
      <c r="B1" s="115"/>
      <c r="C1" s="81" t="s">
        <v>642</v>
      </c>
      <c r="D1" s="114"/>
      <c r="E1" s="115"/>
      <c r="F1" s="114"/>
      <c r="G1" s="114"/>
      <c r="H1" s="114"/>
      <c r="I1" s="114"/>
      <c r="J1" s="114"/>
      <c r="K1" s="114"/>
      <c r="L1" s="114"/>
      <c r="M1" s="114"/>
      <c r="N1" s="111"/>
      <c r="O1" s="112"/>
      <c r="P1" s="116"/>
      <c r="Q1" s="108"/>
      <c r="R1" s="117"/>
      <c r="S1" s="113"/>
      <c r="T1" s="114"/>
      <c r="U1" s="114"/>
      <c r="V1" s="114"/>
      <c r="W1" s="114"/>
      <c r="X1" s="114"/>
      <c r="Y1" s="114"/>
      <c r="Z1" s="118"/>
    </row>
    <row r="2" spans="1:26" s="127" customFormat="1" ht="18.75" x14ac:dyDescent="0.3">
      <c r="A2" s="120"/>
      <c r="B2" s="157"/>
      <c r="C2" s="121"/>
      <c r="D2" s="108"/>
      <c r="E2" s="122"/>
      <c r="F2" s="108"/>
      <c r="G2" s="108"/>
      <c r="H2" s="108"/>
      <c r="I2" s="108"/>
      <c r="J2" s="108"/>
      <c r="K2" s="108"/>
      <c r="L2" s="108"/>
      <c r="M2" s="108"/>
      <c r="N2" s="123"/>
      <c r="O2" s="124"/>
      <c r="P2" s="125"/>
      <c r="Q2" s="108"/>
      <c r="R2" s="117"/>
      <c r="S2" s="113"/>
      <c r="T2" s="120"/>
      <c r="U2" s="120"/>
      <c r="V2" s="120"/>
      <c r="W2" s="120"/>
      <c r="X2" s="120"/>
      <c r="Y2" s="120"/>
      <c r="Z2" s="126"/>
    </row>
    <row r="3" spans="1:26" s="22" customFormat="1" x14ac:dyDescent="0.25">
      <c r="A3" s="82"/>
      <c r="B3" s="158"/>
      <c r="C3" s="99" t="s">
        <v>537</v>
      </c>
      <c r="D3" s="100"/>
      <c r="E3" s="101"/>
      <c r="F3" s="100"/>
      <c r="G3" s="100"/>
      <c r="H3" s="100"/>
      <c r="I3" s="100"/>
      <c r="J3" s="102"/>
      <c r="K3" s="100"/>
      <c r="L3" s="100"/>
      <c r="M3" s="100"/>
      <c r="N3" s="83"/>
      <c r="O3" s="84"/>
      <c r="P3" s="85"/>
      <c r="Q3" s="90"/>
      <c r="R3" s="90"/>
      <c r="S3" s="90"/>
      <c r="T3" s="85"/>
      <c r="U3" s="85"/>
      <c r="V3" s="85"/>
      <c r="W3" s="85"/>
      <c r="X3" s="85"/>
      <c r="Y3" s="85"/>
      <c r="Z3" s="86"/>
    </row>
    <row r="4" spans="1:26" s="22" customFormat="1" x14ac:dyDescent="0.25">
      <c r="A4" s="82"/>
      <c r="B4" s="158"/>
      <c r="C4" t="s">
        <v>682</v>
      </c>
      <c r="D4"/>
      <c r="E4" s="2"/>
      <c r="F4"/>
      <c r="G4"/>
      <c r="H4"/>
      <c r="I4"/>
      <c r="J4" s="90"/>
      <c r="K4"/>
      <c r="L4"/>
      <c r="M4"/>
      <c r="N4" s="83"/>
      <c r="O4" s="84"/>
      <c r="P4" s="85"/>
      <c r="Q4" s="90"/>
      <c r="R4" s="90"/>
      <c r="S4" s="90"/>
      <c r="T4" s="85"/>
      <c r="U4" s="85"/>
      <c r="V4" s="85"/>
      <c r="W4" s="85"/>
      <c r="X4" s="85"/>
      <c r="Y4" s="85"/>
      <c r="Z4" s="86"/>
    </row>
    <row r="5" spans="1:26" s="22" customFormat="1" x14ac:dyDescent="0.25">
      <c r="A5" s="100"/>
      <c r="B5" s="101"/>
      <c r="C5" s="3" t="s">
        <v>681</v>
      </c>
      <c r="D5"/>
      <c r="E5" s="2"/>
      <c r="F5"/>
      <c r="G5"/>
      <c r="H5"/>
      <c r="I5"/>
      <c r="J5" s="90"/>
      <c r="K5"/>
      <c r="L5"/>
      <c r="M5"/>
      <c r="N5" s="136"/>
      <c r="O5" s="137"/>
      <c r="P5" s="102"/>
      <c r="Q5" s="90"/>
      <c r="R5" s="90"/>
      <c r="S5" s="90"/>
      <c r="T5" s="102"/>
      <c r="U5" s="102"/>
      <c r="V5" s="102"/>
      <c r="W5" s="102"/>
      <c r="X5" s="102"/>
      <c r="Y5" s="102"/>
      <c r="Z5" s="86"/>
    </row>
    <row r="6" spans="1:26" s="22" customFormat="1" x14ac:dyDescent="0.25">
      <c r="A6" s="100"/>
      <c r="B6" s="101"/>
      <c r="C6" s="3"/>
      <c r="D6"/>
      <c r="E6" s="2"/>
      <c r="F6"/>
      <c r="G6"/>
      <c r="H6"/>
      <c r="I6"/>
      <c r="J6" s="90"/>
      <c r="K6"/>
      <c r="L6"/>
      <c r="M6"/>
      <c r="N6" s="136"/>
      <c r="O6" s="137"/>
      <c r="P6" s="102"/>
      <c r="Q6" s="90"/>
      <c r="R6" s="90"/>
      <c r="S6" s="90"/>
      <c r="T6" s="102"/>
      <c r="U6" s="102"/>
      <c r="V6" s="102"/>
      <c r="W6" s="102"/>
      <c r="X6" s="102"/>
      <c r="Y6" s="102"/>
      <c r="Z6" s="86"/>
    </row>
    <row r="7" spans="1:26" ht="60" x14ac:dyDescent="0.25">
      <c r="A7" s="138"/>
      <c r="B7" s="142" t="s">
        <v>538</v>
      </c>
      <c r="C7" s="139">
        <v>327</v>
      </c>
      <c r="D7" s="140" t="s">
        <v>539</v>
      </c>
      <c r="E7" s="141"/>
      <c r="F7" s="28"/>
      <c r="G7" s="142"/>
      <c r="H7" s="143">
        <v>99.45</v>
      </c>
      <c r="I7" s="142" t="s">
        <v>528</v>
      </c>
      <c r="J7" s="28"/>
      <c r="K7" s="28"/>
      <c r="L7" s="142" t="s">
        <v>529</v>
      </c>
      <c r="M7" s="143">
        <v>95</v>
      </c>
      <c r="N7" s="28"/>
      <c r="O7" s="144"/>
      <c r="P7" s="145"/>
      <c r="S7"/>
      <c r="T7" s="45"/>
      <c r="U7" s="47"/>
      <c r="V7" s="162" t="s">
        <v>675</v>
      </c>
      <c r="W7" s="47"/>
      <c r="X7" s="47"/>
      <c r="Y7" s="48"/>
    </row>
    <row r="8" spans="1:26" x14ac:dyDescent="0.25">
      <c r="A8" s="67"/>
      <c r="B8" s="68"/>
      <c r="C8" s="67"/>
      <c r="D8" s="67"/>
      <c r="E8" s="68"/>
      <c r="F8" s="67"/>
      <c r="G8" s="92"/>
      <c r="H8" s="69" t="s">
        <v>299</v>
      </c>
      <c r="I8" s="69"/>
      <c r="J8" s="69"/>
      <c r="K8" s="69"/>
      <c r="L8" s="69"/>
      <c r="M8" s="69"/>
      <c r="N8" s="70"/>
      <c r="O8" s="71"/>
      <c r="P8" s="72"/>
      <c r="T8" s="160"/>
      <c r="U8" s="50"/>
      <c r="V8" s="50"/>
      <c r="W8" s="50"/>
      <c r="X8" s="50"/>
      <c r="Y8" s="161"/>
    </row>
    <row r="9" spans="1:26" s="13" customFormat="1" ht="133.5" customHeight="1" x14ac:dyDescent="0.25">
      <c r="A9" s="73" t="s">
        <v>2</v>
      </c>
      <c r="B9" s="73" t="s">
        <v>151</v>
      </c>
      <c r="C9" s="73" t="s">
        <v>672</v>
      </c>
      <c r="D9" s="73" t="s">
        <v>152</v>
      </c>
      <c r="E9" s="73" t="s">
        <v>153</v>
      </c>
      <c r="F9" s="74" t="s">
        <v>540</v>
      </c>
      <c r="G9" s="74" t="s">
        <v>541</v>
      </c>
      <c r="H9" s="74" t="s">
        <v>530</v>
      </c>
      <c r="I9" s="74" t="s">
        <v>154</v>
      </c>
      <c r="J9" s="77" t="s">
        <v>536</v>
      </c>
      <c r="K9" s="75" t="s">
        <v>542</v>
      </c>
      <c r="L9" s="74" t="s">
        <v>531</v>
      </c>
      <c r="M9" s="74" t="s">
        <v>464</v>
      </c>
      <c r="N9" s="75" t="s">
        <v>155</v>
      </c>
      <c r="O9" s="76" t="s">
        <v>532</v>
      </c>
      <c r="P9" s="76" t="s">
        <v>535</v>
      </c>
      <c r="Q9" s="91"/>
      <c r="R9" s="90"/>
      <c r="S9" s="91"/>
      <c r="T9" s="78" t="s">
        <v>534</v>
      </c>
      <c r="U9" s="79" t="s">
        <v>546</v>
      </c>
      <c r="V9" s="80" t="s">
        <v>156</v>
      </c>
      <c r="W9" s="77" t="s">
        <v>157</v>
      </c>
      <c r="X9" s="77" t="s">
        <v>158</v>
      </c>
      <c r="Y9" s="77" t="s">
        <v>159</v>
      </c>
      <c r="Z9" s="35"/>
    </row>
    <row r="10" spans="1:26" s="7" customFormat="1" ht="45" x14ac:dyDescent="0.25">
      <c r="A10" s="7" t="s">
        <v>465</v>
      </c>
      <c r="B10" s="98" t="s">
        <v>543</v>
      </c>
      <c r="C10" s="31" t="s">
        <v>597</v>
      </c>
      <c r="D10" s="7" t="s">
        <v>161</v>
      </c>
      <c r="E10" s="31" t="s">
        <v>162</v>
      </c>
      <c r="F10" s="30">
        <v>6</v>
      </c>
      <c r="H10" s="30">
        <v>96</v>
      </c>
      <c r="I10" s="7">
        <v>99.5</v>
      </c>
      <c r="J10" s="7">
        <f>IF(ISNUMBER(H10),ROUND(($C$7/H10),4), G10)</f>
        <v>3.4062999999999999</v>
      </c>
      <c r="K10" s="66">
        <f>IF((ISNUMBER(G10)), (ROUND(G10*I10/100,4)),(ROUND(J10*I10/100,4)))</f>
        <v>3.3893</v>
      </c>
      <c r="L10" s="66">
        <f>C7/48</f>
        <v>6.8125</v>
      </c>
      <c r="M10" s="7">
        <v>91</v>
      </c>
      <c r="N10" s="66">
        <f>ROUND((L10*M10/100),4)</f>
        <v>6.1993999999999998</v>
      </c>
      <c r="O10" s="37">
        <f>ROUND(F10*L10/K10,2)</f>
        <v>12.06</v>
      </c>
      <c r="P10" s="36">
        <f t="shared" ref="P10:P39" si="0">ROUND((F10*Y10/W10),2)</f>
        <v>10.92</v>
      </c>
      <c r="Q10" s="90"/>
      <c r="R10" s="90"/>
      <c r="S10" s="90"/>
      <c r="T10" s="29">
        <f>ROUND((N10*F10/K10),2)</f>
        <v>10.97</v>
      </c>
      <c r="U10" s="25">
        <f>ROUND((100*(T10-P10)/T10),1)</f>
        <v>0.5</v>
      </c>
      <c r="V10" s="13">
        <f t="shared" ref="V10:V40" si="1">IF(I10&lt;$H$7,I10,100)</f>
        <v>100</v>
      </c>
      <c r="W10" s="7">
        <f t="shared" ref="W10:W49" si="2">IF((ISNUMBER(G10)), (ROUND(G10*V10/100,4)),(ROUND(J10*V10/100,4)))</f>
        <v>3.4062999999999999</v>
      </c>
      <c r="X10" s="31">
        <f t="shared" ref="X10:X49" si="3">IF(M10&lt;$M$7, M10, 100)</f>
        <v>91</v>
      </c>
      <c r="Y10" s="31">
        <f t="shared" ref="Y10:Y49" si="4">ROUND((L10*X10/100),4)</f>
        <v>6.1993999999999998</v>
      </c>
      <c r="Z10" s="31"/>
    </row>
    <row r="11" spans="1:26" s="7" customFormat="1" ht="90" x14ac:dyDescent="0.25">
      <c r="A11" s="7" t="s">
        <v>337</v>
      </c>
      <c r="B11" s="98" t="s">
        <v>543</v>
      </c>
      <c r="C11" s="31" t="s">
        <v>587</v>
      </c>
      <c r="D11" s="7" t="s">
        <v>161</v>
      </c>
      <c r="E11" s="31" t="s">
        <v>162</v>
      </c>
      <c r="F11" s="30">
        <v>6</v>
      </c>
      <c r="H11" s="30">
        <v>96</v>
      </c>
      <c r="I11" s="7">
        <v>99.5</v>
      </c>
      <c r="J11" s="7">
        <f>IF(ISNUMBER(H11),ROUND(($C$7/H11),4), G11)</f>
        <v>3.4062999999999999</v>
      </c>
      <c r="K11" s="66">
        <f>IF((ISNUMBER(G11)), (ROUND(G11*I11/100,4)),(ROUND(J11*I11/100,4)))</f>
        <v>3.3893</v>
      </c>
      <c r="L11" s="66">
        <f>C7/72</f>
        <v>4.541666666666667</v>
      </c>
      <c r="M11" s="7">
        <v>96.2</v>
      </c>
      <c r="N11" s="66">
        <f>ROUND((L11*M11/100),4)</f>
        <v>4.3691000000000004</v>
      </c>
      <c r="O11" s="37">
        <f>ROUND(F11*L11/K11,2)</f>
        <v>8.0399999999999991</v>
      </c>
      <c r="P11" s="36">
        <f t="shared" si="0"/>
        <v>8</v>
      </c>
      <c r="Q11" s="90"/>
      <c r="R11" s="90"/>
      <c r="S11" s="90"/>
      <c r="T11" s="29">
        <f>ROUND((N11*F11/K11),2)</f>
        <v>7.73</v>
      </c>
      <c r="U11" s="25">
        <f>ROUND((100*(T11-P11)/T11),1)</f>
        <v>-3.5</v>
      </c>
      <c r="V11" s="13">
        <f t="shared" si="1"/>
        <v>100</v>
      </c>
      <c r="W11" s="7">
        <f t="shared" si="2"/>
        <v>3.4062999999999999</v>
      </c>
      <c r="X11" s="31">
        <f t="shared" si="3"/>
        <v>100</v>
      </c>
      <c r="Y11" s="31">
        <f t="shared" si="4"/>
        <v>4.5416999999999996</v>
      </c>
      <c r="Z11" s="31"/>
    </row>
    <row r="12" spans="1:26" s="7" customFormat="1" ht="60" x14ac:dyDescent="0.25">
      <c r="A12" s="7" t="s">
        <v>328</v>
      </c>
      <c r="B12" s="98" t="s">
        <v>543</v>
      </c>
      <c r="C12" s="31" t="s">
        <v>581</v>
      </c>
      <c r="D12" s="7" t="s">
        <v>161</v>
      </c>
      <c r="E12" s="31" t="s">
        <v>162</v>
      </c>
      <c r="F12" s="30">
        <v>31</v>
      </c>
      <c r="H12" s="30">
        <v>30</v>
      </c>
      <c r="I12" s="7">
        <v>99.5</v>
      </c>
      <c r="J12" s="7">
        <f>IF(ISNUMBER(H12),ROUND(($C$7/H12),4), G12)</f>
        <v>10.9</v>
      </c>
      <c r="K12" s="66">
        <f>IF((ISNUMBER(G12)), (ROUND(G12*I12/100,4)),(ROUND(J12*I12/100,4)))</f>
        <v>10.845499999999999</v>
      </c>
      <c r="L12" s="66">
        <v>3.89</v>
      </c>
      <c r="M12" s="7">
        <v>97</v>
      </c>
      <c r="N12" s="66">
        <f>ROUND((L12*M12/100),4)</f>
        <v>3.7732999999999999</v>
      </c>
      <c r="O12" s="37">
        <f>ROUND(F12*L12/K12,2)</f>
        <v>11.12</v>
      </c>
      <c r="P12" s="36">
        <f t="shared" si="0"/>
        <v>11.06</v>
      </c>
      <c r="Q12" s="90"/>
      <c r="R12" s="90"/>
      <c r="S12" s="90"/>
      <c r="T12" s="29">
        <f>ROUND((N12*F12/K12),2)</f>
        <v>10.79</v>
      </c>
      <c r="U12" s="25">
        <f>ROUND((100*(T12-P12)/T12),1)</f>
        <v>-2.5</v>
      </c>
      <c r="V12" s="13">
        <f t="shared" si="1"/>
        <v>100</v>
      </c>
      <c r="W12" s="7">
        <f t="shared" si="2"/>
        <v>10.9</v>
      </c>
      <c r="X12" s="31">
        <f t="shared" si="3"/>
        <v>100</v>
      </c>
      <c r="Y12" s="31">
        <f t="shared" si="4"/>
        <v>3.89</v>
      </c>
      <c r="Z12" s="31"/>
    </row>
    <row r="13" spans="1:26" s="7" customFormat="1" ht="30" x14ac:dyDescent="0.25">
      <c r="A13" s="7" t="s">
        <v>326</v>
      </c>
      <c r="B13" s="98" t="s">
        <v>87</v>
      </c>
      <c r="C13" s="31" t="s">
        <v>525</v>
      </c>
      <c r="E13" s="31"/>
      <c r="F13" s="30">
        <v>25</v>
      </c>
      <c r="H13" s="30">
        <v>45</v>
      </c>
      <c r="I13" s="7">
        <v>99.5</v>
      </c>
      <c r="J13" s="7">
        <f t="shared" ref="J13:J49" si="5">IF(ISNUMBER(H13),ROUND(($C$7/H13),4), G13)</f>
        <v>7.2667000000000002</v>
      </c>
      <c r="K13" s="66">
        <f t="shared" ref="K13:K49" si="6">IF((ISNUMBER(G13)), (ROUND(G13*I13/100,4)),(ROUND(J13*I13/100,4)))</f>
        <v>7.2304000000000004</v>
      </c>
      <c r="L13" s="66">
        <v>3.4</v>
      </c>
      <c r="M13" s="7">
        <v>80</v>
      </c>
      <c r="N13" s="66">
        <f t="shared" ref="N13:N49" si="7">ROUND((L13*M13/100),4)</f>
        <v>2.72</v>
      </c>
      <c r="O13" s="37">
        <f t="shared" ref="O13:O39" si="8">ROUND(F13*L13/J13,2)</f>
        <v>11.7</v>
      </c>
      <c r="P13" s="36">
        <f t="shared" si="0"/>
        <v>9.36</v>
      </c>
      <c r="Q13" s="90"/>
      <c r="R13" s="90"/>
      <c r="S13" s="90"/>
      <c r="T13" s="29">
        <f t="shared" ref="T13:T39" si="9">ROUND((N13*F13/K13),2)</f>
        <v>9.4</v>
      </c>
      <c r="U13" s="25">
        <f t="shared" ref="U13:U39" si="10">ROUND((100*(T13-P13)/T13),1)</f>
        <v>0.4</v>
      </c>
      <c r="V13" s="13">
        <f t="shared" si="1"/>
        <v>100</v>
      </c>
      <c r="W13" s="7">
        <f t="shared" si="2"/>
        <v>7.2667000000000002</v>
      </c>
      <c r="X13" s="31">
        <f t="shared" si="3"/>
        <v>80</v>
      </c>
      <c r="Y13" s="31">
        <f t="shared" si="4"/>
        <v>2.72</v>
      </c>
      <c r="Z13" s="31"/>
    </row>
    <row r="14" spans="1:26" s="7" customFormat="1" x14ac:dyDescent="0.25">
      <c r="A14" s="7" t="s">
        <v>517</v>
      </c>
      <c r="B14" s="98" t="s">
        <v>160</v>
      </c>
      <c r="C14" s="7" t="s">
        <v>591</v>
      </c>
      <c r="D14" s="7" t="s">
        <v>161</v>
      </c>
      <c r="E14" s="31" t="s">
        <v>162</v>
      </c>
      <c r="F14" s="30">
        <v>25</v>
      </c>
      <c r="H14" s="30">
        <v>45</v>
      </c>
      <c r="I14" s="7">
        <v>99.5</v>
      </c>
      <c r="J14" s="7">
        <f t="shared" si="5"/>
        <v>7.2667000000000002</v>
      </c>
      <c r="K14" s="66">
        <f t="shared" si="6"/>
        <v>7.2304000000000004</v>
      </c>
      <c r="L14" s="66">
        <v>3.4</v>
      </c>
      <c r="M14" s="7">
        <v>78</v>
      </c>
      <c r="N14" s="66">
        <f t="shared" si="7"/>
        <v>2.6520000000000001</v>
      </c>
      <c r="O14" s="37">
        <f t="shared" si="8"/>
        <v>11.7</v>
      </c>
      <c r="P14" s="36">
        <f t="shared" si="0"/>
        <v>9.1199999999999992</v>
      </c>
      <c r="Q14" s="90"/>
      <c r="R14" s="90"/>
      <c r="S14" s="90"/>
      <c r="T14" s="29">
        <f t="shared" si="9"/>
        <v>9.17</v>
      </c>
      <c r="U14" s="25">
        <f t="shared" si="10"/>
        <v>0.5</v>
      </c>
      <c r="V14" s="13">
        <f t="shared" si="1"/>
        <v>100</v>
      </c>
      <c r="W14" s="7">
        <f t="shared" si="2"/>
        <v>7.2667000000000002</v>
      </c>
      <c r="X14" s="31">
        <f t="shared" si="3"/>
        <v>78</v>
      </c>
      <c r="Y14" s="31">
        <f t="shared" si="4"/>
        <v>2.6520000000000001</v>
      </c>
      <c r="Z14" s="31"/>
    </row>
    <row r="15" spans="1:26" s="7" customFormat="1" ht="30" x14ac:dyDescent="0.25">
      <c r="A15" s="7" t="s">
        <v>518</v>
      </c>
      <c r="B15" s="98" t="s">
        <v>163</v>
      </c>
      <c r="C15" s="7" t="s">
        <v>592</v>
      </c>
      <c r="D15" s="7" t="s">
        <v>161</v>
      </c>
      <c r="E15" s="31" t="s">
        <v>162</v>
      </c>
      <c r="F15" s="30">
        <v>25</v>
      </c>
      <c r="H15" s="30">
        <v>45</v>
      </c>
      <c r="I15" s="7">
        <v>99.5</v>
      </c>
      <c r="J15" s="7">
        <f t="shared" si="5"/>
        <v>7.2667000000000002</v>
      </c>
      <c r="K15" s="66">
        <f t="shared" si="6"/>
        <v>7.2304000000000004</v>
      </c>
      <c r="L15" s="66">
        <v>3.4</v>
      </c>
      <c r="M15" s="7">
        <v>78</v>
      </c>
      <c r="N15" s="66">
        <f t="shared" si="7"/>
        <v>2.6520000000000001</v>
      </c>
      <c r="O15" s="37">
        <f t="shared" si="8"/>
        <v>11.7</v>
      </c>
      <c r="P15" s="36">
        <f t="shared" si="0"/>
        <v>9.1199999999999992</v>
      </c>
      <c r="Q15" s="90"/>
      <c r="R15" s="90"/>
      <c r="S15" s="90"/>
      <c r="T15" s="29">
        <f t="shared" si="9"/>
        <v>9.17</v>
      </c>
      <c r="U15" s="25">
        <f t="shared" si="10"/>
        <v>0.5</v>
      </c>
      <c r="V15" s="13">
        <f t="shared" si="1"/>
        <v>100</v>
      </c>
      <c r="W15" s="7">
        <f t="shared" si="2"/>
        <v>7.2667000000000002</v>
      </c>
      <c r="X15" s="31">
        <f t="shared" si="3"/>
        <v>78</v>
      </c>
      <c r="Y15" s="31">
        <f t="shared" si="4"/>
        <v>2.6520000000000001</v>
      </c>
      <c r="Z15" s="31"/>
    </row>
    <row r="16" spans="1:26" s="7" customFormat="1" x14ac:dyDescent="0.25">
      <c r="A16" s="7" t="s">
        <v>519</v>
      </c>
      <c r="B16" s="98" t="s">
        <v>164</v>
      </c>
      <c r="C16" s="7" t="s">
        <v>592</v>
      </c>
      <c r="D16" s="7" t="s">
        <v>161</v>
      </c>
      <c r="E16" s="31" t="s">
        <v>162</v>
      </c>
      <c r="F16" s="30">
        <v>25</v>
      </c>
      <c r="H16" s="30">
        <v>45</v>
      </c>
      <c r="I16" s="7">
        <v>99.5</v>
      </c>
      <c r="J16" s="7">
        <f t="shared" si="5"/>
        <v>7.2667000000000002</v>
      </c>
      <c r="K16" s="66">
        <f t="shared" si="6"/>
        <v>7.2304000000000004</v>
      </c>
      <c r="L16" s="66">
        <v>3.4</v>
      </c>
      <c r="M16" s="7">
        <v>78</v>
      </c>
      <c r="N16" s="66">
        <f t="shared" si="7"/>
        <v>2.6520000000000001</v>
      </c>
      <c r="O16" s="37">
        <f t="shared" si="8"/>
        <v>11.7</v>
      </c>
      <c r="P16" s="36">
        <f t="shared" si="0"/>
        <v>9.1199999999999992</v>
      </c>
      <c r="Q16" s="90"/>
      <c r="R16" s="90"/>
      <c r="S16" s="90"/>
      <c r="T16" s="29">
        <f t="shared" si="9"/>
        <v>9.17</v>
      </c>
      <c r="U16" s="25">
        <f t="shared" si="10"/>
        <v>0.5</v>
      </c>
      <c r="V16" s="13">
        <f t="shared" si="1"/>
        <v>100</v>
      </c>
      <c r="W16" s="7">
        <f t="shared" si="2"/>
        <v>7.2667000000000002</v>
      </c>
      <c r="X16" s="31">
        <f t="shared" si="3"/>
        <v>78</v>
      </c>
      <c r="Y16" s="31">
        <f t="shared" si="4"/>
        <v>2.6520000000000001</v>
      </c>
      <c r="Z16" s="31"/>
    </row>
    <row r="17" spans="1:26" s="7" customFormat="1" x14ac:dyDescent="0.25">
      <c r="A17" s="7" t="s">
        <v>520</v>
      </c>
      <c r="B17" s="98" t="s">
        <v>165</v>
      </c>
      <c r="C17" s="7" t="s">
        <v>592</v>
      </c>
      <c r="D17" s="7" t="s">
        <v>161</v>
      </c>
      <c r="E17" s="31" t="s">
        <v>162</v>
      </c>
      <c r="F17" s="30">
        <v>25</v>
      </c>
      <c r="H17" s="30">
        <v>45</v>
      </c>
      <c r="I17" s="7">
        <v>99.5</v>
      </c>
      <c r="J17" s="7">
        <f t="shared" si="5"/>
        <v>7.2667000000000002</v>
      </c>
      <c r="K17" s="66">
        <f t="shared" si="6"/>
        <v>7.2304000000000004</v>
      </c>
      <c r="L17" s="66">
        <v>3.4</v>
      </c>
      <c r="M17" s="7">
        <v>72</v>
      </c>
      <c r="N17" s="66">
        <f t="shared" si="7"/>
        <v>2.448</v>
      </c>
      <c r="O17" s="37">
        <f t="shared" si="8"/>
        <v>11.7</v>
      </c>
      <c r="P17" s="36">
        <f t="shared" si="0"/>
        <v>8.42</v>
      </c>
      <c r="Q17" s="90"/>
      <c r="R17" s="90"/>
      <c r="S17" s="90"/>
      <c r="T17" s="29">
        <f t="shared" si="9"/>
        <v>8.4600000000000009</v>
      </c>
      <c r="U17" s="25">
        <f t="shared" si="10"/>
        <v>0.5</v>
      </c>
      <c r="V17" s="13">
        <f t="shared" si="1"/>
        <v>100</v>
      </c>
      <c r="W17" s="7">
        <f t="shared" si="2"/>
        <v>7.2667000000000002</v>
      </c>
      <c r="X17" s="31">
        <f t="shared" si="3"/>
        <v>72</v>
      </c>
      <c r="Y17" s="31">
        <f t="shared" si="4"/>
        <v>2.448</v>
      </c>
      <c r="Z17" s="31"/>
    </row>
    <row r="18" spans="1:26" s="7" customFormat="1" ht="30" x14ac:dyDescent="0.25">
      <c r="A18" s="7" t="s">
        <v>521</v>
      </c>
      <c r="B18" s="98" t="s">
        <v>166</v>
      </c>
      <c r="C18" s="7" t="s">
        <v>593</v>
      </c>
      <c r="D18" s="7" t="s">
        <v>161</v>
      </c>
      <c r="E18" s="31" t="s">
        <v>162</v>
      </c>
      <c r="F18" s="30">
        <v>25</v>
      </c>
      <c r="H18" s="30">
        <v>45</v>
      </c>
      <c r="I18" s="7">
        <v>99.5</v>
      </c>
      <c r="J18" s="7">
        <f t="shared" si="5"/>
        <v>7.2667000000000002</v>
      </c>
      <c r="K18" s="66">
        <f t="shared" si="6"/>
        <v>7.2304000000000004</v>
      </c>
      <c r="L18" s="66">
        <v>3.4</v>
      </c>
      <c r="M18" s="7">
        <v>72</v>
      </c>
      <c r="N18" s="66">
        <f t="shared" si="7"/>
        <v>2.448</v>
      </c>
      <c r="O18" s="37">
        <f t="shared" si="8"/>
        <v>11.7</v>
      </c>
      <c r="P18" s="36">
        <f t="shared" si="0"/>
        <v>8.42</v>
      </c>
      <c r="Q18" s="90"/>
      <c r="R18" s="90"/>
      <c r="S18" s="90"/>
      <c r="T18" s="29">
        <f t="shared" si="9"/>
        <v>8.4600000000000009</v>
      </c>
      <c r="U18" s="25">
        <f t="shared" si="10"/>
        <v>0.5</v>
      </c>
      <c r="V18" s="13">
        <f t="shared" si="1"/>
        <v>100</v>
      </c>
      <c r="W18" s="7">
        <f t="shared" si="2"/>
        <v>7.2667000000000002</v>
      </c>
      <c r="X18" s="31">
        <f t="shared" si="3"/>
        <v>72</v>
      </c>
      <c r="Y18" s="31">
        <f t="shared" si="4"/>
        <v>2.448</v>
      </c>
      <c r="Z18" s="31"/>
    </row>
    <row r="19" spans="1:26" s="7" customFormat="1" ht="30" x14ac:dyDescent="0.25">
      <c r="A19" s="7" t="s">
        <v>353</v>
      </c>
      <c r="B19" s="98" t="s">
        <v>167</v>
      </c>
      <c r="C19" s="7" t="s">
        <v>593</v>
      </c>
      <c r="D19" s="7" t="s">
        <v>161</v>
      </c>
      <c r="E19" s="31" t="s">
        <v>162</v>
      </c>
      <c r="F19" s="30">
        <v>25</v>
      </c>
      <c r="H19" s="30">
        <v>45</v>
      </c>
      <c r="I19" s="7">
        <v>99.5</v>
      </c>
      <c r="J19" s="7">
        <f t="shared" si="5"/>
        <v>7.2667000000000002</v>
      </c>
      <c r="K19" s="66">
        <f t="shared" si="6"/>
        <v>7.2304000000000004</v>
      </c>
      <c r="L19" s="66">
        <v>3.4</v>
      </c>
      <c r="M19" s="7">
        <v>72</v>
      </c>
      <c r="N19" s="66">
        <f t="shared" si="7"/>
        <v>2.448</v>
      </c>
      <c r="O19" s="37">
        <f t="shared" si="8"/>
        <v>11.7</v>
      </c>
      <c r="P19" s="36">
        <f t="shared" si="0"/>
        <v>8.42</v>
      </c>
      <c r="Q19" s="90"/>
      <c r="R19" s="90"/>
      <c r="S19" s="90"/>
      <c r="T19" s="29">
        <f t="shared" si="9"/>
        <v>8.4600000000000009</v>
      </c>
      <c r="U19" s="25">
        <f t="shared" si="10"/>
        <v>0.5</v>
      </c>
      <c r="V19" s="13">
        <f t="shared" si="1"/>
        <v>100</v>
      </c>
      <c r="W19" s="7">
        <f t="shared" si="2"/>
        <v>7.2667000000000002</v>
      </c>
      <c r="X19" s="31">
        <f t="shared" si="3"/>
        <v>72</v>
      </c>
      <c r="Y19" s="31">
        <f t="shared" si="4"/>
        <v>2.448</v>
      </c>
      <c r="Z19" s="31"/>
    </row>
    <row r="20" spans="1:26" s="7" customFormat="1" ht="30" x14ac:dyDescent="0.25">
      <c r="A20" s="7" t="s">
        <v>522</v>
      </c>
      <c r="B20" s="98" t="s">
        <v>168</v>
      </c>
      <c r="C20" s="7" t="s">
        <v>593</v>
      </c>
      <c r="D20" s="7" t="s">
        <v>161</v>
      </c>
      <c r="E20" s="31" t="s">
        <v>162</v>
      </c>
      <c r="F20" s="30">
        <v>25</v>
      </c>
      <c r="H20" s="30">
        <v>45</v>
      </c>
      <c r="I20" s="7">
        <v>99.5</v>
      </c>
      <c r="J20" s="7">
        <f t="shared" si="5"/>
        <v>7.2667000000000002</v>
      </c>
      <c r="K20" s="66">
        <f t="shared" si="6"/>
        <v>7.2304000000000004</v>
      </c>
      <c r="L20" s="66">
        <v>3.4</v>
      </c>
      <c r="M20" s="7">
        <v>72</v>
      </c>
      <c r="N20" s="66">
        <f t="shared" si="7"/>
        <v>2.448</v>
      </c>
      <c r="O20" s="37">
        <f t="shared" si="8"/>
        <v>11.7</v>
      </c>
      <c r="P20" s="36">
        <f t="shared" si="0"/>
        <v>8.42</v>
      </c>
      <c r="Q20" s="90"/>
      <c r="R20" s="90"/>
      <c r="S20" s="90"/>
      <c r="T20" s="29">
        <f t="shared" si="9"/>
        <v>8.4600000000000009</v>
      </c>
      <c r="U20" s="25">
        <f t="shared" si="10"/>
        <v>0.5</v>
      </c>
      <c r="V20" s="13">
        <f t="shared" si="1"/>
        <v>100</v>
      </c>
      <c r="W20" s="7">
        <f t="shared" si="2"/>
        <v>7.2667000000000002</v>
      </c>
      <c r="X20" s="31">
        <f t="shared" si="3"/>
        <v>72</v>
      </c>
      <c r="Y20" s="31">
        <f t="shared" si="4"/>
        <v>2.448</v>
      </c>
      <c r="Z20" s="31"/>
    </row>
    <row r="21" spans="1:26" s="7" customFormat="1" x14ac:dyDescent="0.25">
      <c r="A21" s="7" t="s">
        <v>169</v>
      </c>
      <c r="B21" s="98" t="s">
        <v>127</v>
      </c>
      <c r="C21" s="7" t="s">
        <v>594</v>
      </c>
      <c r="D21" s="7" t="s">
        <v>161</v>
      </c>
      <c r="E21" s="31" t="s">
        <v>162</v>
      </c>
      <c r="F21" s="30">
        <v>25</v>
      </c>
      <c r="H21" s="30">
        <v>45</v>
      </c>
      <c r="I21" s="7">
        <v>99.5</v>
      </c>
      <c r="J21" s="7">
        <f t="shared" si="5"/>
        <v>7.2667000000000002</v>
      </c>
      <c r="K21" s="66">
        <f t="shared" si="6"/>
        <v>7.2304000000000004</v>
      </c>
      <c r="L21" s="66">
        <v>3.14</v>
      </c>
      <c r="M21" s="7">
        <v>68</v>
      </c>
      <c r="N21" s="66">
        <f t="shared" si="7"/>
        <v>2.1352000000000002</v>
      </c>
      <c r="O21" s="37">
        <f t="shared" si="8"/>
        <v>10.8</v>
      </c>
      <c r="P21" s="36">
        <f t="shared" si="0"/>
        <v>7.35</v>
      </c>
      <c r="Q21" s="90"/>
      <c r="R21" s="90"/>
      <c r="S21" s="90"/>
      <c r="T21" s="29">
        <f t="shared" si="9"/>
        <v>7.38</v>
      </c>
      <c r="U21" s="25">
        <f t="shared" si="10"/>
        <v>0.4</v>
      </c>
      <c r="V21" s="13">
        <f t="shared" si="1"/>
        <v>100</v>
      </c>
      <c r="W21" s="7">
        <f t="shared" si="2"/>
        <v>7.2667000000000002</v>
      </c>
      <c r="X21" s="31">
        <f t="shared" si="3"/>
        <v>68</v>
      </c>
      <c r="Y21" s="31">
        <f t="shared" si="4"/>
        <v>2.1352000000000002</v>
      </c>
      <c r="Z21" s="31" t="s">
        <v>547</v>
      </c>
    </row>
    <row r="22" spans="1:26" s="7" customFormat="1" x14ac:dyDescent="0.25">
      <c r="A22" s="7" t="s">
        <v>170</v>
      </c>
      <c r="B22" s="98" t="s">
        <v>127</v>
      </c>
      <c r="C22" s="7" t="s">
        <v>594</v>
      </c>
      <c r="D22" s="7" t="s">
        <v>161</v>
      </c>
      <c r="E22" s="31" t="s">
        <v>162</v>
      </c>
      <c r="F22" s="30">
        <v>25</v>
      </c>
      <c r="H22" s="30">
        <v>45</v>
      </c>
      <c r="I22" s="7">
        <v>99.5</v>
      </c>
      <c r="J22" s="7">
        <f t="shared" si="5"/>
        <v>7.2667000000000002</v>
      </c>
      <c r="K22" s="66">
        <f t="shared" si="6"/>
        <v>7.2304000000000004</v>
      </c>
      <c r="L22" s="66">
        <v>3.14</v>
      </c>
      <c r="M22" s="7">
        <v>65</v>
      </c>
      <c r="N22" s="66">
        <f t="shared" si="7"/>
        <v>2.0409999999999999</v>
      </c>
      <c r="O22" s="37">
        <f t="shared" si="8"/>
        <v>10.8</v>
      </c>
      <c r="P22" s="36">
        <f t="shared" si="0"/>
        <v>7.02</v>
      </c>
      <c r="Q22" s="90"/>
      <c r="R22" s="90"/>
      <c r="S22" s="90"/>
      <c r="T22" s="29">
        <f t="shared" si="9"/>
        <v>7.06</v>
      </c>
      <c r="U22" s="25">
        <f t="shared" si="10"/>
        <v>0.6</v>
      </c>
      <c r="V22" s="13">
        <f t="shared" si="1"/>
        <v>100</v>
      </c>
      <c r="W22" s="7">
        <f t="shared" si="2"/>
        <v>7.2667000000000002</v>
      </c>
      <c r="X22" s="31">
        <f t="shared" si="3"/>
        <v>65</v>
      </c>
      <c r="Y22" s="31">
        <f t="shared" si="4"/>
        <v>2.0409999999999999</v>
      </c>
      <c r="Z22" s="31" t="s">
        <v>547</v>
      </c>
    </row>
    <row r="23" spans="1:26" s="7" customFormat="1" x14ac:dyDescent="0.25">
      <c r="A23" s="7">
        <v>193</v>
      </c>
      <c r="B23" s="98" t="s">
        <v>128</v>
      </c>
      <c r="C23" s="7" t="s">
        <v>603</v>
      </c>
      <c r="D23" s="7" t="s">
        <v>161</v>
      </c>
      <c r="E23" s="31" t="s">
        <v>162</v>
      </c>
      <c r="F23" s="30">
        <v>25</v>
      </c>
      <c r="H23" s="30">
        <v>45</v>
      </c>
      <c r="I23" s="7">
        <v>99.5</v>
      </c>
      <c r="J23" s="7">
        <f t="shared" si="5"/>
        <v>7.2667000000000002</v>
      </c>
      <c r="K23" s="66">
        <f t="shared" si="6"/>
        <v>7.2304000000000004</v>
      </c>
      <c r="L23" s="66">
        <v>3.14</v>
      </c>
      <c r="M23" s="7">
        <v>68</v>
      </c>
      <c r="N23" s="66">
        <f t="shared" si="7"/>
        <v>2.1352000000000002</v>
      </c>
      <c r="O23" s="37">
        <f t="shared" si="8"/>
        <v>10.8</v>
      </c>
      <c r="P23" s="36">
        <f t="shared" si="0"/>
        <v>7.35</v>
      </c>
      <c r="Q23" s="90"/>
      <c r="R23" s="90"/>
      <c r="S23" s="90"/>
      <c r="T23" s="29">
        <f t="shared" si="9"/>
        <v>7.38</v>
      </c>
      <c r="U23" s="25">
        <f t="shared" si="10"/>
        <v>0.4</v>
      </c>
      <c r="V23" s="13">
        <f t="shared" si="1"/>
        <v>100</v>
      </c>
      <c r="W23" s="7">
        <f t="shared" si="2"/>
        <v>7.2667000000000002</v>
      </c>
      <c r="X23" s="31">
        <f t="shared" si="3"/>
        <v>68</v>
      </c>
      <c r="Y23" s="31">
        <f t="shared" si="4"/>
        <v>2.1352000000000002</v>
      </c>
      <c r="Z23" s="31" t="s">
        <v>547</v>
      </c>
    </row>
    <row r="24" spans="1:26" s="7" customFormat="1" x14ac:dyDescent="0.25">
      <c r="A24" s="7" t="s">
        <v>171</v>
      </c>
      <c r="B24" s="98" t="s">
        <v>172</v>
      </c>
      <c r="C24" s="7" t="s">
        <v>603</v>
      </c>
      <c r="D24" s="7" t="s">
        <v>161</v>
      </c>
      <c r="E24" s="31" t="s">
        <v>162</v>
      </c>
      <c r="F24" s="30">
        <v>25</v>
      </c>
      <c r="H24" s="30">
        <v>45</v>
      </c>
      <c r="I24" s="7">
        <v>99.5</v>
      </c>
      <c r="J24" s="7">
        <f t="shared" si="5"/>
        <v>7.2667000000000002</v>
      </c>
      <c r="K24" s="66">
        <f t="shared" si="6"/>
        <v>7.2304000000000004</v>
      </c>
      <c r="L24" s="66">
        <v>3.14</v>
      </c>
      <c r="M24" s="7">
        <v>68</v>
      </c>
      <c r="N24" s="66">
        <f t="shared" si="7"/>
        <v>2.1352000000000002</v>
      </c>
      <c r="O24" s="37">
        <f t="shared" si="8"/>
        <v>10.8</v>
      </c>
      <c r="P24" s="36">
        <f t="shared" si="0"/>
        <v>7.35</v>
      </c>
      <c r="Q24" s="90"/>
      <c r="R24" s="90"/>
      <c r="S24" s="90"/>
      <c r="T24" s="29">
        <f t="shared" si="9"/>
        <v>7.38</v>
      </c>
      <c r="U24" s="25">
        <f t="shared" si="10"/>
        <v>0.4</v>
      </c>
      <c r="V24" s="13">
        <f t="shared" si="1"/>
        <v>100</v>
      </c>
      <c r="W24" s="7">
        <f t="shared" si="2"/>
        <v>7.2667000000000002</v>
      </c>
      <c r="X24" s="31">
        <f t="shared" si="3"/>
        <v>68</v>
      </c>
      <c r="Y24" s="31">
        <f t="shared" si="4"/>
        <v>2.1352000000000002</v>
      </c>
      <c r="Z24" s="31" t="s">
        <v>547</v>
      </c>
    </row>
    <row r="25" spans="1:26" s="7" customFormat="1" x14ac:dyDescent="0.25">
      <c r="A25" s="7" t="s">
        <v>173</v>
      </c>
      <c r="B25" s="98" t="s">
        <v>172</v>
      </c>
      <c r="C25" s="7" t="s">
        <v>595</v>
      </c>
      <c r="D25" s="7" t="s">
        <v>161</v>
      </c>
      <c r="E25" s="31" t="s">
        <v>162</v>
      </c>
      <c r="F25" s="30">
        <v>25</v>
      </c>
      <c r="H25" s="30">
        <v>45</v>
      </c>
      <c r="I25" s="7">
        <v>99.5</v>
      </c>
      <c r="J25" s="7">
        <f t="shared" si="5"/>
        <v>7.2667000000000002</v>
      </c>
      <c r="K25" s="66">
        <f t="shared" si="6"/>
        <v>7.2304000000000004</v>
      </c>
      <c r="L25" s="66">
        <v>3.4</v>
      </c>
      <c r="M25" s="7">
        <v>47</v>
      </c>
      <c r="N25" s="66">
        <f t="shared" si="7"/>
        <v>1.5980000000000001</v>
      </c>
      <c r="O25" s="37">
        <f t="shared" si="8"/>
        <v>11.7</v>
      </c>
      <c r="P25" s="36">
        <f t="shared" si="0"/>
        <v>5.5</v>
      </c>
      <c r="Q25" s="90"/>
      <c r="R25" s="90"/>
      <c r="S25" s="90"/>
      <c r="T25" s="29">
        <f t="shared" si="9"/>
        <v>5.53</v>
      </c>
      <c r="U25" s="25">
        <f t="shared" si="10"/>
        <v>0.5</v>
      </c>
      <c r="V25" s="13">
        <f t="shared" si="1"/>
        <v>100</v>
      </c>
      <c r="W25" s="7">
        <f t="shared" si="2"/>
        <v>7.2667000000000002</v>
      </c>
      <c r="X25" s="31">
        <f t="shared" si="3"/>
        <v>47</v>
      </c>
      <c r="Y25" s="31">
        <f t="shared" si="4"/>
        <v>1.5980000000000001</v>
      </c>
      <c r="Z25" s="31" t="s">
        <v>548</v>
      </c>
    </row>
    <row r="26" spans="1:26" s="7" customFormat="1" x14ac:dyDescent="0.25">
      <c r="A26" s="7" t="s">
        <v>174</v>
      </c>
      <c r="B26" s="98" t="s">
        <v>172</v>
      </c>
      <c r="C26" s="7" t="s">
        <v>551</v>
      </c>
      <c r="D26" s="7" t="s">
        <v>161</v>
      </c>
      <c r="E26" s="31" t="s">
        <v>162</v>
      </c>
      <c r="F26" s="30">
        <v>25</v>
      </c>
      <c r="H26" s="30">
        <v>45</v>
      </c>
      <c r="I26" s="7">
        <v>99.5</v>
      </c>
      <c r="J26" s="7">
        <f t="shared" si="5"/>
        <v>7.2667000000000002</v>
      </c>
      <c r="K26" s="66">
        <f t="shared" si="6"/>
        <v>7.2304000000000004</v>
      </c>
      <c r="L26" s="66">
        <v>3.4</v>
      </c>
      <c r="M26" s="7">
        <v>47</v>
      </c>
      <c r="N26" s="66">
        <f t="shared" si="7"/>
        <v>1.5980000000000001</v>
      </c>
      <c r="O26" s="37">
        <f t="shared" si="8"/>
        <v>11.7</v>
      </c>
      <c r="P26" s="36">
        <f t="shared" si="0"/>
        <v>5.5</v>
      </c>
      <c r="Q26" s="90"/>
      <c r="R26" s="90"/>
      <c r="S26" s="90"/>
      <c r="T26" s="29">
        <f t="shared" si="9"/>
        <v>5.53</v>
      </c>
      <c r="U26" s="25">
        <f t="shared" si="10"/>
        <v>0.5</v>
      </c>
      <c r="V26" s="13">
        <f t="shared" si="1"/>
        <v>100</v>
      </c>
      <c r="W26" s="7">
        <f t="shared" si="2"/>
        <v>7.2667000000000002</v>
      </c>
      <c r="X26" s="31">
        <f t="shared" si="3"/>
        <v>47</v>
      </c>
      <c r="Y26" s="31">
        <f t="shared" si="4"/>
        <v>1.5980000000000001</v>
      </c>
      <c r="Z26" s="31"/>
    </row>
    <row r="27" spans="1:26" s="7" customFormat="1" x14ac:dyDescent="0.25">
      <c r="A27" s="7">
        <v>211</v>
      </c>
      <c r="B27" s="98" t="s">
        <v>129</v>
      </c>
      <c r="C27" s="7" t="s">
        <v>596</v>
      </c>
      <c r="D27" s="7" t="s">
        <v>161</v>
      </c>
      <c r="E27" s="31" t="s">
        <v>162</v>
      </c>
      <c r="F27" s="30">
        <v>25</v>
      </c>
      <c r="H27" s="30">
        <v>45</v>
      </c>
      <c r="I27" s="7">
        <v>99.5</v>
      </c>
      <c r="J27" s="7">
        <f t="shared" si="5"/>
        <v>7.2667000000000002</v>
      </c>
      <c r="K27" s="66">
        <f t="shared" si="6"/>
        <v>7.2304000000000004</v>
      </c>
      <c r="L27" s="66">
        <v>3.14</v>
      </c>
      <c r="M27" s="7">
        <v>45</v>
      </c>
      <c r="N27" s="66">
        <f t="shared" si="7"/>
        <v>1.413</v>
      </c>
      <c r="O27" s="37">
        <f t="shared" si="8"/>
        <v>10.8</v>
      </c>
      <c r="P27" s="36">
        <f t="shared" si="0"/>
        <v>4.8600000000000003</v>
      </c>
      <c r="Q27" s="90"/>
      <c r="R27" s="90"/>
      <c r="S27" s="90"/>
      <c r="T27" s="29">
        <f t="shared" si="9"/>
        <v>4.8899999999999997</v>
      </c>
      <c r="U27" s="25">
        <f t="shared" si="10"/>
        <v>0.6</v>
      </c>
      <c r="V27" s="13">
        <f t="shared" si="1"/>
        <v>100</v>
      </c>
      <c r="W27" s="7">
        <f t="shared" si="2"/>
        <v>7.2667000000000002</v>
      </c>
      <c r="X27" s="31">
        <f t="shared" si="3"/>
        <v>45</v>
      </c>
      <c r="Y27" s="31">
        <f t="shared" si="4"/>
        <v>1.413</v>
      </c>
      <c r="Z27" s="31"/>
    </row>
    <row r="28" spans="1:26" s="7" customFormat="1" x14ac:dyDescent="0.25">
      <c r="A28" s="7" t="s">
        <v>175</v>
      </c>
      <c r="B28" s="98" t="s">
        <v>129</v>
      </c>
      <c r="C28" s="7" t="s">
        <v>596</v>
      </c>
      <c r="D28" s="7" t="s">
        <v>161</v>
      </c>
      <c r="E28" s="31" t="s">
        <v>162</v>
      </c>
      <c r="F28" s="30">
        <v>25</v>
      </c>
      <c r="H28" s="30">
        <v>45</v>
      </c>
      <c r="I28" s="7">
        <v>99.5</v>
      </c>
      <c r="J28" s="7">
        <f t="shared" si="5"/>
        <v>7.2667000000000002</v>
      </c>
      <c r="K28" s="66">
        <f t="shared" si="6"/>
        <v>7.2304000000000004</v>
      </c>
      <c r="L28" s="66">
        <v>3.14</v>
      </c>
      <c r="M28" s="7">
        <v>45</v>
      </c>
      <c r="N28" s="66">
        <f t="shared" si="7"/>
        <v>1.413</v>
      </c>
      <c r="O28" s="37">
        <f t="shared" si="8"/>
        <v>10.8</v>
      </c>
      <c r="P28" s="36">
        <f t="shared" si="0"/>
        <v>4.8600000000000003</v>
      </c>
      <c r="Q28" s="90"/>
      <c r="R28" s="90"/>
      <c r="S28" s="90"/>
      <c r="T28" s="29">
        <f t="shared" si="9"/>
        <v>4.8899999999999997</v>
      </c>
      <c r="U28" s="25">
        <f t="shared" si="10"/>
        <v>0.6</v>
      </c>
      <c r="V28" s="13">
        <f t="shared" si="1"/>
        <v>100</v>
      </c>
      <c r="W28" s="7">
        <f t="shared" si="2"/>
        <v>7.2667000000000002</v>
      </c>
      <c r="X28" s="31">
        <f t="shared" si="3"/>
        <v>45</v>
      </c>
      <c r="Y28" s="31">
        <f t="shared" si="4"/>
        <v>1.413</v>
      </c>
      <c r="Z28" s="31"/>
    </row>
    <row r="29" spans="1:26" s="7" customFormat="1" ht="45" x14ac:dyDescent="0.25">
      <c r="A29" s="7" t="s">
        <v>176</v>
      </c>
      <c r="B29" s="98" t="s">
        <v>588</v>
      </c>
      <c r="C29" s="7" t="s">
        <v>596</v>
      </c>
      <c r="D29" s="7" t="s">
        <v>161</v>
      </c>
      <c r="E29" s="31" t="s">
        <v>162</v>
      </c>
      <c r="F29" s="30">
        <v>25</v>
      </c>
      <c r="H29" s="30">
        <v>50</v>
      </c>
      <c r="I29" s="7">
        <v>99.5</v>
      </c>
      <c r="J29" s="7">
        <f t="shared" si="5"/>
        <v>6.54</v>
      </c>
      <c r="K29" s="66">
        <f t="shared" si="6"/>
        <v>6.5072999999999999</v>
      </c>
      <c r="L29" s="66">
        <v>3.4</v>
      </c>
      <c r="M29" s="7">
        <v>45</v>
      </c>
      <c r="N29" s="66">
        <f t="shared" si="7"/>
        <v>1.53</v>
      </c>
      <c r="O29" s="37">
        <f t="shared" si="8"/>
        <v>13</v>
      </c>
      <c r="P29" s="36">
        <f t="shared" si="0"/>
        <v>5.85</v>
      </c>
      <c r="Q29" s="90"/>
      <c r="R29" s="90"/>
      <c r="S29" s="90"/>
      <c r="T29" s="29">
        <f t="shared" si="9"/>
        <v>5.88</v>
      </c>
      <c r="U29" s="25">
        <f t="shared" si="10"/>
        <v>0.5</v>
      </c>
      <c r="V29" s="13">
        <f t="shared" si="1"/>
        <v>100</v>
      </c>
      <c r="W29" s="7">
        <f t="shared" si="2"/>
        <v>6.54</v>
      </c>
      <c r="X29" s="31">
        <f t="shared" si="3"/>
        <v>45</v>
      </c>
      <c r="Y29" s="31">
        <f t="shared" si="4"/>
        <v>1.53</v>
      </c>
      <c r="Z29" s="31"/>
    </row>
    <row r="30" spans="1:26" s="7" customFormat="1" x14ac:dyDescent="0.25">
      <c r="A30" s="7" t="s">
        <v>177</v>
      </c>
      <c r="B30" s="98" t="s">
        <v>178</v>
      </c>
      <c r="C30" s="7" t="s">
        <v>596</v>
      </c>
      <c r="D30" s="7" t="s">
        <v>161</v>
      </c>
      <c r="E30" s="31" t="s">
        <v>162</v>
      </c>
      <c r="F30" s="30">
        <v>25</v>
      </c>
      <c r="H30" s="30">
        <v>50</v>
      </c>
      <c r="I30" s="7">
        <v>99.5</v>
      </c>
      <c r="J30" s="7">
        <f t="shared" si="5"/>
        <v>6.54</v>
      </c>
      <c r="K30" s="66">
        <f t="shared" si="6"/>
        <v>6.5072999999999999</v>
      </c>
      <c r="L30" s="66">
        <v>3.4</v>
      </c>
      <c r="M30" s="7">
        <v>38</v>
      </c>
      <c r="N30" s="66">
        <f t="shared" si="7"/>
        <v>1.292</v>
      </c>
      <c r="O30" s="37">
        <f t="shared" si="8"/>
        <v>13</v>
      </c>
      <c r="P30" s="36">
        <f t="shared" si="0"/>
        <v>4.9400000000000004</v>
      </c>
      <c r="Q30" s="90"/>
      <c r="R30" s="90"/>
      <c r="S30" s="90"/>
      <c r="T30" s="29">
        <f t="shared" si="9"/>
        <v>4.96</v>
      </c>
      <c r="U30" s="25">
        <f t="shared" si="10"/>
        <v>0.4</v>
      </c>
      <c r="V30" s="13">
        <f t="shared" si="1"/>
        <v>100</v>
      </c>
      <c r="W30" s="7">
        <f t="shared" si="2"/>
        <v>6.54</v>
      </c>
      <c r="X30" s="31">
        <f t="shared" si="3"/>
        <v>38</v>
      </c>
      <c r="Y30" s="31">
        <f t="shared" si="4"/>
        <v>1.292</v>
      </c>
      <c r="Z30" s="31"/>
    </row>
    <row r="31" spans="1:26" s="7" customFormat="1" x14ac:dyDescent="0.25">
      <c r="A31" s="7" t="s">
        <v>179</v>
      </c>
      <c r="B31" s="98" t="s">
        <v>178</v>
      </c>
      <c r="C31" s="7" t="s">
        <v>596</v>
      </c>
      <c r="D31" s="7" t="s">
        <v>161</v>
      </c>
      <c r="E31" s="31" t="s">
        <v>162</v>
      </c>
      <c r="F31" s="30">
        <v>25</v>
      </c>
      <c r="H31" s="30">
        <v>50</v>
      </c>
      <c r="I31" s="7">
        <v>99.5</v>
      </c>
      <c r="J31" s="7">
        <f t="shared" si="5"/>
        <v>6.54</v>
      </c>
      <c r="K31" s="66">
        <f t="shared" si="6"/>
        <v>6.5072999999999999</v>
      </c>
      <c r="L31" s="66">
        <v>3.14</v>
      </c>
      <c r="M31" s="7">
        <v>38</v>
      </c>
      <c r="N31" s="66">
        <f t="shared" si="7"/>
        <v>1.1932</v>
      </c>
      <c r="O31" s="37">
        <f t="shared" si="8"/>
        <v>12</v>
      </c>
      <c r="P31" s="36">
        <f t="shared" si="0"/>
        <v>4.5599999999999996</v>
      </c>
      <c r="Q31" s="90"/>
      <c r="R31" s="90"/>
      <c r="S31" s="90"/>
      <c r="T31" s="29">
        <f t="shared" si="9"/>
        <v>4.58</v>
      </c>
      <c r="U31" s="25">
        <f t="shared" si="10"/>
        <v>0.4</v>
      </c>
      <c r="V31" s="13">
        <f t="shared" si="1"/>
        <v>100</v>
      </c>
      <c r="W31" s="7">
        <f t="shared" si="2"/>
        <v>6.54</v>
      </c>
      <c r="X31" s="31">
        <f t="shared" si="3"/>
        <v>38</v>
      </c>
      <c r="Y31" s="31">
        <f t="shared" si="4"/>
        <v>1.1932</v>
      </c>
      <c r="Z31" s="31"/>
    </row>
    <row r="32" spans="1:26" s="7" customFormat="1" x14ac:dyDescent="0.25">
      <c r="A32" s="7" t="s">
        <v>180</v>
      </c>
      <c r="B32" s="98" t="s">
        <v>181</v>
      </c>
      <c r="C32" s="7" t="s">
        <v>596</v>
      </c>
      <c r="D32" s="7" t="s">
        <v>161</v>
      </c>
      <c r="E32" s="31" t="s">
        <v>162</v>
      </c>
      <c r="F32" s="30">
        <v>25</v>
      </c>
      <c r="H32" s="30">
        <v>50</v>
      </c>
      <c r="I32" s="7">
        <v>99.5</v>
      </c>
      <c r="J32" s="7">
        <f t="shared" si="5"/>
        <v>6.54</v>
      </c>
      <c r="K32" s="66">
        <f t="shared" si="6"/>
        <v>6.5072999999999999</v>
      </c>
      <c r="L32" s="66">
        <v>3.14</v>
      </c>
      <c r="M32" s="7">
        <v>27</v>
      </c>
      <c r="N32" s="66">
        <f t="shared" si="7"/>
        <v>0.8478</v>
      </c>
      <c r="O32" s="37">
        <f t="shared" si="8"/>
        <v>12</v>
      </c>
      <c r="P32" s="36">
        <f t="shared" si="0"/>
        <v>3.24</v>
      </c>
      <c r="Q32" s="90"/>
      <c r="R32" s="90"/>
      <c r="S32" s="90"/>
      <c r="T32" s="29">
        <f t="shared" si="9"/>
        <v>3.26</v>
      </c>
      <c r="U32" s="25">
        <f t="shared" si="10"/>
        <v>0.6</v>
      </c>
      <c r="V32" s="13">
        <f t="shared" si="1"/>
        <v>100</v>
      </c>
      <c r="W32" s="7">
        <f t="shared" si="2"/>
        <v>6.54</v>
      </c>
      <c r="X32" s="31">
        <f t="shared" si="3"/>
        <v>27</v>
      </c>
      <c r="Y32" s="31">
        <f t="shared" si="4"/>
        <v>0.8478</v>
      </c>
      <c r="Z32" s="31"/>
    </row>
    <row r="33" spans="1:26" s="7" customFormat="1" x14ac:dyDescent="0.25">
      <c r="A33" s="7" t="s">
        <v>182</v>
      </c>
      <c r="B33" s="98" t="s">
        <v>181</v>
      </c>
      <c r="C33" s="7" t="s">
        <v>596</v>
      </c>
      <c r="D33" s="7" t="s">
        <v>161</v>
      </c>
      <c r="E33" s="31" t="s">
        <v>162</v>
      </c>
      <c r="F33" s="30">
        <v>25</v>
      </c>
      <c r="H33" s="30">
        <v>50</v>
      </c>
      <c r="I33" s="7">
        <v>99.5</v>
      </c>
      <c r="J33" s="7">
        <f t="shared" si="5"/>
        <v>6.54</v>
      </c>
      <c r="K33" s="66">
        <f t="shared" si="6"/>
        <v>6.5072999999999999</v>
      </c>
      <c r="L33" s="66">
        <v>3.14</v>
      </c>
      <c r="M33" s="7">
        <v>27</v>
      </c>
      <c r="N33" s="66">
        <f t="shared" si="7"/>
        <v>0.8478</v>
      </c>
      <c r="O33" s="37">
        <f t="shared" si="8"/>
        <v>12</v>
      </c>
      <c r="P33" s="36">
        <f t="shared" si="0"/>
        <v>3.24</v>
      </c>
      <c r="Q33" s="90"/>
      <c r="R33" s="90"/>
      <c r="S33" s="90"/>
      <c r="T33" s="29">
        <f t="shared" si="9"/>
        <v>3.26</v>
      </c>
      <c r="U33" s="25">
        <f t="shared" si="10"/>
        <v>0.6</v>
      </c>
      <c r="V33" s="13">
        <f t="shared" si="1"/>
        <v>100</v>
      </c>
      <c r="W33" s="7">
        <f t="shared" si="2"/>
        <v>6.54</v>
      </c>
      <c r="X33" s="31">
        <f t="shared" si="3"/>
        <v>27</v>
      </c>
      <c r="Y33" s="31">
        <f t="shared" si="4"/>
        <v>0.8478</v>
      </c>
      <c r="Z33" s="31"/>
    </row>
    <row r="34" spans="1:26" s="7" customFormat="1" x14ac:dyDescent="0.25">
      <c r="A34" s="7" t="s">
        <v>183</v>
      </c>
      <c r="B34" s="98" t="s">
        <v>181</v>
      </c>
      <c r="C34" s="7" t="s">
        <v>596</v>
      </c>
      <c r="D34" s="7" t="s">
        <v>161</v>
      </c>
      <c r="E34" s="31" t="s">
        <v>162</v>
      </c>
      <c r="F34" s="30">
        <v>25</v>
      </c>
      <c r="H34" s="30">
        <v>50</v>
      </c>
      <c r="I34" s="7">
        <v>99.5</v>
      </c>
      <c r="J34" s="7">
        <f t="shared" si="5"/>
        <v>6.54</v>
      </c>
      <c r="K34" s="66">
        <f t="shared" si="6"/>
        <v>6.5072999999999999</v>
      </c>
      <c r="L34" s="66">
        <v>3.14</v>
      </c>
      <c r="M34" s="7">
        <v>30</v>
      </c>
      <c r="N34" s="66">
        <f t="shared" si="7"/>
        <v>0.94199999999999995</v>
      </c>
      <c r="O34" s="37">
        <f t="shared" si="8"/>
        <v>12</v>
      </c>
      <c r="P34" s="36">
        <f t="shared" si="0"/>
        <v>3.6</v>
      </c>
      <c r="Q34" s="90"/>
      <c r="R34" s="90"/>
      <c r="S34" s="90"/>
      <c r="T34" s="29">
        <f t="shared" si="9"/>
        <v>3.62</v>
      </c>
      <c r="U34" s="25">
        <f t="shared" si="10"/>
        <v>0.6</v>
      </c>
      <c r="V34" s="13">
        <f t="shared" si="1"/>
        <v>100</v>
      </c>
      <c r="W34" s="7">
        <f t="shared" si="2"/>
        <v>6.54</v>
      </c>
      <c r="X34" s="31">
        <f t="shared" si="3"/>
        <v>30</v>
      </c>
      <c r="Y34" s="31">
        <f t="shared" si="4"/>
        <v>0.94199999999999995</v>
      </c>
      <c r="Z34" s="31"/>
    </row>
    <row r="35" spans="1:26" s="7" customFormat="1" x14ac:dyDescent="0.25">
      <c r="A35" s="7" t="s">
        <v>184</v>
      </c>
      <c r="B35" s="98" t="s">
        <v>185</v>
      </c>
      <c r="C35" s="7" t="s">
        <v>596</v>
      </c>
      <c r="D35" s="7" t="s">
        <v>161</v>
      </c>
      <c r="E35" s="31" t="s">
        <v>162</v>
      </c>
      <c r="F35" s="30">
        <v>25</v>
      </c>
      <c r="H35" s="30">
        <v>53</v>
      </c>
      <c r="I35" s="7">
        <v>99.5</v>
      </c>
      <c r="J35" s="7">
        <f t="shared" si="5"/>
        <v>6.1698000000000004</v>
      </c>
      <c r="K35" s="66">
        <f t="shared" si="6"/>
        <v>6.1390000000000002</v>
      </c>
      <c r="L35" s="66">
        <v>3.14</v>
      </c>
      <c r="M35" s="7">
        <v>30</v>
      </c>
      <c r="N35" s="66">
        <f t="shared" si="7"/>
        <v>0.94199999999999995</v>
      </c>
      <c r="O35" s="37">
        <f t="shared" si="8"/>
        <v>12.72</v>
      </c>
      <c r="P35" s="36">
        <f t="shared" si="0"/>
        <v>3.82</v>
      </c>
      <c r="Q35" s="90"/>
      <c r="R35" s="90"/>
      <c r="S35" s="90"/>
      <c r="T35" s="29">
        <f t="shared" si="9"/>
        <v>3.84</v>
      </c>
      <c r="U35" s="25">
        <f t="shared" si="10"/>
        <v>0.5</v>
      </c>
      <c r="V35" s="13">
        <f t="shared" si="1"/>
        <v>100</v>
      </c>
      <c r="W35" s="7">
        <f t="shared" si="2"/>
        <v>6.1698000000000004</v>
      </c>
      <c r="X35" s="31">
        <f t="shared" si="3"/>
        <v>30</v>
      </c>
      <c r="Y35" s="31">
        <f t="shared" si="4"/>
        <v>0.94199999999999995</v>
      </c>
      <c r="Z35" s="31"/>
    </row>
    <row r="36" spans="1:26" s="7" customFormat="1" ht="30" x14ac:dyDescent="0.25">
      <c r="A36" s="7">
        <v>238</v>
      </c>
      <c r="B36" s="98" t="s">
        <v>209</v>
      </c>
      <c r="C36" s="7" t="s">
        <v>596</v>
      </c>
      <c r="D36" s="7" t="s">
        <v>161</v>
      </c>
      <c r="E36" s="31" t="s">
        <v>162</v>
      </c>
      <c r="F36" s="30">
        <v>25</v>
      </c>
      <c r="H36" s="30">
        <v>60</v>
      </c>
      <c r="I36" s="7">
        <v>99.5</v>
      </c>
      <c r="J36" s="7">
        <f t="shared" si="5"/>
        <v>5.45</v>
      </c>
      <c r="K36" s="66">
        <f t="shared" si="6"/>
        <v>5.4227999999999996</v>
      </c>
      <c r="L36" s="66">
        <v>3.14</v>
      </c>
      <c r="M36" s="7">
        <v>35</v>
      </c>
      <c r="N36" s="66">
        <f t="shared" si="7"/>
        <v>1.099</v>
      </c>
      <c r="O36" s="37">
        <f t="shared" si="8"/>
        <v>14.4</v>
      </c>
      <c r="P36" s="36">
        <f t="shared" si="0"/>
        <v>5.04</v>
      </c>
      <c r="Q36" s="90"/>
      <c r="R36" s="90"/>
      <c r="S36" s="90"/>
      <c r="T36" s="29">
        <f t="shared" si="9"/>
        <v>5.07</v>
      </c>
      <c r="U36" s="25">
        <f t="shared" si="10"/>
        <v>0.6</v>
      </c>
      <c r="V36" s="13">
        <f t="shared" si="1"/>
        <v>100</v>
      </c>
      <c r="W36" s="7">
        <f t="shared" si="2"/>
        <v>5.45</v>
      </c>
      <c r="X36" s="31">
        <f t="shared" si="3"/>
        <v>35</v>
      </c>
      <c r="Y36" s="31">
        <f t="shared" si="4"/>
        <v>1.099</v>
      </c>
      <c r="Z36" s="31"/>
    </row>
    <row r="37" spans="1:26" s="7" customFormat="1" x14ac:dyDescent="0.25">
      <c r="A37" s="7" t="s">
        <v>186</v>
      </c>
      <c r="B37" s="98" t="s">
        <v>187</v>
      </c>
      <c r="C37" s="7" t="s">
        <v>596</v>
      </c>
      <c r="D37" s="7" t="s">
        <v>161</v>
      </c>
      <c r="E37" s="31" t="s">
        <v>188</v>
      </c>
      <c r="F37" s="30">
        <v>25</v>
      </c>
      <c r="H37" s="30">
        <v>65</v>
      </c>
      <c r="I37" s="7">
        <v>99.5</v>
      </c>
      <c r="J37" s="7">
        <f t="shared" si="5"/>
        <v>5.0308000000000002</v>
      </c>
      <c r="K37" s="66">
        <f t="shared" si="6"/>
        <v>5.0056000000000003</v>
      </c>
      <c r="L37" s="66">
        <v>4.0999999999999996</v>
      </c>
      <c r="M37" s="7">
        <v>25</v>
      </c>
      <c r="N37" s="66">
        <f t="shared" si="7"/>
        <v>1.0249999999999999</v>
      </c>
      <c r="O37" s="37">
        <f t="shared" si="8"/>
        <v>20.37</v>
      </c>
      <c r="P37" s="36">
        <f t="shared" si="0"/>
        <v>5.09</v>
      </c>
      <c r="Q37" s="90"/>
      <c r="R37" s="90"/>
      <c r="S37" s="90"/>
      <c r="T37" s="29">
        <f t="shared" si="9"/>
        <v>5.12</v>
      </c>
      <c r="U37" s="25">
        <f t="shared" si="10"/>
        <v>0.6</v>
      </c>
      <c r="V37" s="13">
        <f t="shared" si="1"/>
        <v>100</v>
      </c>
      <c r="W37" s="7">
        <f t="shared" si="2"/>
        <v>5.0308000000000002</v>
      </c>
      <c r="X37" s="31">
        <f t="shared" si="3"/>
        <v>25</v>
      </c>
      <c r="Y37" s="31">
        <f t="shared" si="4"/>
        <v>1.0249999999999999</v>
      </c>
      <c r="Z37" s="31"/>
    </row>
    <row r="38" spans="1:26" s="7" customFormat="1" x14ac:dyDescent="0.25">
      <c r="A38" s="7" t="s">
        <v>189</v>
      </c>
      <c r="B38" s="98" t="s">
        <v>190</v>
      </c>
      <c r="C38" s="7" t="s">
        <v>596</v>
      </c>
      <c r="D38" s="7" t="s">
        <v>161</v>
      </c>
      <c r="E38" s="31" t="s">
        <v>188</v>
      </c>
      <c r="F38" s="30">
        <v>25</v>
      </c>
      <c r="H38" s="30">
        <v>72</v>
      </c>
      <c r="I38" s="7">
        <v>99.5</v>
      </c>
      <c r="J38" s="7">
        <f t="shared" si="5"/>
        <v>4.5416999999999996</v>
      </c>
      <c r="K38" s="66">
        <f t="shared" si="6"/>
        <v>4.5190000000000001</v>
      </c>
      <c r="L38" s="66">
        <v>4.01</v>
      </c>
      <c r="M38" s="7">
        <v>25</v>
      </c>
      <c r="N38" s="66">
        <f t="shared" si="7"/>
        <v>1.0024999999999999</v>
      </c>
      <c r="O38" s="37">
        <f t="shared" si="8"/>
        <v>22.07</v>
      </c>
      <c r="P38" s="36">
        <f t="shared" si="0"/>
        <v>5.52</v>
      </c>
      <c r="Q38" s="90"/>
      <c r="R38" s="90"/>
      <c r="S38" s="90"/>
      <c r="T38" s="29">
        <f t="shared" si="9"/>
        <v>5.55</v>
      </c>
      <c r="U38" s="25">
        <f t="shared" si="10"/>
        <v>0.5</v>
      </c>
      <c r="V38" s="13">
        <f t="shared" si="1"/>
        <v>100</v>
      </c>
      <c r="W38" s="7">
        <f t="shared" si="2"/>
        <v>4.5416999999999996</v>
      </c>
      <c r="X38" s="31">
        <f t="shared" si="3"/>
        <v>25</v>
      </c>
      <c r="Y38" s="31">
        <f t="shared" si="4"/>
        <v>1.0024999999999999</v>
      </c>
      <c r="Z38" s="31"/>
    </row>
    <row r="39" spans="1:26" s="7" customFormat="1" x14ac:dyDescent="0.25">
      <c r="A39" s="7" t="s">
        <v>191</v>
      </c>
      <c r="B39" s="98" t="s">
        <v>192</v>
      </c>
      <c r="C39" s="7" t="s">
        <v>596</v>
      </c>
      <c r="D39" s="7" t="s">
        <v>161</v>
      </c>
      <c r="E39" s="31" t="s">
        <v>188</v>
      </c>
      <c r="F39" s="30">
        <v>25</v>
      </c>
      <c r="H39" s="30">
        <v>90</v>
      </c>
      <c r="I39" s="7">
        <v>99.5</v>
      </c>
      <c r="J39" s="7">
        <f t="shared" si="5"/>
        <v>3.6333000000000002</v>
      </c>
      <c r="K39" s="66">
        <f t="shared" si="6"/>
        <v>3.6151</v>
      </c>
      <c r="L39" s="66">
        <v>3.4</v>
      </c>
      <c r="M39" s="7">
        <v>25</v>
      </c>
      <c r="N39" s="66">
        <f t="shared" si="7"/>
        <v>0.85</v>
      </c>
      <c r="O39" s="37">
        <f t="shared" si="8"/>
        <v>23.39</v>
      </c>
      <c r="P39" s="36">
        <f t="shared" si="0"/>
        <v>5.85</v>
      </c>
      <c r="Q39" s="90"/>
      <c r="R39" s="90"/>
      <c r="S39" s="90"/>
      <c r="T39" s="29">
        <f t="shared" si="9"/>
        <v>5.88</v>
      </c>
      <c r="U39" s="25">
        <f t="shared" si="10"/>
        <v>0.5</v>
      </c>
      <c r="V39" s="13">
        <f t="shared" si="1"/>
        <v>100</v>
      </c>
      <c r="W39" s="7">
        <f t="shared" si="2"/>
        <v>3.6333000000000002</v>
      </c>
      <c r="X39" s="31">
        <f t="shared" si="3"/>
        <v>25</v>
      </c>
      <c r="Y39" s="31">
        <f t="shared" si="4"/>
        <v>0.85</v>
      </c>
      <c r="Z39" s="31"/>
    </row>
    <row r="40" spans="1:26" s="7" customFormat="1" x14ac:dyDescent="0.25">
      <c r="A40" s="7" t="s">
        <v>193</v>
      </c>
      <c r="B40" s="98" t="s">
        <v>194</v>
      </c>
      <c r="C40" s="7" t="s">
        <v>596</v>
      </c>
      <c r="D40" s="7" t="s">
        <v>161</v>
      </c>
      <c r="E40" s="31" t="s">
        <v>188</v>
      </c>
      <c r="F40" s="30">
        <v>25</v>
      </c>
      <c r="H40" s="30" t="e">
        <f>NA()</f>
        <v>#N/A</v>
      </c>
      <c r="I40" s="7">
        <v>99.5</v>
      </c>
      <c r="J40" s="7">
        <f t="shared" si="5"/>
        <v>0</v>
      </c>
      <c r="K40" s="66">
        <f t="shared" si="6"/>
        <v>0</v>
      </c>
      <c r="L40" s="66">
        <v>3.4</v>
      </c>
      <c r="M40" s="7">
        <v>25</v>
      </c>
      <c r="N40" s="66">
        <f t="shared" si="7"/>
        <v>0.85</v>
      </c>
      <c r="O40" s="37" t="e">
        <f>NA()</f>
        <v>#N/A</v>
      </c>
      <c r="P40" s="36" t="e">
        <f>NA()</f>
        <v>#N/A</v>
      </c>
      <c r="Q40" s="90"/>
      <c r="R40" s="90"/>
      <c r="S40" s="90"/>
      <c r="T40" s="29" t="e">
        <f>NA()</f>
        <v>#N/A</v>
      </c>
      <c r="U40" s="25" t="e">
        <f>NA()</f>
        <v>#N/A</v>
      </c>
      <c r="V40" s="13">
        <f t="shared" si="1"/>
        <v>100</v>
      </c>
      <c r="W40" s="7">
        <f t="shared" si="2"/>
        <v>0</v>
      </c>
      <c r="X40" s="31">
        <f t="shared" si="3"/>
        <v>25</v>
      </c>
      <c r="Y40" s="31">
        <f t="shared" si="4"/>
        <v>0.85</v>
      </c>
      <c r="Z40" s="31"/>
    </row>
    <row r="41" spans="1:26" s="7" customFormat="1" ht="30" x14ac:dyDescent="0.25">
      <c r="A41" s="7" t="s">
        <v>195</v>
      </c>
      <c r="B41" s="98" t="s">
        <v>196</v>
      </c>
      <c r="C41" s="128" t="s">
        <v>524</v>
      </c>
      <c r="E41" s="31"/>
      <c r="F41" s="30">
        <v>25</v>
      </c>
      <c r="H41" s="30" t="e">
        <f>NA()</f>
        <v>#N/A</v>
      </c>
      <c r="J41" s="7">
        <f t="shared" si="5"/>
        <v>0</v>
      </c>
      <c r="K41" s="66">
        <f t="shared" si="6"/>
        <v>0</v>
      </c>
      <c r="L41" s="66"/>
      <c r="N41" s="66">
        <f t="shared" si="7"/>
        <v>0</v>
      </c>
      <c r="O41" s="37" t="e">
        <f>NA()</f>
        <v>#N/A</v>
      </c>
      <c r="P41" s="36" t="e">
        <f>NA()</f>
        <v>#N/A</v>
      </c>
      <c r="Q41" s="90"/>
      <c r="R41" s="90"/>
      <c r="S41" s="90"/>
      <c r="T41" s="29" t="e">
        <f>NA()</f>
        <v>#N/A</v>
      </c>
      <c r="U41" s="25" t="e">
        <f>NA()</f>
        <v>#N/A</v>
      </c>
      <c r="V41" s="13">
        <v>100</v>
      </c>
      <c r="W41" s="7">
        <f t="shared" si="2"/>
        <v>0</v>
      </c>
      <c r="X41" s="31">
        <f t="shared" si="3"/>
        <v>0</v>
      </c>
      <c r="Y41" s="31">
        <f t="shared" si="4"/>
        <v>0</v>
      </c>
      <c r="Z41" s="31"/>
    </row>
    <row r="42" spans="1:26" s="7" customFormat="1" ht="45" x14ac:dyDescent="0.25">
      <c r="A42" s="7">
        <v>274</v>
      </c>
      <c r="B42" s="98" t="s">
        <v>617</v>
      </c>
      <c r="C42" s="31" t="s">
        <v>582</v>
      </c>
      <c r="D42" s="7" t="s">
        <v>197</v>
      </c>
      <c r="E42" s="31" t="s">
        <v>198</v>
      </c>
      <c r="F42" s="30">
        <v>400</v>
      </c>
      <c r="H42" s="30">
        <v>50</v>
      </c>
      <c r="I42" s="7">
        <v>99.5</v>
      </c>
      <c r="J42" s="7">
        <f t="shared" si="5"/>
        <v>6.54</v>
      </c>
      <c r="K42" s="66">
        <f t="shared" si="6"/>
        <v>6.5072999999999999</v>
      </c>
      <c r="L42" s="66">
        <f>C7/80</f>
        <v>4.0875000000000004</v>
      </c>
      <c r="M42" s="7">
        <v>5</v>
      </c>
      <c r="N42" s="66">
        <f t="shared" si="7"/>
        <v>0.2044</v>
      </c>
      <c r="O42" s="37">
        <f t="shared" ref="O42:O49" si="11">ROUND(F42*L42/J42,2)</f>
        <v>250</v>
      </c>
      <c r="P42" s="36">
        <f t="shared" ref="P42:P49" si="12">ROUND((F42*Y42/W42),2)</f>
        <v>12.5</v>
      </c>
      <c r="Q42" s="90"/>
      <c r="R42" s="90"/>
      <c r="S42" s="90"/>
      <c r="T42" s="29">
        <f t="shared" ref="T42:T49" si="13">ROUND((N42*F42/K42),2)</f>
        <v>12.56</v>
      </c>
      <c r="U42" s="25">
        <f t="shared" ref="U42:U49" si="14">ROUND((100*(T42-P42)/T42),1)</f>
        <v>0.5</v>
      </c>
      <c r="V42" s="13">
        <f t="shared" ref="V42:V49" si="15">IF(I42&lt;$H$7,I42,100)</f>
        <v>100</v>
      </c>
      <c r="W42" s="7">
        <f t="shared" si="2"/>
        <v>6.54</v>
      </c>
      <c r="X42" s="31">
        <f t="shared" si="3"/>
        <v>5</v>
      </c>
      <c r="Y42" s="31">
        <f t="shared" si="4"/>
        <v>0.2044</v>
      </c>
      <c r="Z42" s="31"/>
    </row>
    <row r="43" spans="1:26" s="7" customFormat="1" ht="30" x14ac:dyDescent="0.25">
      <c r="A43" s="7" t="s">
        <v>199</v>
      </c>
      <c r="B43" s="98" t="s">
        <v>200</v>
      </c>
      <c r="C43" s="31" t="s">
        <v>583</v>
      </c>
      <c r="D43" s="7" t="s">
        <v>161</v>
      </c>
      <c r="E43" s="31" t="s">
        <v>201</v>
      </c>
      <c r="F43" s="30">
        <v>20</v>
      </c>
      <c r="H43" s="30">
        <v>60</v>
      </c>
      <c r="I43" s="7">
        <v>99.5</v>
      </c>
      <c r="J43" s="7">
        <f t="shared" si="5"/>
        <v>5.45</v>
      </c>
      <c r="K43" s="66">
        <f t="shared" si="6"/>
        <v>5.4227999999999996</v>
      </c>
      <c r="L43" s="66">
        <f>C7/96</f>
        <v>3.40625</v>
      </c>
      <c r="M43" s="7">
        <v>80</v>
      </c>
      <c r="N43" s="66">
        <f t="shared" si="7"/>
        <v>2.7250000000000001</v>
      </c>
      <c r="O43" s="37">
        <f t="shared" si="11"/>
        <v>12.5</v>
      </c>
      <c r="P43" s="36">
        <f t="shared" si="12"/>
        <v>10</v>
      </c>
      <c r="Q43" s="90"/>
      <c r="R43" s="90"/>
      <c r="S43" s="90"/>
      <c r="T43" s="29">
        <f t="shared" si="13"/>
        <v>10.050000000000001</v>
      </c>
      <c r="U43" s="25">
        <f t="shared" si="14"/>
        <v>0.5</v>
      </c>
      <c r="V43" s="13">
        <f t="shared" si="15"/>
        <v>100</v>
      </c>
      <c r="W43" s="7">
        <f t="shared" si="2"/>
        <v>5.45</v>
      </c>
      <c r="X43" s="31">
        <f t="shared" si="3"/>
        <v>80</v>
      </c>
      <c r="Y43" s="31">
        <f t="shared" si="4"/>
        <v>2.7250000000000001</v>
      </c>
      <c r="Z43" s="31"/>
    </row>
    <row r="44" spans="1:26" s="7" customFormat="1" ht="30" x14ac:dyDescent="0.25">
      <c r="A44" s="7" t="s">
        <v>523</v>
      </c>
      <c r="B44" s="98" t="s">
        <v>200</v>
      </c>
      <c r="C44" s="7" t="s">
        <v>526</v>
      </c>
      <c r="D44" s="7" t="s">
        <v>161</v>
      </c>
      <c r="E44" s="31" t="s">
        <v>201</v>
      </c>
      <c r="F44" s="30">
        <v>24</v>
      </c>
      <c r="H44" s="30">
        <v>60</v>
      </c>
      <c r="I44" s="7">
        <v>99.5</v>
      </c>
      <c r="J44" s="7">
        <f t="shared" si="5"/>
        <v>5.45</v>
      </c>
      <c r="K44" s="66">
        <f t="shared" si="6"/>
        <v>5.4227999999999996</v>
      </c>
      <c r="L44" s="66">
        <f>C7/96</f>
        <v>3.40625</v>
      </c>
      <c r="M44" s="7">
        <v>80</v>
      </c>
      <c r="N44" s="66">
        <f t="shared" si="7"/>
        <v>2.7250000000000001</v>
      </c>
      <c r="O44" s="37">
        <f t="shared" si="11"/>
        <v>15</v>
      </c>
      <c r="P44" s="36">
        <f t="shared" si="12"/>
        <v>12</v>
      </c>
      <c r="Q44" s="90"/>
      <c r="R44" s="90"/>
      <c r="S44" s="90"/>
      <c r="T44" s="29">
        <f t="shared" si="13"/>
        <v>12.06</v>
      </c>
      <c r="U44" s="25">
        <f t="shared" si="14"/>
        <v>0.5</v>
      </c>
      <c r="V44" s="13">
        <f t="shared" si="15"/>
        <v>100</v>
      </c>
      <c r="W44" s="7">
        <f t="shared" si="2"/>
        <v>5.45</v>
      </c>
      <c r="X44" s="31">
        <f t="shared" si="3"/>
        <v>80</v>
      </c>
      <c r="Y44" s="31">
        <f t="shared" si="4"/>
        <v>2.7250000000000001</v>
      </c>
      <c r="Z44" s="31"/>
    </row>
    <row r="45" spans="1:26" s="7" customFormat="1" ht="60" x14ac:dyDescent="0.25">
      <c r="A45" s="7" t="s">
        <v>202</v>
      </c>
      <c r="B45" s="98" t="s">
        <v>203</v>
      </c>
      <c r="C45" s="7" t="s">
        <v>135</v>
      </c>
      <c r="D45" s="7" t="s">
        <v>130</v>
      </c>
      <c r="E45" s="31" t="s">
        <v>533</v>
      </c>
      <c r="F45" s="30">
        <v>24</v>
      </c>
      <c r="H45" s="30">
        <v>72</v>
      </c>
      <c r="I45" s="7">
        <v>99.5</v>
      </c>
      <c r="J45" s="7">
        <f t="shared" si="5"/>
        <v>4.5416999999999996</v>
      </c>
      <c r="K45" s="66">
        <f t="shared" si="6"/>
        <v>4.5190000000000001</v>
      </c>
      <c r="L45" s="66">
        <f>C7/96</f>
        <v>3.40625</v>
      </c>
      <c r="M45" s="7" t="e">
        <f>NA()</f>
        <v>#N/A</v>
      </c>
      <c r="N45" s="66" t="e">
        <f t="shared" si="7"/>
        <v>#N/A</v>
      </c>
      <c r="O45" s="37">
        <f t="shared" si="11"/>
        <v>18</v>
      </c>
      <c r="P45" s="36" t="e">
        <f t="shared" si="12"/>
        <v>#N/A</v>
      </c>
      <c r="Q45" s="90"/>
      <c r="R45" s="90"/>
      <c r="S45" s="90"/>
      <c r="T45" s="29" t="e">
        <f t="shared" si="13"/>
        <v>#N/A</v>
      </c>
      <c r="U45" s="25" t="e">
        <f t="shared" si="14"/>
        <v>#N/A</v>
      </c>
      <c r="V45" s="13">
        <f t="shared" si="15"/>
        <v>100</v>
      </c>
      <c r="W45" s="7">
        <f t="shared" si="2"/>
        <v>4.5416999999999996</v>
      </c>
      <c r="X45" s="31" t="e">
        <f t="shared" si="3"/>
        <v>#N/A</v>
      </c>
      <c r="Y45" s="31" t="e">
        <f t="shared" si="4"/>
        <v>#N/A</v>
      </c>
      <c r="Z45" s="31"/>
    </row>
    <row r="46" spans="1:26" s="7" customFormat="1" ht="30" x14ac:dyDescent="0.25">
      <c r="A46" s="7" t="s">
        <v>204</v>
      </c>
      <c r="B46" s="98" t="s">
        <v>205</v>
      </c>
      <c r="C46" s="31" t="s">
        <v>584</v>
      </c>
      <c r="D46" s="7" t="s">
        <v>130</v>
      </c>
      <c r="E46" s="31" t="s">
        <v>206</v>
      </c>
      <c r="F46" s="30">
        <v>24</v>
      </c>
      <c r="H46" s="30">
        <v>72</v>
      </c>
      <c r="I46" s="7">
        <v>99.5</v>
      </c>
      <c r="J46" s="7">
        <f t="shared" si="5"/>
        <v>4.5416999999999996</v>
      </c>
      <c r="K46" s="66">
        <f t="shared" si="6"/>
        <v>4.5190000000000001</v>
      </c>
      <c r="L46" s="66">
        <f>C7/144</f>
        <v>2.2708333333333335</v>
      </c>
      <c r="M46" s="7">
        <v>100</v>
      </c>
      <c r="N46" s="66">
        <f t="shared" si="7"/>
        <v>2.2707999999999999</v>
      </c>
      <c r="O46" s="37">
        <f t="shared" si="11"/>
        <v>12</v>
      </c>
      <c r="P46" s="36">
        <f t="shared" si="12"/>
        <v>12</v>
      </c>
      <c r="Q46" s="90"/>
      <c r="R46" s="90"/>
      <c r="S46" s="90"/>
      <c r="T46" s="29">
        <f t="shared" si="13"/>
        <v>12.06</v>
      </c>
      <c r="U46" s="25">
        <f t="shared" si="14"/>
        <v>0.5</v>
      </c>
      <c r="V46" s="13">
        <f t="shared" si="15"/>
        <v>100</v>
      </c>
      <c r="W46" s="7">
        <f t="shared" si="2"/>
        <v>4.5416999999999996</v>
      </c>
      <c r="X46" s="31">
        <f t="shared" si="3"/>
        <v>100</v>
      </c>
      <c r="Y46" s="31">
        <f t="shared" si="4"/>
        <v>2.2707999999999999</v>
      </c>
      <c r="Z46" s="31"/>
    </row>
    <row r="47" spans="1:26" s="7" customFormat="1" x14ac:dyDescent="0.25">
      <c r="A47" s="7" t="s">
        <v>207</v>
      </c>
      <c r="B47" s="98" t="s">
        <v>205</v>
      </c>
      <c r="C47" s="7" t="s">
        <v>585</v>
      </c>
      <c r="D47" s="7" t="s">
        <v>130</v>
      </c>
      <c r="E47" s="31" t="s">
        <v>206</v>
      </c>
      <c r="F47" s="30">
        <v>24</v>
      </c>
      <c r="H47" s="30">
        <v>72</v>
      </c>
      <c r="I47" s="7">
        <v>99.5</v>
      </c>
      <c r="J47" s="7">
        <f t="shared" si="5"/>
        <v>4.5416999999999996</v>
      </c>
      <c r="K47" s="66">
        <f t="shared" si="6"/>
        <v>4.5190000000000001</v>
      </c>
      <c r="L47" s="66">
        <f>C7/144</f>
        <v>2.2708333333333335</v>
      </c>
      <c r="M47" s="7">
        <v>100</v>
      </c>
      <c r="N47" s="66">
        <f t="shared" si="7"/>
        <v>2.2707999999999999</v>
      </c>
      <c r="O47" s="37">
        <f t="shared" si="11"/>
        <v>12</v>
      </c>
      <c r="P47" s="36">
        <f t="shared" si="12"/>
        <v>12</v>
      </c>
      <c r="Q47" s="90"/>
      <c r="R47" s="90"/>
      <c r="S47" s="90"/>
      <c r="T47" s="29">
        <f t="shared" si="13"/>
        <v>12.06</v>
      </c>
      <c r="U47" s="25">
        <f t="shared" si="14"/>
        <v>0.5</v>
      </c>
      <c r="V47" s="13">
        <f t="shared" si="15"/>
        <v>100</v>
      </c>
      <c r="W47" s="7">
        <f t="shared" si="2"/>
        <v>4.5416999999999996</v>
      </c>
      <c r="X47" s="31">
        <f t="shared" si="3"/>
        <v>100</v>
      </c>
      <c r="Y47" s="31">
        <f t="shared" si="4"/>
        <v>2.2707999999999999</v>
      </c>
      <c r="Z47" s="31"/>
    </row>
    <row r="48" spans="1:26" s="7" customFormat="1" x14ac:dyDescent="0.25">
      <c r="A48" s="7" t="s">
        <v>246</v>
      </c>
      <c r="B48" s="98"/>
      <c r="C48" s="7" t="s">
        <v>586</v>
      </c>
      <c r="E48" s="31" t="s">
        <v>206</v>
      </c>
      <c r="F48" s="30">
        <v>24</v>
      </c>
      <c r="H48" s="30">
        <v>72</v>
      </c>
      <c r="I48" s="7">
        <v>99.5</v>
      </c>
      <c r="J48" s="7">
        <f t="shared" si="5"/>
        <v>4.5416999999999996</v>
      </c>
      <c r="K48" s="66">
        <f t="shared" si="6"/>
        <v>4.5190000000000001</v>
      </c>
      <c r="L48" s="66">
        <f>C7/192</f>
        <v>1.703125</v>
      </c>
      <c r="M48" s="7">
        <v>100</v>
      </c>
      <c r="N48" s="66">
        <f t="shared" si="7"/>
        <v>1.7031000000000001</v>
      </c>
      <c r="O48" s="37">
        <f t="shared" si="11"/>
        <v>9</v>
      </c>
      <c r="P48" s="36">
        <f t="shared" si="12"/>
        <v>9</v>
      </c>
      <c r="Q48" s="90"/>
      <c r="R48" s="90"/>
      <c r="S48" s="90"/>
      <c r="T48" s="29">
        <f t="shared" si="13"/>
        <v>9.0500000000000007</v>
      </c>
      <c r="U48" s="25">
        <f t="shared" si="14"/>
        <v>0.6</v>
      </c>
      <c r="V48" s="13">
        <f t="shared" si="15"/>
        <v>100</v>
      </c>
      <c r="W48" s="7">
        <f t="shared" si="2"/>
        <v>4.5416999999999996</v>
      </c>
      <c r="X48" s="31">
        <f t="shared" si="3"/>
        <v>100</v>
      </c>
      <c r="Y48" s="31">
        <f t="shared" si="4"/>
        <v>1.7031000000000001</v>
      </c>
      <c r="Z48" s="31"/>
    </row>
    <row r="49" spans="1:26" s="7" customFormat="1" x14ac:dyDescent="0.25">
      <c r="A49" s="150" t="s">
        <v>247</v>
      </c>
      <c r="B49" s="159"/>
      <c r="C49" s="150" t="s">
        <v>527</v>
      </c>
      <c r="D49" s="150"/>
      <c r="E49" s="151" t="s">
        <v>206</v>
      </c>
      <c r="F49" s="153">
        <v>24</v>
      </c>
      <c r="G49" s="150"/>
      <c r="H49" s="153">
        <v>72</v>
      </c>
      <c r="I49" s="150">
        <v>99.5</v>
      </c>
      <c r="J49" s="150">
        <f t="shared" si="5"/>
        <v>4.5416999999999996</v>
      </c>
      <c r="K49" s="154">
        <f t="shared" si="6"/>
        <v>4.5190000000000001</v>
      </c>
      <c r="L49" s="154">
        <f>C7/192</f>
        <v>1.703125</v>
      </c>
      <c r="M49" s="150">
        <v>94</v>
      </c>
      <c r="N49" s="154">
        <f t="shared" si="7"/>
        <v>1.6009</v>
      </c>
      <c r="O49" s="155">
        <f t="shared" si="11"/>
        <v>9</v>
      </c>
      <c r="P49" s="156">
        <f t="shared" si="12"/>
        <v>8.4600000000000009</v>
      </c>
      <c r="Q49" s="90"/>
      <c r="R49" s="90"/>
      <c r="S49" s="90"/>
      <c r="T49" s="147">
        <f t="shared" si="13"/>
        <v>8.5</v>
      </c>
      <c r="U49" s="148">
        <f t="shared" si="14"/>
        <v>0.5</v>
      </c>
      <c r="V49" s="149">
        <f t="shared" si="15"/>
        <v>100</v>
      </c>
      <c r="W49" s="150">
        <f t="shared" si="2"/>
        <v>4.5416999999999996</v>
      </c>
      <c r="X49" s="151">
        <f t="shared" si="3"/>
        <v>94</v>
      </c>
      <c r="Y49" s="151">
        <f t="shared" si="4"/>
        <v>1.6009</v>
      </c>
      <c r="Z49" s="31"/>
    </row>
    <row r="50" spans="1:26" x14ac:dyDescent="0.25">
      <c r="A50" s="22"/>
      <c r="B50" s="39"/>
      <c r="C50" s="22"/>
      <c r="D50" s="22"/>
      <c r="E50" s="39"/>
      <c r="F50" s="22"/>
      <c r="G50" s="22"/>
      <c r="H50" s="22"/>
      <c r="I50" s="22"/>
      <c r="J50" s="22"/>
      <c r="K50" s="22"/>
      <c r="L50" s="22"/>
      <c r="M50" s="22"/>
      <c r="N50" s="146"/>
      <c r="O50" s="24"/>
      <c r="P50" s="152"/>
    </row>
  </sheetData>
  <phoneticPr fontId="8" type="noConversion"/>
  <pageMargins left="0.7" right="0.7" top="0.75" bottom="0.75" header="0.3" footer="0.3"/>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FBA56-6B29-4D98-B78B-CBE54E25BE4F}">
  <dimension ref="B1:B10"/>
  <sheetViews>
    <sheetView workbookViewId="0">
      <selection activeCell="B22" sqref="B22"/>
    </sheetView>
  </sheetViews>
  <sheetFormatPr defaultRowHeight="15" x14ac:dyDescent="0.25"/>
  <cols>
    <col min="2" max="2" width="220.7109375" style="2" customWidth="1"/>
  </cols>
  <sheetData>
    <row r="1" spans="2:2" ht="18.75" x14ac:dyDescent="0.25">
      <c r="B1" s="81" t="s">
        <v>608</v>
      </c>
    </row>
    <row r="2" spans="2:2" x14ac:dyDescent="0.25">
      <c r="B2" s="163" t="s">
        <v>589</v>
      </c>
    </row>
    <row r="3" spans="2:2" x14ac:dyDescent="0.25">
      <c r="B3" s="163"/>
    </row>
    <row r="4" spans="2:2" x14ac:dyDescent="0.25">
      <c r="B4" s="91"/>
    </row>
    <row r="5" spans="2:2" ht="30" x14ac:dyDescent="0.25">
      <c r="B5" s="164" t="s">
        <v>676</v>
      </c>
    </row>
    <row r="6" spans="2:2" x14ac:dyDescent="0.25">
      <c r="B6" s="91"/>
    </row>
    <row r="7" spans="2:2" x14ac:dyDescent="0.25">
      <c r="B7" s="164" t="s">
        <v>590</v>
      </c>
    </row>
    <row r="8" spans="2:2" ht="30" x14ac:dyDescent="0.25">
      <c r="B8" s="91" t="s">
        <v>604</v>
      </c>
    </row>
    <row r="9" spans="2:2" ht="135" x14ac:dyDescent="0.25">
      <c r="B9" s="91" t="s">
        <v>677</v>
      </c>
    </row>
    <row r="10" spans="2:2" x14ac:dyDescent="0.25">
      <c r="B10" s="9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6A6C9-995A-4070-8E9B-165C280FD349}">
  <dimension ref="B1:B141"/>
  <sheetViews>
    <sheetView workbookViewId="0">
      <selection activeCell="E8" sqref="E8"/>
    </sheetView>
  </sheetViews>
  <sheetFormatPr defaultRowHeight="15" x14ac:dyDescent="0.25"/>
  <cols>
    <col min="1" max="1" width="9.140625" customWidth="1"/>
    <col min="2" max="2" width="18.28515625" customWidth="1"/>
  </cols>
  <sheetData>
    <row r="1" spans="2:2" ht="18.75" x14ac:dyDescent="0.3">
      <c r="B1" s="107" t="s">
        <v>673</v>
      </c>
    </row>
    <row r="2" spans="2:2" x14ac:dyDescent="0.25">
      <c r="B2" s="3"/>
    </row>
    <row r="3" spans="2:2" x14ac:dyDescent="0.25">
      <c r="B3" s="43" t="s">
        <v>446</v>
      </c>
    </row>
    <row r="5" spans="2:2" x14ac:dyDescent="0.25">
      <c r="B5" s="44" t="s">
        <v>393</v>
      </c>
    </row>
    <row r="6" spans="2:2" x14ac:dyDescent="0.25">
      <c r="B6" s="44" t="s">
        <v>394</v>
      </c>
    </row>
    <row r="7" spans="2:2" x14ac:dyDescent="0.25">
      <c r="B7" s="44" t="s">
        <v>395</v>
      </c>
    </row>
    <row r="8" spans="2:2" x14ac:dyDescent="0.25">
      <c r="B8" s="44" t="s">
        <v>396</v>
      </c>
    </row>
    <row r="9" spans="2:2" x14ac:dyDescent="0.25">
      <c r="B9" s="44" t="s">
        <v>397</v>
      </c>
    </row>
    <row r="10" spans="2:2" x14ac:dyDescent="0.25">
      <c r="B10" s="44" t="s">
        <v>398</v>
      </c>
    </row>
    <row r="11" spans="2:2" x14ac:dyDescent="0.25">
      <c r="B11" s="44" t="s">
        <v>399</v>
      </c>
    </row>
    <row r="12" spans="2:2" x14ac:dyDescent="0.25">
      <c r="B12" s="44" t="s">
        <v>400</v>
      </c>
    </row>
    <row r="13" spans="2:2" x14ac:dyDescent="0.25">
      <c r="B13" s="44" t="s">
        <v>401</v>
      </c>
    </row>
    <row r="14" spans="2:2" x14ac:dyDescent="0.25">
      <c r="B14" s="44" t="s">
        <v>402</v>
      </c>
    </row>
    <row r="15" spans="2:2" x14ac:dyDescent="0.25">
      <c r="B15" s="44" t="s">
        <v>403</v>
      </c>
    </row>
    <row r="16" spans="2:2" x14ac:dyDescent="0.25">
      <c r="B16" s="44" t="s">
        <v>404</v>
      </c>
    </row>
    <row r="17" spans="2:2" x14ac:dyDescent="0.25">
      <c r="B17" s="44" t="s">
        <v>405</v>
      </c>
    </row>
    <row r="18" spans="2:2" x14ac:dyDescent="0.25">
      <c r="B18" s="44" t="s">
        <v>440</v>
      </c>
    </row>
    <row r="19" spans="2:2" x14ac:dyDescent="0.25">
      <c r="B19" s="44" t="s">
        <v>406</v>
      </c>
    </row>
    <row r="20" spans="2:2" x14ac:dyDescent="0.25">
      <c r="B20" s="44" t="s">
        <v>441</v>
      </c>
    </row>
    <row r="21" spans="2:2" x14ac:dyDescent="0.25">
      <c r="B21" s="44" t="s">
        <v>407</v>
      </c>
    </row>
    <row r="22" spans="2:2" x14ac:dyDescent="0.25">
      <c r="B22" s="44" t="s">
        <v>408</v>
      </c>
    </row>
    <row r="23" spans="2:2" x14ac:dyDescent="0.25">
      <c r="B23" s="44" t="s">
        <v>409</v>
      </c>
    </row>
    <row r="24" spans="2:2" x14ac:dyDescent="0.25">
      <c r="B24" s="44" t="s">
        <v>392</v>
      </c>
    </row>
    <row r="25" spans="2:2" x14ac:dyDescent="0.25">
      <c r="B25" s="44" t="s">
        <v>410</v>
      </c>
    </row>
    <row r="26" spans="2:2" x14ac:dyDescent="0.25">
      <c r="B26" s="44" t="s">
        <v>411</v>
      </c>
    </row>
    <row r="27" spans="2:2" x14ac:dyDescent="0.25">
      <c r="B27" s="44" t="s">
        <v>412</v>
      </c>
    </row>
    <row r="28" spans="2:2" x14ac:dyDescent="0.25">
      <c r="B28" s="44" t="s">
        <v>413</v>
      </c>
    </row>
    <row r="29" spans="2:2" x14ac:dyDescent="0.25">
      <c r="B29" s="44" t="s">
        <v>414</v>
      </c>
    </row>
    <row r="30" spans="2:2" x14ac:dyDescent="0.25">
      <c r="B30" s="44" t="s">
        <v>415</v>
      </c>
    </row>
    <row r="31" spans="2:2" x14ac:dyDescent="0.25">
      <c r="B31" s="44" t="s">
        <v>416</v>
      </c>
    </row>
    <row r="32" spans="2:2" x14ac:dyDescent="0.25">
      <c r="B32" s="44" t="s">
        <v>417</v>
      </c>
    </row>
    <row r="33" spans="2:2" x14ac:dyDescent="0.25">
      <c r="B33" s="44" t="s">
        <v>418</v>
      </c>
    </row>
    <row r="34" spans="2:2" x14ac:dyDescent="0.25">
      <c r="B34" s="44" t="s">
        <v>442</v>
      </c>
    </row>
    <row r="35" spans="2:2" x14ac:dyDescent="0.25">
      <c r="B35" s="44" t="s">
        <v>443</v>
      </c>
    </row>
    <row r="36" spans="2:2" x14ac:dyDescent="0.25">
      <c r="B36" s="44" t="s">
        <v>419</v>
      </c>
    </row>
    <row r="37" spans="2:2" x14ac:dyDescent="0.25">
      <c r="B37" s="44" t="s">
        <v>420</v>
      </c>
    </row>
    <row r="38" spans="2:2" x14ac:dyDescent="0.25">
      <c r="B38" s="44" t="s">
        <v>444</v>
      </c>
    </row>
    <row r="39" spans="2:2" x14ac:dyDescent="0.25">
      <c r="B39" s="44" t="s">
        <v>421</v>
      </c>
    </row>
    <row r="40" spans="2:2" x14ac:dyDescent="0.25">
      <c r="B40" s="44" t="s">
        <v>422</v>
      </c>
    </row>
    <row r="41" spans="2:2" x14ac:dyDescent="0.25">
      <c r="B41" s="44" t="s">
        <v>423</v>
      </c>
    </row>
    <row r="42" spans="2:2" x14ac:dyDescent="0.25">
      <c r="B42" s="44" t="s">
        <v>424</v>
      </c>
    </row>
    <row r="43" spans="2:2" x14ac:dyDescent="0.25">
      <c r="B43" s="44" t="s">
        <v>425</v>
      </c>
    </row>
    <row r="44" spans="2:2" x14ac:dyDescent="0.25">
      <c r="B44" s="44" t="s">
        <v>426</v>
      </c>
    </row>
    <row r="45" spans="2:2" x14ac:dyDescent="0.25">
      <c r="B45" s="44" t="s">
        <v>427</v>
      </c>
    </row>
    <row r="46" spans="2:2" x14ac:dyDescent="0.25">
      <c r="B46" s="44" t="s">
        <v>602</v>
      </c>
    </row>
    <row r="47" spans="2:2" x14ac:dyDescent="0.25">
      <c r="B47" s="44" t="s">
        <v>428</v>
      </c>
    </row>
    <row r="48" spans="2:2" x14ac:dyDescent="0.25">
      <c r="B48" s="44" t="s">
        <v>429</v>
      </c>
    </row>
    <row r="49" spans="2:2" x14ac:dyDescent="0.25">
      <c r="B49" s="44" t="s">
        <v>445</v>
      </c>
    </row>
    <row r="50" spans="2:2" x14ac:dyDescent="0.25">
      <c r="B50" s="44" t="s">
        <v>430</v>
      </c>
    </row>
    <row r="51" spans="2:2" x14ac:dyDescent="0.25">
      <c r="B51" s="44" t="s">
        <v>431</v>
      </c>
    </row>
    <row r="52" spans="2:2" x14ac:dyDescent="0.25">
      <c r="B52" s="44" t="s">
        <v>432</v>
      </c>
    </row>
    <row r="53" spans="2:2" x14ac:dyDescent="0.25">
      <c r="B53" s="44" t="s">
        <v>433</v>
      </c>
    </row>
    <row r="54" spans="2:2" x14ac:dyDescent="0.25">
      <c r="B54" s="44" t="s">
        <v>434</v>
      </c>
    </row>
    <row r="55" spans="2:2" x14ac:dyDescent="0.25">
      <c r="B55" s="44" t="s">
        <v>435</v>
      </c>
    </row>
    <row r="56" spans="2:2" x14ac:dyDescent="0.25">
      <c r="B56" s="44" t="s">
        <v>605</v>
      </c>
    </row>
    <row r="57" spans="2:2" x14ac:dyDescent="0.25">
      <c r="B57" s="44" t="s">
        <v>606</v>
      </c>
    </row>
    <row r="58" spans="2:2" x14ac:dyDescent="0.25">
      <c r="B58" s="44" t="s">
        <v>607</v>
      </c>
    </row>
    <row r="59" spans="2:2" x14ac:dyDescent="0.25">
      <c r="B59" s="44" t="s">
        <v>436</v>
      </c>
    </row>
    <row r="60" spans="2:2" x14ac:dyDescent="0.25">
      <c r="B60" s="44" t="s">
        <v>437</v>
      </c>
    </row>
    <row r="61" spans="2:2" x14ac:dyDescent="0.25">
      <c r="B61" s="44" t="s">
        <v>438</v>
      </c>
    </row>
    <row r="62" spans="2:2" x14ac:dyDescent="0.25">
      <c r="B62" s="44" t="s">
        <v>439</v>
      </c>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42"/>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39" spans="2:2" x14ac:dyDescent="0.25">
      <c r="B139" s="42"/>
    </row>
    <row r="140" spans="2:2" x14ac:dyDescent="0.25">
      <c r="B140" s="42"/>
    </row>
    <row r="141" spans="2:2" x14ac:dyDescent="0.25">
      <c r="B141" s="42"/>
    </row>
  </sheetData>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Info&amp;Contents</vt:lpstr>
      <vt:lpstr>Assumptions&amp;Fields</vt:lpstr>
      <vt:lpstr>Au|Ag_Table</vt:lpstr>
      <vt:lpstr>Au|Ag_from_coins_29BCE-100CE</vt:lpstr>
      <vt:lpstr>Au|Ag_from_coins_100-400CE</vt:lpstr>
      <vt:lpstr>Roman_Coin_Calcs_Explanation</vt:lpstr>
      <vt:lpstr>Source_References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2022-03-21T06:06:43Z</dcterms:created>
  <dcterms:modified xsi:type="dcterms:W3CDTF">2023-09-04T08:03:00Z</dcterms:modified>
</cp:coreProperties>
</file>