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dria\Dropbox\Papers - Working\1 SAMS Gini intro pub\"/>
    </mc:Choice>
  </mc:AlternateContent>
  <xr:revisionPtr revIDLastSave="0" documentId="13_ncr:1_{2B5C4288-F91F-4044-87AD-6A924D91744E}" xr6:coauthVersionLast="47" xr6:coauthVersionMax="47" xr10:uidLastSave="{00000000-0000-0000-0000-000000000000}"/>
  <bookViews>
    <workbookView xWindow="-110" yWindow="-110" windowWidth="25820" windowHeight="13900" tabRatio="500" xr2:uid="{00000000-000D-0000-FFFF-FFFF00000000}"/>
  </bookViews>
  <sheets>
    <sheet name="Gini - Shryock 197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P15" i="2" s="1"/>
  <c r="E25" i="2"/>
  <c r="E4" i="2"/>
  <c r="F4" i="2" s="1"/>
  <c r="R12" i="2"/>
  <c r="R11" i="2"/>
  <c r="R1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6" i="2"/>
  <c r="C4" i="2" l="1"/>
  <c r="P23" i="2"/>
  <c r="P25" i="2"/>
  <c r="P18" i="2"/>
  <c r="F19" i="2"/>
  <c r="F11" i="2"/>
  <c r="F25" i="2"/>
  <c r="F5" i="2"/>
  <c r="F6" i="2"/>
  <c r="F18" i="2"/>
  <c r="F10" i="2"/>
  <c r="F17" i="2"/>
  <c r="F9" i="2"/>
  <c r="F23" i="2"/>
  <c r="F15" i="2"/>
  <c r="F7" i="2"/>
  <c r="F22" i="2"/>
  <c r="F14" i="2"/>
  <c r="F24" i="2"/>
  <c r="F16" i="2"/>
  <c r="F8" i="2"/>
  <c r="F21" i="2"/>
  <c r="F13" i="2"/>
  <c r="F26" i="2"/>
  <c r="F20" i="2"/>
  <c r="F12" i="2"/>
  <c r="P16" i="2"/>
  <c r="I5" i="2"/>
  <c r="I4" i="2"/>
  <c r="K4" i="2" s="1"/>
  <c r="G5" i="2"/>
  <c r="G6" i="2" s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C26" i="2"/>
  <c r="P24" i="2"/>
  <c r="P26" i="2"/>
  <c r="P22" i="2"/>
  <c r="C5" i="2"/>
  <c r="D4" i="2" s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D26" i="2" s="1"/>
  <c r="P19" i="2" l="1"/>
  <c r="D20" i="2"/>
  <c r="D9" i="2"/>
  <c r="D16" i="2"/>
  <c r="D8" i="2"/>
  <c r="D15" i="2"/>
  <c r="D11" i="2"/>
  <c r="D23" i="2"/>
  <c r="D14" i="2"/>
  <c r="D7" i="2"/>
  <c r="D19" i="2"/>
  <c r="D5" i="2"/>
  <c r="D13" i="2"/>
  <c r="D24" i="2"/>
  <c r="D18" i="2"/>
  <c r="D12" i="2"/>
  <c r="D17" i="2"/>
  <c r="D10" i="2"/>
  <c r="D21" i="2"/>
  <c r="D25" i="2"/>
  <c r="D22" i="2"/>
  <c r="D6" i="2"/>
  <c r="K5" i="2"/>
  <c r="K6" i="2" s="1"/>
  <c r="K7" i="2" s="1"/>
  <c r="P17" i="2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H17" i="2" s="1"/>
  <c r="H12" i="2" l="1"/>
  <c r="H15" i="2"/>
  <c r="H25" i="2"/>
  <c r="H9" i="2"/>
  <c r="P6" i="2"/>
  <c r="H4" i="2"/>
  <c r="J4" i="2" s="1"/>
  <c r="M4" i="2" s="1"/>
  <c r="P9" i="2"/>
  <c r="H20" i="2"/>
  <c r="H16" i="2"/>
  <c r="H8" i="2"/>
  <c r="H23" i="2"/>
  <c r="H21" i="2"/>
  <c r="H19" i="2"/>
  <c r="H11" i="2"/>
  <c r="H13" i="2"/>
  <c r="H7" i="2"/>
  <c r="H5" i="2"/>
  <c r="H22" i="2"/>
  <c r="K8" i="2"/>
  <c r="H18" i="2"/>
  <c r="H26" i="2"/>
  <c r="H14" i="2"/>
  <c r="H10" i="2"/>
  <c r="H24" i="2"/>
  <c r="H6" i="2"/>
  <c r="J5" i="2" l="1"/>
  <c r="L4" i="2" s="1"/>
  <c r="K9" i="2"/>
  <c r="J6" i="2" l="1"/>
  <c r="J7" i="2" s="1"/>
  <c r="L6" i="2" s="1"/>
  <c r="M5" i="2"/>
  <c r="K10" i="2"/>
  <c r="M6" i="2" l="1"/>
  <c r="L5" i="2"/>
  <c r="J8" i="2"/>
  <c r="M8" i="2" s="1"/>
  <c r="M7" i="2"/>
  <c r="K11" i="2"/>
  <c r="L7" i="2"/>
  <c r="J9" i="2"/>
  <c r="J10" i="2" l="1"/>
  <c r="M10" i="2" s="1"/>
  <c r="L8" i="2"/>
  <c r="K12" i="2"/>
  <c r="M9" i="2"/>
  <c r="K13" i="2" l="1"/>
  <c r="J11" i="2"/>
  <c r="L9" i="2"/>
  <c r="J12" i="2" l="1"/>
  <c r="M12" i="2" s="1"/>
  <c r="L10" i="2"/>
  <c r="K14" i="2"/>
  <c r="M11" i="2"/>
  <c r="K15" i="2" l="1"/>
  <c r="J13" i="2"/>
  <c r="M13" i="2" s="1"/>
  <c r="L11" i="2"/>
  <c r="J14" i="2" l="1"/>
  <c r="M14" i="2" s="1"/>
  <c r="L12" i="2"/>
  <c r="K16" i="2"/>
  <c r="K17" i="2" l="1"/>
  <c r="J15" i="2"/>
  <c r="M15" i="2" s="1"/>
  <c r="L13" i="2"/>
  <c r="K18" i="2" l="1"/>
  <c r="J16" i="2"/>
  <c r="L14" i="2"/>
  <c r="J17" i="2" l="1"/>
  <c r="M17" i="2" s="1"/>
  <c r="L15" i="2"/>
  <c r="K19" i="2"/>
  <c r="M16" i="2"/>
  <c r="K20" i="2" l="1"/>
  <c r="J18" i="2"/>
  <c r="L16" i="2"/>
  <c r="J19" i="2" l="1"/>
  <c r="M19" i="2" s="1"/>
  <c r="L17" i="2"/>
  <c r="K21" i="2"/>
  <c r="M18" i="2"/>
  <c r="K22" i="2" l="1"/>
  <c r="J20" i="2"/>
  <c r="L18" i="2"/>
  <c r="J21" i="2" l="1"/>
  <c r="M21" i="2" s="1"/>
  <c r="L19" i="2"/>
  <c r="K23" i="2"/>
  <c r="M20" i="2"/>
  <c r="K24" i="2" l="1"/>
  <c r="J22" i="2"/>
  <c r="L20" i="2"/>
  <c r="J23" i="2" l="1"/>
  <c r="M23" i="2" s="1"/>
  <c r="L21" i="2"/>
  <c r="M22" i="2"/>
  <c r="K25" i="2"/>
  <c r="K26" i="2" l="1"/>
  <c r="J24" i="2"/>
  <c r="L22" i="2"/>
  <c r="J25" i="2" l="1"/>
  <c r="M25" i="2" s="1"/>
  <c r="L23" i="2"/>
  <c r="L26" i="2"/>
  <c r="M24" i="2"/>
  <c r="J26" i="2" l="1"/>
  <c r="L24" i="2"/>
  <c r="M26" i="2" l="1"/>
  <c r="P4" i="2" s="1"/>
  <c r="L25" i="2"/>
  <c r="P3" i="2" s="1"/>
  <c r="P2" i="2" l="1"/>
  <c r="P5" i="2" l="1"/>
  <c r="P13" i="2"/>
  <c r="P14" i="2" s="1"/>
  <c r="R15" i="2"/>
</calcChain>
</file>

<file path=xl/sharedStrings.xml><?xml version="1.0" encoding="utf-8"?>
<sst xmlns="http://schemas.openxmlformats.org/spreadsheetml/2006/main" count="88" uniqueCount="87">
  <si>
    <t>G(i)*F(i+1)</t>
  </si>
  <si>
    <t>G(i+1)*F(i)</t>
  </si>
  <si>
    <t>income frac</t>
  </si>
  <si>
    <t>Sum COL H</t>
  </si>
  <si>
    <t>Sum COL I</t>
  </si>
  <si>
    <t>Site Name</t>
  </si>
  <si>
    <t>site 1</t>
  </si>
  <si>
    <t>site 2</t>
  </si>
  <si>
    <t>site 3</t>
  </si>
  <si>
    <t>site 4</t>
  </si>
  <si>
    <t>site 5</t>
  </si>
  <si>
    <t>site 6</t>
  </si>
  <si>
    <t>site 7</t>
  </si>
  <si>
    <t>site 8</t>
  </si>
  <si>
    <t>site 9</t>
  </si>
  <si>
    <t>site 10</t>
  </si>
  <si>
    <t>site 11</t>
  </si>
  <si>
    <t>site 12</t>
  </si>
  <si>
    <t>site 13</t>
  </si>
  <si>
    <t>site 14</t>
  </si>
  <si>
    <t>site 15</t>
  </si>
  <si>
    <t>site 16</t>
  </si>
  <si>
    <t>site 17</t>
  </si>
  <si>
    <t>site 18</t>
  </si>
  <si>
    <t>site 19</t>
  </si>
  <si>
    <t>site 20</t>
  </si>
  <si>
    <t>site 21</t>
  </si>
  <si>
    <t>site 22</t>
  </si>
  <si>
    <t>site 23</t>
  </si>
  <si>
    <t>Instructions</t>
  </si>
  <si>
    <t>Gini Index</t>
  </si>
  <si>
    <t>Line of Equality</t>
  </si>
  <si>
    <t>Lorenz Curve</t>
  </si>
  <si>
    <t>sum income</t>
  </si>
  <si>
    <t>sum pop.</t>
  </si>
  <si>
    <t>pop. frac</t>
  </si>
  <si>
    <t>Individual #</t>
  </si>
  <si>
    <t>f'</t>
  </si>
  <si>
    <t>f''</t>
  </si>
  <si>
    <t>text 2:</t>
  </si>
  <si>
    <t>text 1:</t>
  </si>
  <si>
    <t>text 3:</t>
  </si>
  <si>
    <t>Mean</t>
  </si>
  <si>
    <t>Median</t>
  </si>
  <si>
    <t>Maximum</t>
  </si>
  <si>
    <t>Range</t>
  </si>
  <si>
    <t>Std Deviation</t>
  </si>
  <si>
    <t>Andrés G. Mejia-Ramon</t>
  </si>
  <si>
    <t>Amy E. Thompson</t>
  </si>
  <si>
    <t>John P. Walden</t>
  </si>
  <si>
    <t>Spreedsheet by:</t>
  </si>
  <si>
    <t>Adrian S.Z. Chase</t>
  </si>
  <si>
    <t>Co-authors:</t>
  </si>
  <si>
    <t>Gary M. Feinman</t>
  </si>
  <si>
    <t>Additional Thanks to:</t>
  </si>
  <si>
    <t>Angela C. Huster</t>
  </si>
  <si>
    <t>Alanna Ossa</t>
  </si>
  <si>
    <t>Krista Eschbach</t>
  </si>
  <si>
    <t>f"</t>
  </si>
  <si>
    <t>wide method</t>
  </si>
  <si>
    <t>narrow method</t>
  </si>
  <si>
    <t>Lower Median</t>
  </si>
  <si>
    <t>Upper Median</t>
  </si>
  <si>
    <t>&lt;site_name&gt;</t>
  </si>
  <si>
    <t>1.) before adding, sort data by "wealth metric" from smallest to largest in original data (or sort only added data by wealth metric here)</t>
  </si>
  <si>
    <t>2.) copy sorted "Income" along with "Site Name" identifier data into Columns A and B in this Excel sheet</t>
  </si>
  <si>
    <t>3.a.) click and drag to select values in columns C through M in row 5 or lower (i.e. C5:M5)</t>
  </si>
  <si>
    <t>4.) fill in the site name below to auto-name the charts, which should have auto-updated after step 3.b.</t>
  </si>
  <si>
    <t>7.) the highest values of f" are the "kinks" in the data, but require additional consideration to interpret</t>
  </si>
  <si>
    <t>Basic Stats on Dataset</t>
  </si>
  <si>
    <t>Shryock 1976 Method - Gini Index</t>
  </si>
  <si>
    <t>3.b.) drag the selected row down to extend those columns down to the lower-most Wealth Metric column value (this auto-updates the fields with their equations)</t>
  </si>
  <si>
    <t>Gini</t>
  </si>
  <si>
    <t>Co. of Variation</t>
  </si>
  <si>
    <t>Sample Size</t>
  </si>
  <si>
    <t>* (fyi the graphs below will refer to fields in this table even if copied into another Excel sheet or workbook)</t>
  </si>
  <si>
    <t>Box-n-whisker Data (not standard)</t>
  </si>
  <si>
    <r>
      <t>Kyle Shaw-M</t>
    </r>
    <r>
      <rPr>
        <sz val="12"/>
        <color rgb="FF7F7F7F"/>
        <rFont val="Calibri"/>
        <family val="2"/>
      </rPr>
      <t>ü</t>
    </r>
    <r>
      <rPr>
        <sz val="12"/>
        <color rgb="FF7F7F7F"/>
        <rFont val="Calibri"/>
        <family val="2"/>
        <scheme val="minor"/>
      </rPr>
      <t>ller</t>
    </r>
  </si>
  <si>
    <t>&lt;inequality_metric&gt;</t>
  </si>
  <si>
    <t>"Corrected" Gini</t>
  </si>
  <si>
    <t>Confidence Interval ("Corrected" Gini)</t>
  </si>
  <si>
    <t>lower Gini</t>
  </si>
  <si>
    <t>higher Gini</t>
  </si>
  <si>
    <t>Micah Smith</t>
  </si>
  <si>
    <t>5.) fill in inequality type for future reference</t>
  </si>
  <si>
    <t>8.) the univariate plot of the raw data helps with interpretation of the "kinks" and double checking that data was sorted from smallest to largest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</si>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</sst>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4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color rgb="FF7F7F7F"/>
      <name val="Calibri"/>
      <family val="2"/>
    </font>
    <font>
      <sz val="12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0" borderId="3" applyNumberFormat="0" applyFill="0" applyAlignment="0" applyProtection="0"/>
    <xf numFmtId="0" fontId="6" fillId="3" borderId="2" applyNumberFormat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</cellStyleXfs>
  <cellXfs count="24">
    <xf numFmtId="0" fontId="0" fillId="0" borderId="0" xfId="0"/>
    <xf numFmtId="2" fontId="0" fillId="0" borderId="0" xfId="0" applyNumberFormat="1"/>
    <xf numFmtId="1" fontId="0" fillId="0" borderId="0" xfId="0" applyNumberFormat="1"/>
    <xf numFmtId="0" fontId="10" fillId="2" borderId="2" xfId="12" applyFont="1"/>
    <xf numFmtId="0" fontId="11" fillId="3" borderId="2" xfId="14" applyFont="1"/>
    <xf numFmtId="1" fontId="11" fillId="3" borderId="2" xfId="14" applyNumberFormat="1" applyFont="1"/>
    <xf numFmtId="1" fontId="12" fillId="2" borderId="2" xfId="12" applyNumberFormat="1" applyFont="1"/>
    <xf numFmtId="164" fontId="10" fillId="2" borderId="2" xfId="12" applyNumberFormat="1" applyFont="1"/>
    <xf numFmtId="0" fontId="13" fillId="0" borderId="0" xfId="15" applyFont="1"/>
    <xf numFmtId="0" fontId="13" fillId="0" borderId="0" xfId="15" applyFont="1" applyFill="1" applyBorder="1"/>
    <xf numFmtId="0" fontId="15" fillId="0" borderId="5" xfId="17" applyFont="1"/>
    <xf numFmtId="0" fontId="16" fillId="0" borderId="3" xfId="13" applyFont="1"/>
    <xf numFmtId="2" fontId="14" fillId="2" borderId="1" xfId="11" applyNumberFormat="1" applyFont="1"/>
    <xf numFmtId="0" fontId="17" fillId="0" borderId="0" xfId="0" applyFont="1"/>
    <xf numFmtId="1" fontId="17" fillId="0" borderId="0" xfId="0" applyNumberFormat="1" applyFont="1"/>
    <xf numFmtId="0" fontId="6" fillId="3" borderId="2" xfId="14"/>
    <xf numFmtId="0" fontId="3" fillId="2" borderId="1" xfId="11"/>
    <xf numFmtId="0" fontId="18" fillId="0" borderId="4" xfId="16" applyFont="1"/>
    <xf numFmtId="0" fontId="14" fillId="2" borderId="1" xfId="11" applyNumberFormat="1" applyFont="1"/>
    <xf numFmtId="0" fontId="20" fillId="0" borderId="0" xfId="15" applyFont="1"/>
    <xf numFmtId="165" fontId="14" fillId="2" borderId="1" xfId="11" applyNumberFormat="1" applyFont="1"/>
    <xf numFmtId="1" fontId="17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</cellXfs>
  <cellStyles count="18">
    <cellStyle name="Calculation" xfId="12" builtinId="22"/>
    <cellStyle name="Explanatory Text" xfId="15" builtinId="5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eading 1" xfId="13" builtinId="16"/>
    <cellStyle name="Heading 2" xfId="16" builtinId="17"/>
    <cellStyle name="Heading 3" xfId="17" builtinId="18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Input" xfId="14" builtinId="20"/>
    <cellStyle name="Normal" xfId="0" builtinId="0"/>
    <cellStyle name="Output" xfId="11" builtinId="2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'Gini - Shryock 1976'!$R$10</c:f>
          <c:strCache>
            <c:ptCount val="1"/>
            <c:pt idx="0">
              <c:v>&lt;site_name&gt; Lorenz Curve</c:v>
            </c:pt>
          </c:strCache>
        </c:strRef>
      </c:tx>
      <c:layout>
        <c:manualLayout>
          <c:xMode val="edge"/>
          <c:yMode val="edge"/>
          <c:x val="0.24454427407100429"/>
          <c:y val="4.166666666666666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'Gini - Shryock 1976'!$K$1</c:f>
              <c:strCache>
                <c:ptCount val="1"/>
                <c:pt idx="0">
                  <c:v>Lorenz Curve</c:v>
                </c:pt>
              </c:strCache>
            </c:strRef>
          </c:tx>
          <c:spPr>
            <a:ln w="4762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'Gini - Shryock 1976'!$J$3:$J$100000</c:f>
              <c:numCache>
                <c:formatCode>0.0000</c:formatCode>
                <c:ptCount val="99998"/>
                <c:pt idx="0" formatCode="General">
                  <c:v>0</c:v>
                </c:pt>
                <c:pt idx="1">
                  <c:v>4.3478260869565216E-2</c:v>
                </c:pt>
                <c:pt idx="2">
                  <c:v>8.6956521739130432E-2</c:v>
                </c:pt>
                <c:pt idx="3">
                  <c:v>0.13043478260869565</c:v>
                </c:pt>
                <c:pt idx="4">
                  <c:v>0.17391304347826086</c:v>
                </c:pt>
                <c:pt idx="5">
                  <c:v>0.21739130434782608</c:v>
                </c:pt>
                <c:pt idx="6">
                  <c:v>0.2608695652173913</c:v>
                </c:pt>
                <c:pt idx="7">
                  <c:v>0.30434782608695654</c:v>
                </c:pt>
                <c:pt idx="8">
                  <c:v>0.34782608695652173</c:v>
                </c:pt>
                <c:pt idx="9">
                  <c:v>0.39130434782608692</c:v>
                </c:pt>
                <c:pt idx="10">
                  <c:v>0.43478260869565211</c:v>
                </c:pt>
                <c:pt idx="11">
                  <c:v>0.47826086956521729</c:v>
                </c:pt>
                <c:pt idx="12">
                  <c:v>0.52173913043478248</c:v>
                </c:pt>
                <c:pt idx="13">
                  <c:v>0.56521739130434767</c:v>
                </c:pt>
                <c:pt idx="14">
                  <c:v>0.60869565217391286</c:v>
                </c:pt>
                <c:pt idx="15">
                  <c:v>0.65217391304347805</c:v>
                </c:pt>
                <c:pt idx="16">
                  <c:v>0.69565217391304324</c:v>
                </c:pt>
                <c:pt idx="17">
                  <c:v>0.73913043478260843</c:v>
                </c:pt>
                <c:pt idx="18">
                  <c:v>0.78260869565217361</c:v>
                </c:pt>
                <c:pt idx="19">
                  <c:v>0.8260869565217388</c:v>
                </c:pt>
                <c:pt idx="20">
                  <c:v>0.86956521739130399</c:v>
                </c:pt>
                <c:pt idx="21">
                  <c:v>0.91304347826086918</c:v>
                </c:pt>
                <c:pt idx="22">
                  <c:v>0.95652173913043437</c:v>
                </c:pt>
                <c:pt idx="23">
                  <c:v>0.99999999999999956</c:v>
                </c:pt>
              </c:numCache>
            </c:numRef>
          </c:xVal>
          <c:yVal>
            <c:numRef>
              <c:f>'Gini - Shryock 1976'!$K$3:$K$100000</c:f>
              <c:numCache>
                <c:formatCode>0.0000</c:formatCode>
                <c:ptCount val="99998"/>
                <c:pt idx="0" formatCode="General">
                  <c:v>0</c:v>
                </c:pt>
                <c:pt idx="1">
                  <c:v>5.5118110236220472E-3</c:v>
                </c:pt>
                <c:pt idx="2">
                  <c:v>1.3385826771653543E-2</c:v>
                </c:pt>
                <c:pt idx="3">
                  <c:v>2.2834645669291338E-2</c:v>
                </c:pt>
                <c:pt idx="4">
                  <c:v>3.858267716535433E-2</c:v>
                </c:pt>
                <c:pt idx="5">
                  <c:v>6.6141732283464566E-2</c:v>
                </c:pt>
                <c:pt idx="6">
                  <c:v>9.6062992125984251E-2</c:v>
                </c:pt>
                <c:pt idx="7">
                  <c:v>0.12755905511811022</c:v>
                </c:pt>
                <c:pt idx="8">
                  <c:v>0.16062992125984249</c:v>
                </c:pt>
                <c:pt idx="9">
                  <c:v>0.19527559055118107</c:v>
                </c:pt>
                <c:pt idx="10">
                  <c:v>0.2338582677165354</c:v>
                </c:pt>
                <c:pt idx="11">
                  <c:v>0.27322834645669286</c:v>
                </c:pt>
                <c:pt idx="12">
                  <c:v>0.31417322834645667</c:v>
                </c:pt>
                <c:pt idx="13">
                  <c:v>0.35590551181102359</c:v>
                </c:pt>
                <c:pt idx="14">
                  <c:v>0.40472440944881888</c:v>
                </c:pt>
                <c:pt idx="15">
                  <c:v>0.45354330708661417</c:v>
                </c:pt>
                <c:pt idx="16">
                  <c:v>0.50393700787401574</c:v>
                </c:pt>
                <c:pt idx="17">
                  <c:v>0.55905511811023623</c:v>
                </c:pt>
                <c:pt idx="18">
                  <c:v>0.61653543307086611</c:v>
                </c:pt>
                <c:pt idx="19">
                  <c:v>0.67559055118110234</c:v>
                </c:pt>
                <c:pt idx="20">
                  <c:v>0.74488188976377945</c:v>
                </c:pt>
                <c:pt idx="21">
                  <c:v>0.82047244094488181</c:v>
                </c:pt>
                <c:pt idx="22">
                  <c:v>0.89921259842519674</c:v>
                </c:pt>
                <c:pt idx="23">
                  <c:v>0.99999999999999989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9F-42D6-948B-7FA2C540DEF9}"/>
            </c:ext>
          </c:extLst>
        </c:ser>
        <c:ser>
          <c:idx val="0"/>
          <c:order val="1"/>
          <c:tx>
            <c:strRef>
              <c:f>'Gini - Shryock 1976'!$J$1</c:f>
              <c:strCache>
                <c:ptCount val="1"/>
                <c:pt idx="0">
                  <c:v>Line of Equality</c:v>
                </c:pt>
              </c:strCache>
            </c:strRef>
          </c:tx>
          <c:spPr>
            <a:ln w="4762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1-4D9F-42D6-948B-7FA2C540DEF9}"/>
              </c:ext>
            </c:extLst>
          </c:dPt>
          <c:xVal>
            <c:numRef>
              <c:f>'Gini - Shryock 1976'!$J$3:$J$100000</c:f>
              <c:numCache>
                <c:formatCode>0.0000</c:formatCode>
                <c:ptCount val="99998"/>
                <c:pt idx="0" formatCode="General">
                  <c:v>0</c:v>
                </c:pt>
                <c:pt idx="1">
                  <c:v>4.3478260869565216E-2</c:v>
                </c:pt>
                <c:pt idx="2">
                  <c:v>8.6956521739130432E-2</c:v>
                </c:pt>
                <c:pt idx="3">
                  <c:v>0.13043478260869565</c:v>
                </c:pt>
                <c:pt idx="4">
                  <c:v>0.17391304347826086</c:v>
                </c:pt>
                <c:pt idx="5">
                  <c:v>0.21739130434782608</c:v>
                </c:pt>
                <c:pt idx="6">
                  <c:v>0.2608695652173913</c:v>
                </c:pt>
                <c:pt idx="7">
                  <c:v>0.30434782608695654</c:v>
                </c:pt>
                <c:pt idx="8">
                  <c:v>0.34782608695652173</c:v>
                </c:pt>
                <c:pt idx="9">
                  <c:v>0.39130434782608692</c:v>
                </c:pt>
                <c:pt idx="10">
                  <c:v>0.43478260869565211</c:v>
                </c:pt>
                <c:pt idx="11">
                  <c:v>0.47826086956521729</c:v>
                </c:pt>
                <c:pt idx="12">
                  <c:v>0.52173913043478248</c:v>
                </c:pt>
                <c:pt idx="13">
                  <c:v>0.56521739130434767</c:v>
                </c:pt>
                <c:pt idx="14">
                  <c:v>0.60869565217391286</c:v>
                </c:pt>
                <c:pt idx="15">
                  <c:v>0.65217391304347805</c:v>
                </c:pt>
                <c:pt idx="16">
                  <c:v>0.69565217391304324</c:v>
                </c:pt>
                <c:pt idx="17">
                  <c:v>0.73913043478260843</c:v>
                </c:pt>
                <c:pt idx="18">
                  <c:v>0.78260869565217361</c:v>
                </c:pt>
                <c:pt idx="19">
                  <c:v>0.8260869565217388</c:v>
                </c:pt>
                <c:pt idx="20">
                  <c:v>0.86956521739130399</c:v>
                </c:pt>
                <c:pt idx="21">
                  <c:v>0.91304347826086918</c:v>
                </c:pt>
                <c:pt idx="22">
                  <c:v>0.95652173913043437</c:v>
                </c:pt>
                <c:pt idx="23">
                  <c:v>0.99999999999999956</c:v>
                </c:pt>
              </c:numCache>
            </c:numRef>
          </c:xVal>
          <c:yVal>
            <c:numRef>
              <c:f>'Gini - Shryock 1976'!$J$3:$J$100000</c:f>
              <c:numCache>
                <c:formatCode>0.0000</c:formatCode>
                <c:ptCount val="99998"/>
                <c:pt idx="0" formatCode="General">
                  <c:v>0</c:v>
                </c:pt>
                <c:pt idx="1">
                  <c:v>4.3478260869565216E-2</c:v>
                </c:pt>
                <c:pt idx="2">
                  <c:v>8.6956521739130432E-2</c:v>
                </c:pt>
                <c:pt idx="3">
                  <c:v>0.13043478260869565</c:v>
                </c:pt>
                <c:pt idx="4">
                  <c:v>0.17391304347826086</c:v>
                </c:pt>
                <c:pt idx="5">
                  <c:v>0.21739130434782608</c:v>
                </c:pt>
                <c:pt idx="6">
                  <c:v>0.2608695652173913</c:v>
                </c:pt>
                <c:pt idx="7">
                  <c:v>0.30434782608695654</c:v>
                </c:pt>
                <c:pt idx="8">
                  <c:v>0.34782608695652173</c:v>
                </c:pt>
                <c:pt idx="9">
                  <c:v>0.39130434782608692</c:v>
                </c:pt>
                <c:pt idx="10">
                  <c:v>0.43478260869565211</c:v>
                </c:pt>
                <c:pt idx="11">
                  <c:v>0.47826086956521729</c:v>
                </c:pt>
                <c:pt idx="12">
                  <c:v>0.52173913043478248</c:v>
                </c:pt>
                <c:pt idx="13">
                  <c:v>0.56521739130434767</c:v>
                </c:pt>
                <c:pt idx="14">
                  <c:v>0.60869565217391286</c:v>
                </c:pt>
                <c:pt idx="15">
                  <c:v>0.65217391304347805</c:v>
                </c:pt>
                <c:pt idx="16">
                  <c:v>0.69565217391304324</c:v>
                </c:pt>
                <c:pt idx="17">
                  <c:v>0.73913043478260843</c:v>
                </c:pt>
                <c:pt idx="18">
                  <c:v>0.78260869565217361</c:v>
                </c:pt>
                <c:pt idx="19">
                  <c:v>0.8260869565217388</c:v>
                </c:pt>
                <c:pt idx="20">
                  <c:v>0.86956521739130399</c:v>
                </c:pt>
                <c:pt idx="21">
                  <c:v>0.91304347826086918</c:v>
                </c:pt>
                <c:pt idx="22">
                  <c:v>0.95652173913043437</c:v>
                </c:pt>
                <c:pt idx="23">
                  <c:v>0.99999999999999956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9F-42D6-948B-7FA2C540D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27040"/>
        <c:axId val="395820768"/>
      </c:scatterChart>
      <c:valAx>
        <c:axId val="39582704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0768"/>
        <c:crosses val="autoZero"/>
        <c:crossBetween val="midCat"/>
        <c:majorUnit val="0.1"/>
      </c:valAx>
      <c:valAx>
        <c:axId val="3958207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</a:t>
                </a:r>
                <a:r>
                  <a:rPr lang="en-US" baseline="0"/>
                  <a:t> of Wealth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704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6198327263018378"/>
          <c:y val="0.21070931276650198"/>
          <c:w val="0.33248540692138073"/>
          <c:h val="0.12557578740157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'Gini - Shryock 1976'!$R$11</c:f>
          <c:strCache>
            <c:ptCount val="1"/>
            <c:pt idx="0">
              <c:v>f'' of &lt;site_name&gt;</c:v>
            </c:pt>
          </c:strCache>
        </c:strRef>
      </c:tx>
      <c:layout>
        <c:manualLayout>
          <c:xMode val="edge"/>
          <c:yMode val="edge"/>
          <c:x val="0.24454427407100429"/>
          <c:y val="4.166666666666666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'Gini - Shryock 1976'!$D$3</c:f>
              <c:strCache>
                <c:ptCount val="1"/>
                <c:pt idx="0">
                  <c:v>f''</c:v>
                </c:pt>
              </c:strCache>
            </c:strRef>
          </c:tx>
          <c:spPr>
            <a:ln w="19050">
              <a:solidFill>
                <a:schemeClr val="bg1">
                  <a:lumMod val="65000"/>
                </a:schemeClr>
              </a:solidFill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12700">
                <a:noFill/>
              </a:ln>
              <a:effectLst/>
            </c:spPr>
          </c:marker>
          <c:xVal>
            <c:numRef>
              <c:f>'Gini - Shryock 1976'!$G$4:$G$100000</c:f>
              <c:numCache>
                <c:formatCode>General</c:formatCode>
                <c:ptCount val="999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'Gini - Shryock 1976'!$F$4:$F$100000</c:f>
              <c:numCache>
                <c:formatCode>0</c:formatCode>
                <c:ptCount val="99997"/>
                <c:pt idx="0">
                  <c:v>0</c:v>
                </c:pt>
                <c:pt idx="1">
                  <c:v>-0.5</c:v>
                </c:pt>
                <c:pt idx="2">
                  <c:v>3</c:v>
                </c:pt>
                <c:pt idx="3">
                  <c:v>3.5</c:v>
                </c:pt>
                <c:pt idx="4">
                  <c:v>-6</c:v>
                </c:pt>
                <c:pt idx="5">
                  <c:v>-0.5</c:v>
                </c:pt>
                <c:pt idx="6">
                  <c:v>0</c:v>
                </c:pt>
                <c:pt idx="7">
                  <c:v>0</c:v>
                </c:pt>
                <c:pt idx="8">
                  <c:v>1.5</c:v>
                </c:pt>
                <c:pt idx="9">
                  <c:v>-2</c:v>
                </c:pt>
                <c:pt idx="10">
                  <c:v>0.5</c:v>
                </c:pt>
                <c:pt idx="11">
                  <c:v>-0.5</c:v>
                </c:pt>
                <c:pt idx="12">
                  <c:v>4</c:v>
                </c:pt>
                <c:pt idx="13">
                  <c:v>-4.5</c:v>
                </c:pt>
                <c:pt idx="14">
                  <c:v>1</c:v>
                </c:pt>
                <c:pt idx="15">
                  <c:v>2</c:v>
                </c:pt>
                <c:pt idx="16">
                  <c:v>-1.5</c:v>
                </c:pt>
                <c:pt idx="17">
                  <c:v>-0.5</c:v>
                </c:pt>
                <c:pt idx="18">
                  <c:v>5.5</c:v>
                </c:pt>
                <c:pt idx="19">
                  <c:v>-2.5</c:v>
                </c:pt>
                <c:pt idx="20">
                  <c:v>-2</c:v>
                </c:pt>
                <c:pt idx="21">
                  <c:v>12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D7-425A-B436-02958CBFB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27040"/>
        <c:axId val="395820768"/>
      </c:scatterChart>
      <c:valAx>
        <c:axId val="39582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0768"/>
        <c:crosses val="autoZero"/>
        <c:crossBetween val="midCat"/>
      </c:valAx>
      <c:valAx>
        <c:axId val="39582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Acceleration of Wealth Metric</a:t>
                </a:r>
                <a:r>
                  <a:rPr lang="en-US" baseline="0"/>
                  <a:t> for each datapoint</a:t>
                </a:r>
                <a:endParaRPr lang="en-U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7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'Gini - Shryock 1976'!$R$11</c:f>
          <c:strCache>
            <c:ptCount val="1"/>
            <c:pt idx="0">
              <c:v>f'' of &lt;site_name&gt;</c:v>
            </c:pt>
          </c:strCache>
        </c:strRef>
      </c:tx>
      <c:layout>
        <c:manualLayout>
          <c:xMode val="edge"/>
          <c:yMode val="edge"/>
          <c:x val="0.24454427407100429"/>
          <c:y val="4.166666666666666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'Gini - Shryock 1976'!$D$3</c:f>
              <c:strCache>
                <c:ptCount val="1"/>
                <c:pt idx="0">
                  <c:v>f''</c:v>
                </c:pt>
              </c:strCache>
            </c:strRef>
          </c:tx>
          <c:spPr>
            <a:ln w="19050">
              <a:solidFill>
                <a:schemeClr val="bg1">
                  <a:lumMod val="65000"/>
                </a:schemeClr>
              </a:solidFill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12700">
                <a:noFill/>
              </a:ln>
              <a:effectLst/>
            </c:spPr>
          </c:marker>
          <c:xVal>
            <c:numRef>
              <c:f>'Gini - Shryock 1976'!$G$4:$G$100000</c:f>
              <c:numCache>
                <c:formatCode>General</c:formatCode>
                <c:ptCount val="999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'Gini - Shryock 1976'!$D$4:$D$100000</c:f>
              <c:numCache>
                <c:formatCode>0</c:formatCode>
                <c:ptCount val="99997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4</c:v>
                </c:pt>
                <c:pt idx="4">
                  <c:v>-9</c:v>
                </c:pt>
                <c:pt idx="5">
                  <c:v>-7</c:v>
                </c:pt>
                <c:pt idx="6">
                  <c:v>-0.5</c:v>
                </c:pt>
                <c:pt idx="7">
                  <c:v>1.5</c:v>
                </c:pt>
                <c:pt idx="8">
                  <c:v>1</c:v>
                </c:pt>
                <c:pt idx="9">
                  <c:v>-2</c:v>
                </c:pt>
                <c:pt idx="10">
                  <c:v>-1.5</c:v>
                </c:pt>
                <c:pt idx="11">
                  <c:v>3.5</c:v>
                </c:pt>
                <c:pt idx="12">
                  <c:v>3</c:v>
                </c:pt>
                <c:pt idx="13">
                  <c:v>-4</c:v>
                </c:pt>
                <c:pt idx="14">
                  <c:v>-0.5</c:v>
                </c:pt>
                <c:pt idx="15">
                  <c:v>3.5</c:v>
                </c:pt>
                <c:pt idx="16">
                  <c:v>-1.5</c:v>
                </c:pt>
                <c:pt idx="17">
                  <c:v>3</c:v>
                </c:pt>
                <c:pt idx="18">
                  <c:v>8</c:v>
                </c:pt>
                <c:pt idx="19">
                  <c:v>-1.5</c:v>
                </c:pt>
                <c:pt idx="20">
                  <c:v>5.5</c:v>
                </c:pt>
                <c:pt idx="21">
                  <c:v>0</c:v>
                </c:pt>
                <c:pt idx="2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C-4C1E-9EAF-C2CE9BD77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27040"/>
        <c:axId val="395820768"/>
      </c:scatterChart>
      <c:valAx>
        <c:axId val="39582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0768"/>
        <c:crosses val="autoZero"/>
        <c:crossBetween val="midCat"/>
      </c:valAx>
      <c:valAx>
        <c:axId val="39582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Acceleration of Wealth Metric</a:t>
                </a:r>
                <a:r>
                  <a:rPr lang="en-US" baseline="0"/>
                  <a:t> for each datapoint</a:t>
                </a:r>
                <a:endParaRPr lang="en-US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7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'Gini - Shryock 1976'!$R$12</c:f>
          <c:strCache>
            <c:ptCount val="1"/>
            <c:pt idx="0">
              <c:v>Univariate plot of &lt;site_name&gt;</c:v>
            </c:pt>
          </c:strCache>
        </c:strRef>
      </c:tx>
      <c:layout>
        <c:manualLayout>
          <c:xMode val="edge"/>
          <c:yMode val="edge"/>
          <c:x val="0.20505033026704125"/>
          <c:y val="4.16667118682901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'Gini - Shryock 1976'!$B$3</c:f>
              <c:strCache>
                <c:ptCount val="1"/>
                <c:pt idx="0">
                  <c:v>Metric &lt;inequality_metric&gt;</c:v>
                </c:pt>
              </c:strCache>
            </c:strRef>
          </c:tx>
          <c:spPr>
            <a:ln w="31750" cap="rnd" cmpd="sng" algn="ctr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'Gini - Shryock 1976'!$G$4:$G$100000</c:f>
              <c:numCache>
                <c:formatCode>General</c:formatCode>
                <c:ptCount val="999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'Gini - Shryock 1976'!$B$4:$B$100000</c:f>
              <c:numCache>
                <c:formatCode>0</c:formatCode>
                <c:ptCount val="99997"/>
                <c:pt idx="0">
                  <c:v>14</c:v>
                </c:pt>
                <c:pt idx="1">
                  <c:v>20</c:v>
                </c:pt>
                <c:pt idx="2">
                  <c:v>24</c:v>
                </c:pt>
                <c:pt idx="3">
                  <c:v>40</c:v>
                </c:pt>
                <c:pt idx="4">
                  <c:v>70</c:v>
                </c:pt>
                <c:pt idx="5">
                  <c:v>76</c:v>
                </c:pt>
                <c:pt idx="6">
                  <c:v>80</c:v>
                </c:pt>
                <c:pt idx="7">
                  <c:v>84</c:v>
                </c:pt>
                <c:pt idx="8">
                  <c:v>88</c:v>
                </c:pt>
                <c:pt idx="9">
                  <c:v>98</c:v>
                </c:pt>
                <c:pt idx="10">
                  <c:v>100</c:v>
                </c:pt>
                <c:pt idx="11">
                  <c:v>104</c:v>
                </c:pt>
                <c:pt idx="12">
                  <c:v>106</c:v>
                </c:pt>
                <c:pt idx="13">
                  <c:v>124</c:v>
                </c:pt>
                <c:pt idx="14">
                  <c:v>124</c:v>
                </c:pt>
                <c:pt idx="15">
                  <c:v>128</c:v>
                </c:pt>
                <c:pt idx="16">
                  <c:v>140</c:v>
                </c:pt>
                <c:pt idx="17">
                  <c:v>146</c:v>
                </c:pt>
                <c:pt idx="18">
                  <c:v>150</c:v>
                </c:pt>
                <c:pt idx="19">
                  <c:v>176</c:v>
                </c:pt>
                <c:pt idx="20">
                  <c:v>192</c:v>
                </c:pt>
                <c:pt idx="21">
                  <c:v>200</c:v>
                </c:pt>
                <c:pt idx="22">
                  <c:v>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E6-4240-A389-6E6289063D4F}"/>
            </c:ext>
          </c:extLst>
        </c:ser>
        <c:ser>
          <c:idx val="3"/>
          <c:order val="1"/>
          <c:tx>
            <c:strRef>
              <c:f>'Gini - Shryock 1976'!$O$25</c:f>
              <c:strCache>
                <c:ptCount val="1"/>
                <c:pt idx="0">
                  <c:v>Upper Median</c:v>
                </c:pt>
              </c:strCache>
            </c:strRef>
          </c:tx>
          <c:spPr>
            <a:ln w="47625" cap="rnd" cmpd="sng" algn="ctr">
              <a:noFill/>
              <a:prstDash val="solid"/>
              <a:round/>
            </a:ln>
            <a:effectLst/>
          </c:spPr>
          <c:marker>
            <c:symbol val="diamond"/>
            <c:size val="9"/>
            <c:spPr>
              <a:solidFill>
                <a:schemeClr val="bg1">
                  <a:lumMod val="50000"/>
                </a:schemeClr>
              </a:solidFill>
              <a:ln w="9525" cap="flat" cmpd="sng" algn="ctr">
                <a:solidFill>
                  <a:schemeClr val="dk1">
                    <a:tint val="9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'Gini - Shryock 1976'!$P$25</c:f>
              <c:numCache>
                <c:formatCode>0.00</c:formatCode>
                <c:ptCount val="1"/>
                <c:pt idx="0">
                  <c:v>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E6-4240-A389-6E6289063D4F}"/>
            </c:ext>
          </c:extLst>
        </c:ser>
        <c:ser>
          <c:idx val="2"/>
          <c:order val="2"/>
          <c:tx>
            <c:strRef>
              <c:f>'Gini - Shryock 1976'!$O$24</c:f>
              <c:strCache>
                <c:ptCount val="1"/>
                <c:pt idx="0">
                  <c:v>Median</c:v>
                </c:pt>
              </c:strCache>
            </c:strRef>
          </c:tx>
          <c:spPr>
            <a:ln w="47625" cap="rnd" cmpd="sng" algn="ctr">
              <a:noFill/>
              <a:prstDash val="solid"/>
              <a:round/>
            </a:ln>
            <a:effectLst/>
          </c:spPr>
          <c:marker>
            <c:symbol val="diamond"/>
            <c:size val="9"/>
            <c:spPr>
              <a:solidFill>
                <a:schemeClr val="bg1">
                  <a:lumMod val="75000"/>
                </a:schemeClr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'Gini - Shryock 1976'!$P$24</c:f>
              <c:numCache>
                <c:formatCode>0.00</c:formatCode>
                <c:ptCount val="1"/>
                <c:pt idx="0">
                  <c:v>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E6-4240-A389-6E6289063D4F}"/>
            </c:ext>
          </c:extLst>
        </c:ser>
        <c:ser>
          <c:idx val="0"/>
          <c:order val="3"/>
          <c:tx>
            <c:strRef>
              <c:f>'Gini - Shryock 1976'!$O$23</c:f>
              <c:strCache>
                <c:ptCount val="1"/>
                <c:pt idx="0">
                  <c:v>Lower Median</c:v>
                </c:pt>
              </c:strCache>
            </c:strRef>
          </c:tx>
          <c:spPr>
            <a:ln w="47625" cap="rnd" cmpd="sng" algn="ctr">
              <a:noFill/>
              <a:prstDash val="solid"/>
              <a:round/>
            </a:ln>
            <a:effectLst/>
          </c:spPr>
          <c:marker>
            <c:spPr>
              <a:solidFill>
                <a:schemeClr val="bg1"/>
              </a:solidFill>
              <a:ln w="9525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'Gini - Shryock 1976'!$G$4:$G$100000</c:f>
              <c:numCache>
                <c:formatCode>General</c:formatCode>
                <c:ptCount val="999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</c:numCache>
            </c:numRef>
          </c:xVal>
          <c:yVal>
            <c:numRef>
              <c:f>'Gini - Shryock 1976'!$P$23</c:f>
              <c:numCache>
                <c:formatCode>0.00</c:formatCode>
                <c:ptCount val="1"/>
                <c:pt idx="0">
                  <c:v>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E6-4240-A389-6E6289063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827040"/>
        <c:axId val="395820768"/>
      </c:scatterChart>
      <c:valAx>
        <c:axId val="39582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Individual</a:t>
                </a:r>
                <a:r>
                  <a:rPr lang="en-US" baseline="0"/>
                  <a:t> </a:t>
                </a:r>
                <a:r>
                  <a:rPr lang="en-US"/>
                  <a:t>Datapoints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0768"/>
        <c:crosses val="autoZero"/>
        <c:crossBetween val="midCat"/>
      </c:valAx>
      <c:valAx>
        <c:axId val="39582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Wealth Metric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82704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183245844269468"/>
          <c:y val="0.60577218586404524"/>
          <c:w val="0.37594531933508318"/>
          <c:h val="0.2451488895641052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17</xdr:row>
      <xdr:rowOff>0</xdr:rowOff>
    </xdr:from>
    <xdr:to>
      <xdr:col>23</xdr:col>
      <xdr:colOff>537883</xdr:colOff>
      <xdr:row>40</xdr:row>
      <xdr:rowOff>74706</xdr:rowOff>
    </xdr:to>
    <xdr:graphicFrame macro="">
      <xdr:nvGraphicFramePr>
        <xdr:cNvPr id="8" name="Diagram 1" title="Island">
          <a:extLst>
            <a:ext uri="{FF2B5EF4-FFF2-40B4-BE49-F238E27FC236}">
              <a16:creationId xmlns:a16="http://schemas.microsoft.com/office/drawing/2014/main" id="{5289C44F-7E4A-40BF-A50E-D0BB348A6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41</xdr:row>
      <xdr:rowOff>0</xdr:rowOff>
    </xdr:from>
    <xdr:to>
      <xdr:col>30</xdr:col>
      <xdr:colOff>537882</xdr:colOff>
      <xdr:row>64</xdr:row>
      <xdr:rowOff>104588</xdr:rowOff>
    </xdr:to>
    <xdr:graphicFrame macro="">
      <xdr:nvGraphicFramePr>
        <xdr:cNvPr id="12" name="Diagram 1" title="Island">
          <a:extLst>
            <a:ext uri="{FF2B5EF4-FFF2-40B4-BE49-F238E27FC236}">
              <a16:creationId xmlns:a16="http://schemas.microsoft.com/office/drawing/2014/main" id="{0026C6D6-07B3-48B3-AA3F-16B4C33E9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41</xdr:row>
      <xdr:rowOff>0</xdr:rowOff>
    </xdr:from>
    <xdr:to>
      <xdr:col>23</xdr:col>
      <xdr:colOff>537883</xdr:colOff>
      <xdr:row>64</xdr:row>
      <xdr:rowOff>104588</xdr:rowOff>
    </xdr:to>
    <xdr:graphicFrame macro="">
      <xdr:nvGraphicFramePr>
        <xdr:cNvPr id="13" name="Diagram 1" title="Island">
          <a:extLst>
            <a:ext uri="{FF2B5EF4-FFF2-40B4-BE49-F238E27FC236}">
              <a16:creationId xmlns:a16="http://schemas.microsoft.com/office/drawing/2014/main" id="{466C94D9-81DE-42BD-B6CE-B1BD00DD4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0</xdr:colOff>
      <xdr:row>17</xdr:row>
      <xdr:rowOff>0</xdr:rowOff>
    </xdr:from>
    <xdr:to>
      <xdr:col>30</xdr:col>
      <xdr:colOff>537882</xdr:colOff>
      <xdr:row>40</xdr:row>
      <xdr:rowOff>74706</xdr:rowOff>
    </xdr:to>
    <xdr:graphicFrame macro="">
      <xdr:nvGraphicFramePr>
        <xdr:cNvPr id="14" name="Diagram 1" title="Island">
          <a:extLst>
            <a:ext uri="{FF2B5EF4-FFF2-40B4-BE49-F238E27FC236}">
              <a16:creationId xmlns:a16="http://schemas.microsoft.com/office/drawing/2014/main" id="{F0CB86C4-ED64-440A-AC48-0413389B6D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0.27131</cdr:x>
      <cdr:y>0.14826</cdr:y>
    </cdr:from>
    <cdr:to>
      <cdr:x>0.47442</cdr:x>
      <cdr:y>0.21145</cdr:y>
    </cdr:to>
    <cdr:sp macro="" textlink="'Gini - Shryock 1976'!$P$5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C7D2EC1-88D9-4F4B-B657-477947F70FFD}"/>
            </a:ext>
          </a:extLst>
        </cdr:cNvPr>
        <cdr:cNvSpPr txBox="1"/>
      </cdr:nvSpPr>
      <cdr:spPr>
        <a:xfrm xmlns:a="http://schemas.openxmlformats.org/drawingml/2006/main">
          <a:off x="1221440" y="683557"/>
          <a:ext cx="914400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D6B0EF5B-CD70-4721-A468-328F875F58C1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Gini = 0.3</a:t>
          </a:fld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0.11201</cdr:x>
      <cdr:y>0.8822</cdr:y>
    </cdr:from>
    <cdr:to>
      <cdr:x>0.31512</cdr:x>
      <cdr:y>0.95624</cdr:y>
    </cdr:to>
    <cdr:sp macro="" textlink="'Gini - Shryock 1976'!$P$6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1E2DBA1-9963-474C-A3D5-CB9406C24476}"/>
            </a:ext>
          </a:extLst>
        </cdr:cNvPr>
        <cdr:cNvSpPr txBox="1"/>
      </cdr:nvSpPr>
      <cdr:spPr>
        <a:xfrm xmlns:a="http://schemas.openxmlformats.org/drawingml/2006/main">
          <a:off x="504264" y="4066054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2AB7010C-3B8F-4638-A78B-7B66F366EAAA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values = 9,  8,  5.5,  4,  and  3.5</a:t>
          </a:fld>
          <a:endParaRPr lang="en-US" sz="1100"/>
        </a:p>
      </cdr:txBody>
    </cdr:sp>
  </cdr:relSizeAnchor>
  <cdr:relSizeAnchor xmlns:cdr="http://schemas.openxmlformats.org/drawingml/2006/chartDrawing">
    <cdr:from>
      <cdr:x>0.11085</cdr:x>
      <cdr:y>0.92597</cdr:y>
    </cdr:from>
    <cdr:to>
      <cdr:x>0.31396</cdr:x>
      <cdr:y>1</cdr:y>
    </cdr:to>
    <cdr:sp macro="" textlink="'Gini - Shryock 1976'!$P$9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4180FDD-4B6F-4355-9035-8B66905D2731}"/>
            </a:ext>
          </a:extLst>
        </cdr:cNvPr>
        <cdr:cNvSpPr txBox="1"/>
      </cdr:nvSpPr>
      <cdr:spPr>
        <a:xfrm xmlns:a="http://schemas.openxmlformats.org/drawingml/2006/main">
          <a:off x="499035" y="4267760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3BBC953-74A6-46B1-9BF3-DD782D69B617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positions = 3,  19,  21,  4,  and  12</a:t>
          </a:fld>
          <a:endParaRPr lang="en-US" sz="1200"/>
        </a:p>
      </cdr:txBody>
    </cdr:sp>
  </cdr:relSizeAnchor>
  <cdr:relSizeAnchor xmlns:cdr="http://schemas.openxmlformats.org/drawingml/2006/chartDrawing">
    <cdr:from>
      <cdr:x>0.11201</cdr:x>
      <cdr:y>0.8822</cdr:y>
    </cdr:from>
    <cdr:to>
      <cdr:x>0.31512</cdr:x>
      <cdr:y>0.95624</cdr:y>
    </cdr:to>
    <cdr:sp macro="" textlink="'Gini - Shryock 1976'!$P$6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1E2DBA1-9963-474C-A3D5-CB9406C24476}"/>
            </a:ext>
          </a:extLst>
        </cdr:cNvPr>
        <cdr:cNvSpPr txBox="1"/>
      </cdr:nvSpPr>
      <cdr:spPr>
        <a:xfrm xmlns:a="http://schemas.openxmlformats.org/drawingml/2006/main">
          <a:off x="504264" y="4066054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2AB7010C-3B8F-4638-A78B-7B66F366EAAA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values = 9,  8,  5.5,  4,  and  3.5</a:t>
          </a:fld>
          <a:endParaRPr lang="en-US" sz="1100"/>
        </a:p>
      </cdr:txBody>
    </cdr:sp>
  </cdr:relSizeAnchor>
  <cdr:relSizeAnchor xmlns:cdr="http://schemas.openxmlformats.org/drawingml/2006/chartDrawing">
    <cdr:from>
      <cdr:x>0.11085</cdr:x>
      <cdr:y>0.92597</cdr:y>
    </cdr:from>
    <cdr:to>
      <cdr:x>0.31396</cdr:x>
      <cdr:y>1</cdr:y>
    </cdr:to>
    <cdr:sp macro="" textlink="'Gini - Shryock 1976'!$P$9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4180FDD-4B6F-4355-9035-8B66905D2731}"/>
            </a:ext>
          </a:extLst>
        </cdr:cNvPr>
        <cdr:cNvSpPr txBox="1"/>
      </cdr:nvSpPr>
      <cdr:spPr>
        <a:xfrm xmlns:a="http://schemas.openxmlformats.org/drawingml/2006/main">
          <a:off x="499035" y="4267760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3BBC953-74A6-46B1-9BF3-DD782D69B617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positions = 3,  19,  21,  4,  and  12</a:t>
          </a:fld>
          <a:endParaRPr lang="en-US" sz="12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0.11201</cdr:x>
      <cdr:y>0.8822</cdr:y>
    </cdr:from>
    <cdr:to>
      <cdr:x>0.31512</cdr:x>
      <cdr:y>0.95624</cdr:y>
    </cdr:to>
    <cdr:sp macro="" textlink="'Gini - Shryock 1976'!$P$6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1E2DBA1-9963-474C-A3D5-CB9406C24476}"/>
            </a:ext>
          </a:extLst>
        </cdr:cNvPr>
        <cdr:cNvSpPr txBox="1"/>
      </cdr:nvSpPr>
      <cdr:spPr>
        <a:xfrm xmlns:a="http://schemas.openxmlformats.org/drawingml/2006/main">
          <a:off x="504264" y="4066054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2AB7010C-3B8F-4638-A78B-7B66F366EAAA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values = 9,  8,  5.5,  4,  and  3.5</a:t>
          </a:fld>
          <a:endParaRPr lang="en-US" sz="1100"/>
        </a:p>
      </cdr:txBody>
    </cdr:sp>
  </cdr:relSizeAnchor>
  <cdr:relSizeAnchor xmlns:cdr="http://schemas.openxmlformats.org/drawingml/2006/chartDrawing">
    <cdr:from>
      <cdr:x>0.11085</cdr:x>
      <cdr:y>0.92597</cdr:y>
    </cdr:from>
    <cdr:to>
      <cdr:x>0.31396</cdr:x>
      <cdr:y>1</cdr:y>
    </cdr:to>
    <cdr:sp macro="" textlink="'Gini - Shryock 1976'!$P$9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4180FDD-4B6F-4355-9035-8B66905D2731}"/>
            </a:ext>
          </a:extLst>
        </cdr:cNvPr>
        <cdr:cNvSpPr txBox="1"/>
      </cdr:nvSpPr>
      <cdr:spPr>
        <a:xfrm xmlns:a="http://schemas.openxmlformats.org/drawingml/2006/main">
          <a:off x="499035" y="4267760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3BBC953-74A6-46B1-9BF3-DD782D69B617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positions = 3,  19,  21,  4,  and  12</a:t>
          </a:fld>
          <a:endParaRPr lang="en-US" sz="1200"/>
        </a:p>
      </cdr:txBody>
    </cdr:sp>
  </cdr:relSizeAnchor>
  <cdr:relSizeAnchor xmlns:cdr="http://schemas.openxmlformats.org/drawingml/2006/chartDrawing">
    <cdr:from>
      <cdr:x>0.11201</cdr:x>
      <cdr:y>0.8822</cdr:y>
    </cdr:from>
    <cdr:to>
      <cdr:x>0.31512</cdr:x>
      <cdr:y>0.95624</cdr:y>
    </cdr:to>
    <cdr:sp macro="" textlink="'Gini - Shryock 1976'!$P$6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1E2DBA1-9963-474C-A3D5-CB9406C24476}"/>
            </a:ext>
          </a:extLst>
        </cdr:cNvPr>
        <cdr:cNvSpPr txBox="1"/>
      </cdr:nvSpPr>
      <cdr:spPr>
        <a:xfrm xmlns:a="http://schemas.openxmlformats.org/drawingml/2006/main">
          <a:off x="504264" y="4066054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2AB7010C-3B8F-4638-A78B-7B66F366EAAA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values = 9,  8,  5.5,  4,  and  3.5</a:t>
          </a:fld>
          <a:endParaRPr lang="en-US" sz="1100"/>
        </a:p>
      </cdr:txBody>
    </cdr:sp>
  </cdr:relSizeAnchor>
  <cdr:relSizeAnchor xmlns:cdr="http://schemas.openxmlformats.org/drawingml/2006/chartDrawing">
    <cdr:from>
      <cdr:x>0.11085</cdr:x>
      <cdr:y>0.92597</cdr:y>
    </cdr:from>
    <cdr:to>
      <cdr:x>0.31396</cdr:x>
      <cdr:y>1</cdr:y>
    </cdr:to>
    <cdr:sp macro="" textlink="'Gini - Shryock 1976'!$P$9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4180FDD-4B6F-4355-9035-8B66905D2731}"/>
            </a:ext>
          </a:extLst>
        </cdr:cNvPr>
        <cdr:cNvSpPr txBox="1"/>
      </cdr:nvSpPr>
      <cdr:spPr>
        <a:xfrm xmlns:a="http://schemas.openxmlformats.org/drawingml/2006/main">
          <a:off x="499035" y="4267760"/>
          <a:ext cx="914400" cy="341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3BBC953-74A6-46B1-9BF3-DD782D69B617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max 5 in f'' positions = 3,  19,  21,  4,  and  12</a:t>
          </a:fld>
          <a:endParaRPr lang="en-US" sz="12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zoomScale="85" zoomScaleNormal="85" workbookViewId="0">
      <selection activeCell="R4" sqref="R4"/>
    </sheetView>
  </sheetViews>
  <sheetFormatPr defaultColWidth="8.83203125" defaultRowHeight="15.5" x14ac:dyDescent="0.35"/>
  <cols>
    <col min="1" max="1" width="15.25" customWidth="1"/>
    <col min="2" max="2" width="24.25" bestFit="1" customWidth="1"/>
    <col min="3" max="6" width="8.58203125" customWidth="1"/>
    <col min="7" max="7" width="11.08203125" bestFit="1" customWidth="1"/>
    <col min="8" max="8" width="8.75" bestFit="1" customWidth="1"/>
    <col min="9" max="9" width="11" bestFit="1" customWidth="1"/>
    <col min="10" max="10" width="14.33203125" bestFit="1" customWidth="1"/>
    <col min="11" max="13" width="12.33203125" bestFit="1" customWidth="1"/>
    <col min="15" max="15" width="15.25" customWidth="1"/>
    <col min="16" max="16" width="19.5" customWidth="1"/>
    <col min="17" max="17" width="8.58203125" customWidth="1"/>
  </cols>
  <sheetData>
    <row r="1" spans="1:18" ht="21.5" thickBot="1" x14ac:dyDescent="0.55000000000000004">
      <c r="A1" s="11" t="s">
        <v>70</v>
      </c>
      <c r="B1" s="2"/>
      <c r="C1" s="2"/>
      <c r="D1" s="2"/>
      <c r="E1" s="2"/>
      <c r="F1" s="2"/>
      <c r="J1" s="13" t="s">
        <v>31</v>
      </c>
      <c r="K1" s="13" t="s">
        <v>32</v>
      </c>
    </row>
    <row r="2" spans="1:18" ht="19.5" thickTop="1" thickBot="1" x14ac:dyDescent="0.5">
      <c r="B2" s="2"/>
      <c r="C2" s="21" t="s">
        <v>59</v>
      </c>
      <c r="D2" s="21"/>
      <c r="E2" s="21" t="s">
        <v>60</v>
      </c>
      <c r="F2" s="21"/>
      <c r="J2" s="13" t="s">
        <v>34</v>
      </c>
      <c r="K2" s="13" t="s">
        <v>33</v>
      </c>
      <c r="O2" s="17" t="s">
        <v>30</v>
      </c>
      <c r="P2" s="20">
        <f>$P$4-$P$3</f>
        <v>0.29729544676480746</v>
      </c>
      <c r="R2" s="17" t="s">
        <v>29</v>
      </c>
    </row>
    <row r="3" spans="1:18" ht="16" thickTop="1" x14ac:dyDescent="0.35">
      <c r="A3" s="13" t="s">
        <v>5</v>
      </c>
      <c r="B3" s="14" t="str">
        <f>_xlfn.CONCAT("Metric ",R14)</f>
        <v>Metric &lt;inequality_metric&gt;</v>
      </c>
      <c r="C3" s="14" t="s">
        <v>37</v>
      </c>
      <c r="D3" s="14" t="s">
        <v>38</v>
      </c>
      <c r="E3" s="14" t="s">
        <v>37</v>
      </c>
      <c r="F3" s="14" t="s">
        <v>58</v>
      </c>
      <c r="G3" s="13" t="s">
        <v>36</v>
      </c>
      <c r="H3" s="13" t="s">
        <v>35</v>
      </c>
      <c r="I3" s="13" t="s">
        <v>2</v>
      </c>
      <c r="J3" s="3">
        <v>0</v>
      </c>
      <c r="K3" s="3">
        <v>0</v>
      </c>
      <c r="L3" s="13" t="s">
        <v>0</v>
      </c>
      <c r="M3" s="13" t="s">
        <v>1</v>
      </c>
      <c r="O3" t="s">
        <v>3</v>
      </c>
      <c r="P3" s="3">
        <f>SUM(L:L)</f>
        <v>5.7521739130434755</v>
      </c>
      <c r="R3" s="8" t="s">
        <v>64</v>
      </c>
    </row>
    <row r="4" spans="1:18" x14ac:dyDescent="0.35">
      <c r="A4" s="4" t="s">
        <v>6</v>
      </c>
      <c r="B4" s="5">
        <v>14</v>
      </c>
      <c r="C4" s="6" t="str">
        <f>IF(AND(ISNUMBER(B3),ISNUMBER(B5)),(B5-B3)/2,"")</f>
        <v/>
      </c>
      <c r="D4" s="6" t="str">
        <f>IF(AND(ISNUMBER(C3),ISNUMBER(C5)),(C5-C3)/2,"")</f>
        <v/>
      </c>
      <c r="E4" s="6">
        <f t="shared" ref="E4:E26" si="0">IF(AND(ISNUMBER(B4),ISNUMBER(B5)),(B5-B4)/2,"")</f>
        <v>3</v>
      </c>
      <c r="F4" s="6" t="str">
        <f>IF(AND(ISNUMBER(E3),ISNUMBER(E4)),(E4-E3)/2,"")</f>
        <v/>
      </c>
      <c r="G4" s="3">
        <v>1</v>
      </c>
      <c r="H4" s="7">
        <f t="shared" ref="H4:H26" si="1">1/MAX(G:G)</f>
        <v>4.3478260869565216E-2</v>
      </c>
      <c r="I4" s="7">
        <f t="shared" ref="I4:I26" si="2">B4/SUM(B:B)</f>
        <v>5.5118110236220472E-3</v>
      </c>
      <c r="J4" s="7">
        <f>H4</f>
        <v>4.3478260869565216E-2</v>
      </c>
      <c r="K4" s="7">
        <f>I4</f>
        <v>5.5118110236220472E-3</v>
      </c>
      <c r="L4" s="3">
        <f>K4*J5</f>
        <v>4.7928791509756929E-4</v>
      </c>
      <c r="M4" s="3">
        <f>K5*J4</f>
        <v>5.8199246833276269E-4</v>
      </c>
      <c r="O4" t="s">
        <v>4</v>
      </c>
      <c r="P4" s="3">
        <f>SUM(M:M)</f>
        <v>6.0494693598082829</v>
      </c>
      <c r="R4" s="8" t="s">
        <v>65</v>
      </c>
    </row>
    <row r="5" spans="1:18" x14ac:dyDescent="0.35">
      <c r="A5" s="4" t="s">
        <v>7</v>
      </c>
      <c r="B5" s="5">
        <v>20</v>
      </c>
      <c r="C5" s="6">
        <f t="shared" ref="C5:C26" si="3">IF(AND(ISNUMBER(B4),ISNUMBER(B6)),(B6-B4)/2,"")</f>
        <v>5</v>
      </c>
      <c r="D5" s="6" t="str">
        <f t="shared" ref="D5:D26" si="4">IF(AND(ISNUMBER(C4),ISNUMBER(C6)),(C6-C4)/2,"")</f>
        <v/>
      </c>
      <c r="E5" s="6">
        <f t="shared" si="0"/>
        <v>2</v>
      </c>
      <c r="F5" s="6">
        <f>IF(AND(ISNUMBER(E4),ISNUMBER(E5)),(E5-E4)/2,"")</f>
        <v>-0.5</v>
      </c>
      <c r="G5" s="3">
        <f>G4+1</f>
        <v>2</v>
      </c>
      <c r="H5" s="7">
        <f t="shared" si="1"/>
        <v>4.3478260869565216E-2</v>
      </c>
      <c r="I5" s="7">
        <f t="shared" si="2"/>
        <v>7.874015748031496E-3</v>
      </c>
      <c r="J5" s="7">
        <f>H5+J4</f>
        <v>8.6956521739130432E-2</v>
      </c>
      <c r="K5" s="7">
        <f>I5+K4</f>
        <v>1.3385826771653543E-2</v>
      </c>
      <c r="L5" s="3">
        <f t="shared" ref="L5:L25" si="5">K5*J6</f>
        <v>1.7459774049982883E-3</v>
      </c>
      <c r="M5" s="3">
        <f t="shared" ref="M5:M26" si="6">K6*J5</f>
        <v>1.985621362547073E-3</v>
      </c>
      <c r="O5" t="s">
        <v>40</v>
      </c>
      <c r="P5" t="str">
        <f>CONCATENATE("Gini = ",ROUND(P2,2))</f>
        <v>Gini = 0.3</v>
      </c>
      <c r="R5" s="8" t="s">
        <v>66</v>
      </c>
    </row>
    <row r="6" spans="1:18" x14ac:dyDescent="0.35">
      <c r="A6" s="4" t="s">
        <v>8</v>
      </c>
      <c r="B6" s="5">
        <v>24</v>
      </c>
      <c r="C6" s="6">
        <f t="shared" si="3"/>
        <v>10</v>
      </c>
      <c r="D6" s="6">
        <f t="shared" si="4"/>
        <v>9</v>
      </c>
      <c r="E6" s="6">
        <f t="shared" si="0"/>
        <v>8</v>
      </c>
      <c r="F6" s="6">
        <f t="shared" ref="F6:F24" si="7">IF(AND(ISNUMBER(E5),ISNUMBER(E6)),(E6-E5)/2,"")</f>
        <v>3</v>
      </c>
      <c r="G6" s="3">
        <f t="shared" ref="G6:G26" si="8">G5+1</f>
        <v>3</v>
      </c>
      <c r="H6" s="7">
        <f t="shared" si="1"/>
        <v>4.3478260869565216E-2</v>
      </c>
      <c r="I6" s="7">
        <f t="shared" si="2"/>
        <v>9.4488188976377951E-3</v>
      </c>
      <c r="J6" s="7">
        <f t="shared" ref="J6:J26" si="9">H6+J5</f>
        <v>0.13043478260869565</v>
      </c>
      <c r="K6" s="7">
        <f t="shared" ref="K6:K26" si="10">I6+K5</f>
        <v>2.2834645669291338E-2</v>
      </c>
      <c r="L6" s="3">
        <f t="shared" si="5"/>
        <v>3.971242725094146E-3</v>
      </c>
      <c r="M6" s="3">
        <f t="shared" si="6"/>
        <v>5.0325231085244773E-3</v>
      </c>
      <c r="O6" t="s">
        <v>39</v>
      </c>
      <c r="P6" s="22" t="str">
        <f>CONCATENATE("max 5 in f'' values = ",ROUND(LARGE(D:D,1),1), ",  ",ROUND(LARGE(D:D,2),1),",  ",ROUND(LARGE(D:D,3),1),",  ",ROUND(LARGE(D:D,4),1), ",  and  ",ROUND(LARGE(D:D,5),1))</f>
        <v>max 5 in f'' values = 9,  8,  5.5,  4,  and  3.5</v>
      </c>
      <c r="R6" s="8" t="s">
        <v>71</v>
      </c>
    </row>
    <row r="7" spans="1:18" x14ac:dyDescent="0.35">
      <c r="A7" s="4" t="s">
        <v>9</v>
      </c>
      <c r="B7" s="5">
        <v>40</v>
      </c>
      <c r="C7" s="6">
        <f t="shared" si="3"/>
        <v>23</v>
      </c>
      <c r="D7" s="6">
        <f t="shared" si="4"/>
        <v>4</v>
      </c>
      <c r="E7" s="6">
        <f t="shared" si="0"/>
        <v>15</v>
      </c>
      <c r="F7" s="6">
        <f t="shared" si="7"/>
        <v>3.5</v>
      </c>
      <c r="G7" s="3">
        <f t="shared" si="8"/>
        <v>4</v>
      </c>
      <c r="H7" s="7">
        <f t="shared" si="1"/>
        <v>4.3478260869565216E-2</v>
      </c>
      <c r="I7" s="7">
        <f t="shared" si="2"/>
        <v>1.5748031496062992E-2</v>
      </c>
      <c r="J7" s="7">
        <f t="shared" si="9"/>
        <v>0.17391304347826086</v>
      </c>
      <c r="K7" s="7">
        <f t="shared" si="10"/>
        <v>3.858267716535433E-2</v>
      </c>
      <c r="L7" s="3">
        <f t="shared" si="5"/>
        <v>8.387538514207463E-3</v>
      </c>
      <c r="M7" s="3">
        <f t="shared" si="6"/>
        <v>1.1502909962341663E-2</v>
      </c>
      <c r="P7" s="22"/>
      <c r="R7" s="8" t="s">
        <v>67</v>
      </c>
    </row>
    <row r="8" spans="1:18" x14ac:dyDescent="0.35">
      <c r="A8" s="4" t="s">
        <v>10</v>
      </c>
      <c r="B8" s="5">
        <v>70</v>
      </c>
      <c r="C8" s="6">
        <f t="shared" si="3"/>
        <v>18</v>
      </c>
      <c r="D8" s="6">
        <f t="shared" si="4"/>
        <v>-9</v>
      </c>
      <c r="E8" s="6">
        <f t="shared" si="0"/>
        <v>3</v>
      </c>
      <c r="F8" s="6">
        <f t="shared" si="7"/>
        <v>-6</v>
      </c>
      <c r="G8" s="3">
        <f t="shared" si="8"/>
        <v>5</v>
      </c>
      <c r="H8" s="7">
        <f t="shared" si="1"/>
        <v>4.3478260869565216E-2</v>
      </c>
      <c r="I8" s="7">
        <f t="shared" si="2"/>
        <v>2.7559055118110236E-2</v>
      </c>
      <c r="J8" s="7">
        <f t="shared" si="9"/>
        <v>0.21739130434782608</v>
      </c>
      <c r="K8" s="7">
        <f t="shared" si="10"/>
        <v>6.6141732283464566E-2</v>
      </c>
      <c r="L8" s="3">
        <f t="shared" si="5"/>
        <v>1.7254364943512495E-2</v>
      </c>
      <c r="M8" s="3">
        <f t="shared" si="6"/>
        <v>2.0883259157822662E-2</v>
      </c>
      <c r="P8" s="22"/>
      <c r="R8" s="8" t="s">
        <v>75</v>
      </c>
    </row>
    <row r="9" spans="1:18" x14ac:dyDescent="0.35">
      <c r="A9" s="4" t="s">
        <v>11</v>
      </c>
      <c r="B9" s="5">
        <v>76</v>
      </c>
      <c r="C9" s="6">
        <f t="shared" si="3"/>
        <v>5</v>
      </c>
      <c r="D9" s="6">
        <f t="shared" si="4"/>
        <v>-7</v>
      </c>
      <c r="E9" s="6">
        <f t="shared" si="0"/>
        <v>2</v>
      </c>
      <c r="F9" s="6">
        <f t="shared" si="7"/>
        <v>-0.5</v>
      </c>
      <c r="G9" s="3">
        <f t="shared" si="8"/>
        <v>6</v>
      </c>
      <c r="H9" s="7">
        <f t="shared" si="1"/>
        <v>4.3478260869565216E-2</v>
      </c>
      <c r="I9" s="7">
        <f t="shared" si="2"/>
        <v>2.9921259842519685E-2</v>
      </c>
      <c r="J9" s="7">
        <f t="shared" si="9"/>
        <v>0.2608695652173913</v>
      </c>
      <c r="K9" s="7">
        <f t="shared" si="10"/>
        <v>9.6062992125984251E-2</v>
      </c>
      <c r="L9" s="3">
        <f t="shared" si="5"/>
        <v>2.9236562820951731E-2</v>
      </c>
      <c r="M9" s="3">
        <f t="shared" si="6"/>
        <v>3.3276275248202668E-2</v>
      </c>
      <c r="O9" t="s">
        <v>41</v>
      </c>
      <c r="P9" s="23" t="str">
        <f>CONCATENATE("max 5 in f'' positions = ", MATCH(LARGE(D:D,1),D4:D100000,0), ",  ",MATCH(LARGE(D:D,2),D4:D100000,0), ",  ", MATCH(LARGE(D:D,3),D4:D100000,0), ",  ", MATCH(LARGE(D:D,4),D4:D100000,0), ",  and  ", MATCH(LARGE(D:D,5),D4:D100000,0))</f>
        <v>max 5 in f'' positions = 3,  19,  21,  4,  and  12</v>
      </c>
      <c r="R9" s="15" t="s">
        <v>63</v>
      </c>
    </row>
    <row r="10" spans="1:18" x14ac:dyDescent="0.35">
      <c r="A10" s="4" t="s">
        <v>12</v>
      </c>
      <c r="B10" s="5">
        <v>80</v>
      </c>
      <c r="C10" s="6">
        <f t="shared" si="3"/>
        <v>4</v>
      </c>
      <c r="D10" s="6">
        <f t="shared" si="4"/>
        <v>-0.5</v>
      </c>
      <c r="E10" s="6">
        <f t="shared" si="0"/>
        <v>2</v>
      </c>
      <c r="F10" s="6">
        <f t="shared" si="7"/>
        <v>0</v>
      </c>
      <c r="G10" s="3">
        <f t="shared" si="8"/>
        <v>7</v>
      </c>
      <c r="H10" s="7">
        <f t="shared" si="1"/>
        <v>4.3478260869565216E-2</v>
      </c>
      <c r="I10" s="7">
        <f t="shared" si="2"/>
        <v>3.1496062992125984E-2</v>
      </c>
      <c r="J10" s="7">
        <f t="shared" si="9"/>
        <v>0.30434782608695654</v>
      </c>
      <c r="K10" s="7">
        <f t="shared" si="10"/>
        <v>0.12755905511811022</v>
      </c>
      <c r="L10" s="3">
        <f t="shared" si="5"/>
        <v>4.4368366997603555E-2</v>
      </c>
      <c r="M10" s="3">
        <f t="shared" si="6"/>
        <v>4.8887367339952068E-2</v>
      </c>
      <c r="O10" s="13"/>
      <c r="P10" s="23"/>
      <c r="R10" s="16" t="str">
        <f>_xlfn.CONCAT(R9," Lorenz Curve")</f>
        <v>&lt;site_name&gt; Lorenz Curve</v>
      </c>
    </row>
    <row r="11" spans="1:18" x14ac:dyDescent="0.35">
      <c r="A11" s="4" t="s">
        <v>13</v>
      </c>
      <c r="B11" s="5">
        <v>84</v>
      </c>
      <c r="C11" s="6">
        <f t="shared" si="3"/>
        <v>4</v>
      </c>
      <c r="D11" s="6">
        <f t="shared" si="4"/>
        <v>1.5</v>
      </c>
      <c r="E11" s="6">
        <f t="shared" si="0"/>
        <v>2</v>
      </c>
      <c r="F11" s="6">
        <f t="shared" si="7"/>
        <v>0</v>
      </c>
      <c r="G11" s="3">
        <f t="shared" si="8"/>
        <v>8</v>
      </c>
      <c r="H11" s="7">
        <f t="shared" si="1"/>
        <v>4.3478260869565216E-2</v>
      </c>
      <c r="I11" s="7">
        <f t="shared" si="2"/>
        <v>3.3070866141732283E-2</v>
      </c>
      <c r="J11" s="7">
        <f t="shared" si="9"/>
        <v>0.34782608695652173</v>
      </c>
      <c r="K11" s="7">
        <f t="shared" si="10"/>
        <v>0.16062992125984249</v>
      </c>
      <c r="L11" s="3">
        <f t="shared" si="5"/>
        <v>6.2855186579938355E-2</v>
      </c>
      <c r="M11" s="3">
        <f t="shared" si="6"/>
        <v>6.7921944539541243E-2</v>
      </c>
      <c r="P11" s="23"/>
      <c r="R11" s="16" t="str">
        <f>_xlfn.CONCAT("f'' of ",R9)</f>
        <v>f'' of &lt;site_name&gt;</v>
      </c>
    </row>
    <row r="12" spans="1:18" ht="16" thickBot="1" x14ac:dyDescent="0.4">
      <c r="A12" s="4" t="s">
        <v>14</v>
      </c>
      <c r="B12" s="5">
        <v>88</v>
      </c>
      <c r="C12" s="6">
        <f t="shared" si="3"/>
        <v>7</v>
      </c>
      <c r="D12" s="6">
        <f t="shared" si="4"/>
        <v>1</v>
      </c>
      <c r="E12" s="6">
        <f t="shared" si="0"/>
        <v>5</v>
      </c>
      <c r="F12" s="6">
        <f t="shared" si="7"/>
        <v>1.5</v>
      </c>
      <c r="G12" s="3">
        <f t="shared" si="8"/>
        <v>9</v>
      </c>
      <c r="H12" s="7">
        <f>1/MAX(G:G)</f>
        <v>4.3478260869565216E-2</v>
      </c>
      <c r="I12" s="7">
        <f t="shared" si="2"/>
        <v>3.4645669291338582E-2</v>
      </c>
      <c r="J12" s="7">
        <f t="shared" si="9"/>
        <v>0.39130434782608692</v>
      </c>
      <c r="K12" s="7">
        <f t="shared" si="10"/>
        <v>0.19527559055118107</v>
      </c>
      <c r="L12" s="3">
        <f t="shared" si="5"/>
        <v>8.4902430674426543E-2</v>
      </c>
      <c r="M12" s="3">
        <f t="shared" si="6"/>
        <v>9.1509756932557321E-2</v>
      </c>
      <c r="O12" s="10" t="s">
        <v>69</v>
      </c>
      <c r="R12" s="16" t="str">
        <f>_xlfn.CONCAT("Univariate plot of ",R9)</f>
        <v>Univariate plot of &lt;site_name&gt;</v>
      </c>
    </row>
    <row r="13" spans="1:18" x14ac:dyDescent="0.35">
      <c r="A13" s="4" t="s">
        <v>15</v>
      </c>
      <c r="B13" s="5">
        <v>98</v>
      </c>
      <c r="C13" s="6">
        <f t="shared" si="3"/>
        <v>6</v>
      </c>
      <c r="D13" s="6">
        <f t="shared" si="4"/>
        <v>-2</v>
      </c>
      <c r="E13" s="6">
        <f t="shared" si="0"/>
        <v>1</v>
      </c>
      <c r="F13" s="6">
        <f t="shared" si="7"/>
        <v>-2</v>
      </c>
      <c r="G13" s="3">
        <f>G12+1</f>
        <v>10</v>
      </c>
      <c r="H13" s="7">
        <f t="shared" si="1"/>
        <v>4.3478260869565216E-2</v>
      </c>
      <c r="I13" s="7">
        <f t="shared" si="2"/>
        <v>3.858267716535433E-2</v>
      </c>
      <c r="J13" s="7">
        <f t="shared" si="9"/>
        <v>0.43478260869565211</v>
      </c>
      <c r="K13" s="7">
        <f t="shared" si="10"/>
        <v>0.2338582677165354</v>
      </c>
      <c r="L13" s="3">
        <f t="shared" si="5"/>
        <v>0.1118452584731256</v>
      </c>
      <c r="M13" s="3">
        <f t="shared" si="6"/>
        <v>0.11879493324204035</v>
      </c>
      <c r="O13" t="s">
        <v>72</v>
      </c>
      <c r="P13" s="12">
        <f>ROUND(P2,2)</f>
        <v>0.3</v>
      </c>
      <c r="R13" s="8" t="s">
        <v>84</v>
      </c>
    </row>
    <row r="14" spans="1:18" x14ac:dyDescent="0.35">
      <c r="A14" s="4" t="s">
        <v>16</v>
      </c>
      <c r="B14" s="5">
        <v>100</v>
      </c>
      <c r="C14" s="6">
        <f t="shared" si="3"/>
        <v>3</v>
      </c>
      <c r="D14" s="6">
        <f t="shared" si="4"/>
        <v>-1.5</v>
      </c>
      <c r="E14" s="6">
        <f t="shared" si="0"/>
        <v>2</v>
      </c>
      <c r="F14" s="6">
        <f t="shared" si="7"/>
        <v>0.5</v>
      </c>
      <c r="G14" s="3">
        <f t="shared" si="8"/>
        <v>11</v>
      </c>
      <c r="H14" s="7">
        <f t="shared" si="1"/>
        <v>4.3478260869565216E-2</v>
      </c>
      <c r="I14" s="7">
        <f t="shared" si="2"/>
        <v>3.937007874015748E-2</v>
      </c>
      <c r="J14" s="7">
        <f t="shared" si="9"/>
        <v>0.47826086956521729</v>
      </c>
      <c r="K14" s="7">
        <f t="shared" si="10"/>
        <v>0.27322834645669286</v>
      </c>
      <c r="L14" s="3">
        <f t="shared" si="5"/>
        <v>0.14255391989044841</v>
      </c>
      <c r="M14" s="3">
        <f t="shared" si="6"/>
        <v>0.15025676138308794</v>
      </c>
      <c r="O14" t="s">
        <v>79</v>
      </c>
      <c r="P14" s="12">
        <f>(P15/(P15-1)) * P13</f>
        <v>0.3136363636363636</v>
      </c>
      <c r="R14" s="15" t="s">
        <v>78</v>
      </c>
    </row>
    <row r="15" spans="1:18" x14ac:dyDescent="0.35">
      <c r="A15" s="4" t="s">
        <v>17</v>
      </c>
      <c r="B15" s="5">
        <v>104</v>
      </c>
      <c r="C15" s="6">
        <f t="shared" si="3"/>
        <v>3</v>
      </c>
      <c r="D15" s="6">
        <f t="shared" si="4"/>
        <v>3.5</v>
      </c>
      <c r="E15" s="6">
        <f t="shared" si="0"/>
        <v>1</v>
      </c>
      <c r="F15" s="6">
        <f t="shared" si="7"/>
        <v>-0.5</v>
      </c>
      <c r="G15" s="3">
        <f t="shared" si="8"/>
        <v>12</v>
      </c>
      <c r="H15" s="7">
        <f>1/MAX(G:G)</f>
        <v>4.3478260869565216E-2</v>
      </c>
      <c r="I15" s="7">
        <f t="shared" si="2"/>
        <v>4.0944881889763779E-2</v>
      </c>
      <c r="J15" s="7">
        <f t="shared" si="9"/>
        <v>0.52173913043478248</v>
      </c>
      <c r="K15" s="7">
        <f t="shared" si="10"/>
        <v>0.31417322834645667</v>
      </c>
      <c r="L15" s="3">
        <f t="shared" si="5"/>
        <v>0.17757617254364938</v>
      </c>
      <c r="M15" s="3">
        <f t="shared" si="6"/>
        <v>0.18568983224922966</v>
      </c>
      <c r="O15" t="s">
        <v>74</v>
      </c>
      <c r="P15" s="18">
        <f>COUNT(B:B)</f>
        <v>23</v>
      </c>
      <c r="R15" s="9" t="str">
        <f>_xlfn.CONCAT("6.) the Gini value of ", ROUND(P2,2), " is the area under the Lorenz curve")</f>
        <v>6.) the Gini value of 0.3 is the area under the Lorenz curve</v>
      </c>
    </row>
    <row r="16" spans="1:18" x14ac:dyDescent="0.35">
      <c r="A16" s="4" t="s">
        <v>18</v>
      </c>
      <c r="B16" s="5">
        <v>106</v>
      </c>
      <c r="C16" s="6">
        <f t="shared" si="3"/>
        <v>10</v>
      </c>
      <c r="D16" s="6">
        <f t="shared" si="4"/>
        <v>3</v>
      </c>
      <c r="E16" s="6">
        <f t="shared" si="0"/>
        <v>9</v>
      </c>
      <c r="F16" s="6">
        <f t="shared" si="7"/>
        <v>4</v>
      </c>
      <c r="G16" s="3">
        <f t="shared" si="8"/>
        <v>13</v>
      </c>
      <c r="H16" s="7">
        <f t="shared" si="1"/>
        <v>4.3478260869565216E-2</v>
      </c>
      <c r="I16" s="7">
        <f t="shared" si="2"/>
        <v>4.1732283464566929E-2</v>
      </c>
      <c r="J16" s="7">
        <f t="shared" si="9"/>
        <v>0.56521739130434767</v>
      </c>
      <c r="K16" s="7">
        <f t="shared" si="10"/>
        <v>0.35590551181102359</v>
      </c>
      <c r="L16" s="3">
        <f t="shared" si="5"/>
        <v>0.21663813762410125</v>
      </c>
      <c r="M16" s="3">
        <f t="shared" si="6"/>
        <v>0.2287572749058541</v>
      </c>
      <c r="O16" t="s">
        <v>42</v>
      </c>
      <c r="P16" s="12">
        <f>AVERAGE(B:B)</f>
        <v>110.43478260869566</v>
      </c>
      <c r="R16" s="9" t="s">
        <v>68</v>
      </c>
    </row>
    <row r="17" spans="1:18" x14ac:dyDescent="0.35">
      <c r="A17" s="4" t="s">
        <v>19</v>
      </c>
      <c r="B17" s="5">
        <v>124</v>
      </c>
      <c r="C17" s="6">
        <f t="shared" si="3"/>
        <v>9</v>
      </c>
      <c r="D17" s="6">
        <f t="shared" si="4"/>
        <v>-4</v>
      </c>
      <c r="E17" s="6">
        <f t="shared" si="0"/>
        <v>0</v>
      </c>
      <c r="F17" s="6">
        <f t="shared" si="7"/>
        <v>-4.5</v>
      </c>
      <c r="G17" s="3">
        <f t="shared" si="8"/>
        <v>14</v>
      </c>
      <c r="H17" s="7">
        <f t="shared" si="1"/>
        <v>4.3478260869565216E-2</v>
      </c>
      <c r="I17" s="7">
        <f t="shared" si="2"/>
        <v>4.8818897637795275E-2</v>
      </c>
      <c r="J17" s="7">
        <f t="shared" si="9"/>
        <v>0.60869565217391286</v>
      </c>
      <c r="K17" s="7">
        <f t="shared" si="10"/>
        <v>0.40472440944881888</v>
      </c>
      <c r="L17" s="3">
        <f t="shared" si="5"/>
        <v>0.26395070181444702</v>
      </c>
      <c r="M17" s="3">
        <f t="shared" si="6"/>
        <v>0.27606983909619986</v>
      </c>
      <c r="O17" t="s">
        <v>45</v>
      </c>
      <c r="P17" s="12">
        <f>$P$26-$P$22</f>
        <v>242</v>
      </c>
      <c r="R17" s="8" t="s">
        <v>85</v>
      </c>
    </row>
    <row r="18" spans="1:18" x14ac:dyDescent="0.35">
      <c r="A18" s="4" t="s">
        <v>20</v>
      </c>
      <c r="B18" s="5">
        <v>124</v>
      </c>
      <c r="C18" s="6">
        <f t="shared" si="3"/>
        <v>2</v>
      </c>
      <c r="D18" s="6">
        <f t="shared" si="4"/>
        <v>-0.5</v>
      </c>
      <c r="E18" s="6">
        <f t="shared" si="0"/>
        <v>2</v>
      </c>
      <c r="F18" s="6">
        <f t="shared" si="7"/>
        <v>1</v>
      </c>
      <c r="G18" s="3">
        <f t="shared" si="8"/>
        <v>15</v>
      </c>
      <c r="H18" s="7">
        <f t="shared" si="1"/>
        <v>4.3478260869565216E-2</v>
      </c>
      <c r="I18" s="7">
        <f t="shared" si="2"/>
        <v>4.8818897637795275E-2</v>
      </c>
      <c r="J18" s="7">
        <f t="shared" si="9"/>
        <v>0.65217391304347805</v>
      </c>
      <c r="K18" s="7">
        <f t="shared" si="10"/>
        <v>0.45354330708661417</v>
      </c>
      <c r="L18" s="3">
        <f t="shared" si="5"/>
        <v>0.31550838753851407</v>
      </c>
      <c r="M18" s="3">
        <f t="shared" si="6"/>
        <v>0.32865457035261886</v>
      </c>
      <c r="O18" t="s">
        <v>46</v>
      </c>
      <c r="P18" s="12">
        <f>_xlfn.STDEV.P(B:B)</f>
        <v>58.876308136086031</v>
      </c>
    </row>
    <row r="19" spans="1:18" x14ac:dyDescent="0.35">
      <c r="A19" s="4" t="s">
        <v>21</v>
      </c>
      <c r="B19" s="5">
        <v>128</v>
      </c>
      <c r="C19" s="6">
        <f t="shared" si="3"/>
        <v>8</v>
      </c>
      <c r="D19" s="6">
        <f t="shared" si="4"/>
        <v>3.5</v>
      </c>
      <c r="E19" s="6">
        <f t="shared" si="0"/>
        <v>6</v>
      </c>
      <c r="F19" s="6">
        <f t="shared" si="7"/>
        <v>2</v>
      </c>
      <c r="G19" s="3">
        <f t="shared" si="8"/>
        <v>16</v>
      </c>
      <c r="H19" s="7">
        <f t="shared" si="1"/>
        <v>4.3478260869565216E-2</v>
      </c>
      <c r="I19" s="7">
        <f t="shared" si="2"/>
        <v>5.0393700787401574E-2</v>
      </c>
      <c r="J19" s="7">
        <f t="shared" si="9"/>
        <v>0.69565217391304324</v>
      </c>
      <c r="K19" s="7">
        <f t="shared" si="10"/>
        <v>0.50393700787401574</v>
      </c>
      <c r="L19" s="3">
        <f t="shared" si="5"/>
        <v>0.37247517973296801</v>
      </c>
      <c r="M19" s="3">
        <f t="shared" si="6"/>
        <v>0.38890790825059895</v>
      </c>
      <c r="O19" t="s">
        <v>73</v>
      </c>
      <c r="P19" s="12">
        <f>$P$18/$P$16</f>
        <v>0.53313192406692078</v>
      </c>
    </row>
    <row r="20" spans="1:18" x14ac:dyDescent="0.35">
      <c r="A20" s="4" t="s">
        <v>22</v>
      </c>
      <c r="B20" s="5">
        <v>140</v>
      </c>
      <c r="C20" s="6">
        <f t="shared" si="3"/>
        <v>9</v>
      </c>
      <c r="D20" s="6">
        <f t="shared" si="4"/>
        <v>-1.5</v>
      </c>
      <c r="E20" s="6">
        <f t="shared" si="0"/>
        <v>3</v>
      </c>
      <c r="F20" s="6">
        <f t="shared" si="7"/>
        <v>-1.5</v>
      </c>
      <c r="G20" s="3">
        <f t="shared" si="8"/>
        <v>17</v>
      </c>
      <c r="H20" s="7">
        <f t="shared" si="1"/>
        <v>4.3478260869565216E-2</v>
      </c>
      <c r="I20" s="7">
        <f t="shared" si="2"/>
        <v>5.5118110236220472E-2</v>
      </c>
      <c r="J20" s="7">
        <f t="shared" si="9"/>
        <v>0.73913043478260843</v>
      </c>
      <c r="K20" s="7">
        <f t="shared" si="10"/>
        <v>0.55905511811023623</v>
      </c>
      <c r="L20" s="3">
        <f t="shared" si="5"/>
        <v>0.43752139678192381</v>
      </c>
      <c r="M20" s="3">
        <f t="shared" si="6"/>
        <v>0.45570010270455302</v>
      </c>
    </row>
    <row r="21" spans="1:18" ht="16" thickBot="1" x14ac:dyDescent="0.4">
      <c r="A21" s="4" t="s">
        <v>23</v>
      </c>
      <c r="B21" s="5">
        <v>146</v>
      </c>
      <c r="C21" s="6">
        <f t="shared" si="3"/>
        <v>5</v>
      </c>
      <c r="D21" s="6">
        <f t="shared" si="4"/>
        <v>3</v>
      </c>
      <c r="E21" s="6">
        <f t="shared" si="0"/>
        <v>2</v>
      </c>
      <c r="F21" s="6">
        <f t="shared" si="7"/>
        <v>-0.5</v>
      </c>
      <c r="G21" s="3">
        <f t="shared" si="8"/>
        <v>18</v>
      </c>
      <c r="H21" s="7">
        <f t="shared" si="1"/>
        <v>4.3478260869565216E-2</v>
      </c>
      <c r="I21" s="7">
        <f t="shared" si="2"/>
        <v>5.748031496062992E-2</v>
      </c>
      <c r="J21" s="7">
        <f t="shared" si="9"/>
        <v>0.78260869565217361</v>
      </c>
      <c r="K21" s="7">
        <f t="shared" si="10"/>
        <v>0.61653543307086611</v>
      </c>
      <c r="L21" s="3">
        <f t="shared" si="5"/>
        <v>0.50931187949332402</v>
      </c>
      <c r="M21" s="3">
        <f t="shared" si="6"/>
        <v>0.52872304005477555</v>
      </c>
      <c r="O21" s="10" t="s">
        <v>76</v>
      </c>
    </row>
    <row r="22" spans="1:18" x14ac:dyDescent="0.35">
      <c r="A22" s="4" t="s">
        <v>24</v>
      </c>
      <c r="B22" s="5">
        <v>150</v>
      </c>
      <c r="C22" s="6">
        <f t="shared" si="3"/>
        <v>15</v>
      </c>
      <c r="D22" s="6">
        <f t="shared" si="4"/>
        <v>8</v>
      </c>
      <c r="E22" s="6">
        <f t="shared" si="0"/>
        <v>13</v>
      </c>
      <c r="F22" s="6">
        <f t="shared" si="7"/>
        <v>5.5</v>
      </c>
      <c r="G22" s="3">
        <f t="shared" si="8"/>
        <v>19</v>
      </c>
      <c r="H22" s="7">
        <f>1/MAX(G:G)</f>
        <v>4.3478260869565216E-2</v>
      </c>
      <c r="I22" s="7">
        <f t="shared" si="2"/>
        <v>5.905511811023622E-2</v>
      </c>
      <c r="J22" s="7">
        <f t="shared" si="9"/>
        <v>0.8260869565217388</v>
      </c>
      <c r="K22" s="7">
        <f t="shared" si="10"/>
        <v>0.67559055118110234</v>
      </c>
      <c r="L22" s="3">
        <f t="shared" si="5"/>
        <v>0.58747004450530615</v>
      </c>
      <c r="M22" s="3">
        <f t="shared" si="6"/>
        <v>0.61533721328312185</v>
      </c>
      <c r="O22" t="s">
        <v>86</v>
      </c>
      <c r="P22" s="12">
        <f>MIN(B:B)</f>
        <v>14</v>
      </c>
    </row>
    <row r="23" spans="1:18" x14ac:dyDescent="0.35">
      <c r="A23" s="4" t="s">
        <v>25</v>
      </c>
      <c r="B23" s="5">
        <v>176</v>
      </c>
      <c r="C23" s="6">
        <f t="shared" si="3"/>
        <v>21</v>
      </c>
      <c r="D23" s="6">
        <f t="shared" si="4"/>
        <v>-1.5</v>
      </c>
      <c r="E23" s="6">
        <f t="shared" si="0"/>
        <v>8</v>
      </c>
      <c r="F23" s="6">
        <f t="shared" si="7"/>
        <v>-2.5</v>
      </c>
      <c r="G23" s="3">
        <f t="shared" si="8"/>
        <v>20</v>
      </c>
      <c r="H23" s="7">
        <f t="shared" si="1"/>
        <v>4.3478260869565216E-2</v>
      </c>
      <c r="I23" s="7">
        <f t="shared" si="2"/>
        <v>6.9291338582677164E-2</v>
      </c>
      <c r="J23" s="7">
        <f t="shared" si="9"/>
        <v>0.86956521739130399</v>
      </c>
      <c r="K23" s="7">
        <f t="shared" si="10"/>
        <v>0.74488188976377945</v>
      </c>
      <c r="L23" s="3">
        <f t="shared" si="5"/>
        <v>0.68010955152345054</v>
      </c>
      <c r="M23" s="3">
        <f t="shared" si="6"/>
        <v>0.71345429647380998</v>
      </c>
      <c r="O23" t="s">
        <v>61</v>
      </c>
      <c r="P23" s="12">
        <f>QUARTILE(B:B,1)</f>
        <v>78</v>
      </c>
    </row>
    <row r="24" spans="1:18" x14ac:dyDescent="0.35">
      <c r="A24" s="4" t="s">
        <v>26</v>
      </c>
      <c r="B24" s="5">
        <v>192</v>
      </c>
      <c r="C24" s="6">
        <f t="shared" si="3"/>
        <v>12</v>
      </c>
      <c r="D24" s="6">
        <f t="shared" si="4"/>
        <v>5.5</v>
      </c>
      <c r="E24" s="6">
        <f t="shared" si="0"/>
        <v>4</v>
      </c>
      <c r="F24" s="6">
        <f t="shared" si="7"/>
        <v>-2</v>
      </c>
      <c r="G24" s="3">
        <f t="shared" si="8"/>
        <v>21</v>
      </c>
      <c r="H24" s="7">
        <f t="shared" si="1"/>
        <v>4.3478260869565216E-2</v>
      </c>
      <c r="I24" s="7">
        <f t="shared" si="2"/>
        <v>7.5590551181102361E-2</v>
      </c>
      <c r="J24" s="7">
        <f t="shared" si="9"/>
        <v>0.91304347826086918</v>
      </c>
      <c r="K24" s="7">
        <f t="shared" si="10"/>
        <v>0.82047244094488181</v>
      </c>
      <c r="L24" s="3">
        <f t="shared" si="5"/>
        <v>0.78479972612119098</v>
      </c>
      <c r="M24" s="3">
        <f t="shared" si="6"/>
        <v>0.82102019856213582</v>
      </c>
      <c r="O24" t="s">
        <v>43</v>
      </c>
      <c r="P24" s="12">
        <f>MEDIAN(B:B)</f>
        <v>104</v>
      </c>
    </row>
    <row r="25" spans="1:18" x14ac:dyDescent="0.35">
      <c r="A25" s="4" t="s">
        <v>27</v>
      </c>
      <c r="B25" s="5">
        <v>200</v>
      </c>
      <c r="C25" s="6">
        <f t="shared" si="3"/>
        <v>32</v>
      </c>
      <c r="D25" s="6" t="str">
        <f t="shared" si="4"/>
        <v/>
      </c>
      <c r="E25" s="6">
        <f t="shared" si="0"/>
        <v>28</v>
      </c>
      <c r="F25" s="6">
        <f>IF(AND(ISNUMBER(E24),ISNUMBER(E25)),(E25-E24)/2,"")</f>
        <v>12</v>
      </c>
      <c r="G25" s="3">
        <f t="shared" si="8"/>
        <v>22</v>
      </c>
      <c r="H25" s="7">
        <f t="shared" si="1"/>
        <v>4.3478260869565216E-2</v>
      </c>
      <c r="I25" s="7">
        <f t="shared" si="2"/>
        <v>7.874015748031496E-2</v>
      </c>
      <c r="J25" s="7">
        <f t="shared" si="9"/>
        <v>0.95652173913043437</v>
      </c>
      <c r="K25" s="7">
        <f t="shared" si="10"/>
        <v>0.89921259842519674</v>
      </c>
      <c r="L25" s="3">
        <f t="shared" si="5"/>
        <v>0.8992125984251963</v>
      </c>
      <c r="M25" s="3">
        <f t="shared" si="6"/>
        <v>0.95652173913043426</v>
      </c>
      <c r="O25" t="s">
        <v>62</v>
      </c>
      <c r="P25" s="12">
        <f>QUARTILE(B:B,3)</f>
        <v>143</v>
      </c>
    </row>
    <row r="26" spans="1:18" x14ac:dyDescent="0.35">
      <c r="A26" s="4" t="s">
        <v>28</v>
      </c>
      <c r="B26" s="5">
        <v>256</v>
      </c>
      <c r="C26" s="6" t="str">
        <f t="shared" si="3"/>
        <v/>
      </c>
      <c r="D26" s="6" t="str">
        <f t="shared" si="4"/>
        <v/>
      </c>
      <c r="E26" s="6" t="str">
        <f t="shared" si="0"/>
        <v/>
      </c>
      <c r="F26" s="6" t="str">
        <f>IF(AND(ISNUMBER(E25),ISNUMBER(E26)),(E26-E25)/2,"")</f>
        <v/>
      </c>
      <c r="G26" s="3">
        <f t="shared" si="8"/>
        <v>23</v>
      </c>
      <c r="H26" s="7">
        <f t="shared" si="1"/>
        <v>4.3478260869565216E-2</v>
      </c>
      <c r="I26" s="7">
        <f t="shared" si="2"/>
        <v>0.10078740157480315</v>
      </c>
      <c r="J26" s="7">
        <f t="shared" si="9"/>
        <v>0.99999999999999956</v>
      </c>
      <c r="K26" s="7">
        <f t="shared" si="10"/>
        <v>0.99999999999999989</v>
      </c>
      <c r="L26" s="3">
        <f>K26*J27</f>
        <v>0</v>
      </c>
      <c r="M26" s="3">
        <f t="shared" si="6"/>
        <v>0</v>
      </c>
      <c r="O26" t="s">
        <v>44</v>
      </c>
      <c r="P26" s="12">
        <f>MAX(B:B)</f>
        <v>256</v>
      </c>
    </row>
    <row r="27" spans="1:18" x14ac:dyDescent="0.35">
      <c r="J27" s="1"/>
    </row>
    <row r="28" spans="1:18" ht="16" thickBot="1" x14ac:dyDescent="0.4">
      <c r="O28" s="10" t="s">
        <v>80</v>
      </c>
    </row>
    <row r="29" spans="1:18" x14ac:dyDescent="0.35">
      <c r="O29" t="s">
        <v>81</v>
      </c>
      <c r="P29" s="4"/>
    </row>
    <row r="30" spans="1:18" x14ac:dyDescent="0.35">
      <c r="O30" t="s">
        <v>82</v>
      </c>
      <c r="P30" s="4"/>
    </row>
    <row r="32" spans="1:18" ht="16" thickBot="1" x14ac:dyDescent="0.4">
      <c r="O32" s="10" t="s">
        <v>50</v>
      </c>
    </row>
    <row r="33" spans="15:15" x14ac:dyDescent="0.35">
      <c r="O33" s="19" t="s">
        <v>51</v>
      </c>
    </row>
    <row r="35" spans="15:15" ht="16" thickBot="1" x14ac:dyDescent="0.4">
      <c r="O35" s="10" t="s">
        <v>52</v>
      </c>
    </row>
    <row r="36" spans="15:15" x14ac:dyDescent="0.35">
      <c r="O36" s="19" t="s">
        <v>48</v>
      </c>
    </row>
    <row r="37" spans="15:15" x14ac:dyDescent="0.35">
      <c r="O37" s="19" t="s">
        <v>49</v>
      </c>
    </row>
    <row r="38" spans="15:15" x14ac:dyDescent="0.35">
      <c r="O38" s="19" t="s">
        <v>53</v>
      </c>
    </row>
    <row r="40" spans="15:15" ht="16" thickBot="1" x14ac:dyDescent="0.4">
      <c r="O40" s="10" t="s">
        <v>54</v>
      </c>
    </row>
    <row r="41" spans="15:15" x14ac:dyDescent="0.35">
      <c r="O41" s="19" t="s">
        <v>57</v>
      </c>
    </row>
    <row r="42" spans="15:15" x14ac:dyDescent="0.35">
      <c r="O42" s="19" t="s">
        <v>55</v>
      </c>
    </row>
    <row r="43" spans="15:15" x14ac:dyDescent="0.35">
      <c r="O43" s="19" t="s">
        <v>47</v>
      </c>
    </row>
    <row r="44" spans="15:15" x14ac:dyDescent="0.35">
      <c r="O44" s="19" t="s">
        <v>56</v>
      </c>
    </row>
    <row r="45" spans="15:15" x14ac:dyDescent="0.35">
      <c r="O45" s="19" t="s">
        <v>77</v>
      </c>
    </row>
    <row r="46" spans="15:15" x14ac:dyDescent="0.35">
      <c r="O46" s="19" t="s">
        <v>83</v>
      </c>
    </row>
  </sheetData>
  <mergeCells count="4">
    <mergeCell ref="C2:D2"/>
    <mergeCell ref="E2:F2"/>
    <mergeCell ref="P6:P8"/>
    <mergeCell ref="P9:P11"/>
  </mergeCells>
  <conditionalFormatting sqref="D1:D1048576">
    <cfRule type="top10" dxfId="1" priority="1" rank="10"/>
  </conditionalFormatting>
  <conditionalFormatting sqref="F1:F1048576">
    <cfRule type="top10" dxfId="0" priority="2" rank="10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Gini - Shryock 1976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Chase</dc:creator>
  <cp:lastModifiedBy>Adrian Chase</cp:lastModifiedBy>
  <dcterms:created xsi:type="dcterms:W3CDTF">2018-12-14T12:49:31Z</dcterms:created>
  <dcterms:modified xsi:type="dcterms:W3CDTF">2023-01-25T17:55:57Z</dcterms:modified>
</cp:coreProperties>
</file>